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/>
  <mc:AlternateContent xmlns:mc="http://schemas.openxmlformats.org/markup-compatibility/2006">
    <mc:Choice Requires="x15">
      <x15ac:absPath xmlns:x15ac="http://schemas.microsoft.com/office/spreadsheetml/2010/11/ac" url="/Users/parker/Documents/schoolGit/HINF130/labassignment2/"/>
    </mc:Choice>
  </mc:AlternateContent>
  <xr:revisionPtr revIDLastSave="0" documentId="13_ncr:1_{43A367A5-3AEA-3645-B0D6-6312D4D17D01}" xr6:coauthVersionLast="47" xr6:coauthVersionMax="47" xr10:uidLastSave="{00000000-0000-0000-0000-000000000000}"/>
  <bookViews>
    <workbookView xWindow="0" yWindow="500" windowWidth="25560" windowHeight="13920" activeTab="7" xr2:uid="{00000000-000D-0000-FFFF-FFFF00000000}"/>
  </bookViews>
  <sheets>
    <sheet name="NOTE" sheetId="5" r:id="rId1"/>
    <sheet name="Before" sheetId="1" r:id="rId2"/>
    <sheet name="Pivot1" sheetId="9" r:id="rId3"/>
    <sheet name="Charts1" sheetId="6" r:id="rId4"/>
    <sheet name="After" sheetId="4" r:id="rId5"/>
    <sheet name="Pivot2" sheetId="10" r:id="rId6"/>
    <sheet name="Charts2" sheetId="7" r:id="rId7"/>
    <sheet name="Analysis" sheetId="11" r:id="rId8"/>
  </sheets>
  <calcPr calcId="191029"/>
  <pivotCaches>
    <pivotCache cacheId="0" r:id="rId9"/>
    <pivotCache cacheId="1" r:id="rId10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1" l="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V15" i="11"/>
  <c r="T15" i="11"/>
  <c r="U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D15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D11" i="11"/>
  <c r="T20" i="10"/>
  <c r="T19" i="10"/>
  <c r="T18" i="10"/>
  <c r="S20" i="10"/>
  <c r="S19" i="10"/>
  <c r="S18" i="10"/>
  <c r="R20" i="10"/>
  <c r="R19" i="10"/>
  <c r="R18" i="10"/>
  <c r="Q20" i="10"/>
  <c r="Q19" i="10"/>
  <c r="Q18" i="10"/>
  <c r="P20" i="10"/>
  <c r="P19" i="10"/>
  <c r="P18" i="10"/>
  <c r="O20" i="10"/>
  <c r="O19" i="10"/>
  <c r="O18" i="10"/>
  <c r="N20" i="10"/>
  <c r="N19" i="10"/>
  <c r="N18" i="10"/>
  <c r="M20" i="10"/>
  <c r="M19" i="10"/>
  <c r="M18" i="10"/>
  <c r="L20" i="10"/>
  <c r="L19" i="10"/>
  <c r="L18" i="10"/>
  <c r="K20" i="10"/>
  <c r="K19" i="10"/>
  <c r="K18" i="10"/>
  <c r="J20" i="10"/>
  <c r="J19" i="10"/>
  <c r="J18" i="10"/>
  <c r="I20" i="10"/>
  <c r="I19" i="10"/>
  <c r="I18" i="10"/>
  <c r="H20" i="10"/>
  <c r="H19" i="10"/>
  <c r="H18" i="10"/>
  <c r="G20" i="10"/>
  <c r="G19" i="10"/>
  <c r="G18" i="10"/>
  <c r="F20" i="10"/>
  <c r="F19" i="10"/>
  <c r="F18" i="10"/>
  <c r="E20" i="10"/>
  <c r="E19" i="10"/>
  <c r="E18" i="10"/>
  <c r="D20" i="10"/>
  <c r="D19" i="10"/>
  <c r="D18" i="10"/>
  <c r="C20" i="10"/>
  <c r="C19" i="10"/>
  <c r="C18" i="10"/>
  <c r="B20" i="10"/>
  <c r="B19" i="10"/>
  <c r="B18" i="10"/>
  <c r="T21" i="9"/>
  <c r="T20" i="9"/>
  <c r="T19" i="9"/>
  <c r="S21" i="9"/>
  <c r="S20" i="9"/>
  <c r="S19" i="9"/>
  <c r="R21" i="9"/>
  <c r="R20" i="9"/>
  <c r="R19" i="9"/>
  <c r="Q21" i="9"/>
  <c r="Q20" i="9"/>
  <c r="Q19" i="9"/>
  <c r="P21" i="9"/>
  <c r="P20" i="9"/>
  <c r="P19" i="9"/>
  <c r="O21" i="9"/>
  <c r="O20" i="9"/>
  <c r="O19" i="9"/>
  <c r="N21" i="9"/>
  <c r="N20" i="9"/>
  <c r="N19" i="9"/>
  <c r="M21" i="9"/>
  <c r="M20" i="9"/>
  <c r="M19" i="9"/>
  <c r="L21" i="9"/>
  <c r="L20" i="9"/>
  <c r="L19" i="9"/>
  <c r="K21" i="9"/>
  <c r="K20" i="9"/>
  <c r="K19" i="9"/>
  <c r="J21" i="9"/>
  <c r="J20" i="9"/>
  <c r="J19" i="9"/>
  <c r="I21" i="9"/>
  <c r="I20" i="9"/>
  <c r="I19" i="9"/>
  <c r="H21" i="9"/>
  <c r="H20" i="9"/>
  <c r="H19" i="9"/>
  <c r="G21" i="9"/>
  <c r="G20" i="9"/>
  <c r="G19" i="9"/>
  <c r="F21" i="9"/>
  <c r="F20" i="9"/>
  <c r="F19" i="9"/>
  <c r="E21" i="9"/>
  <c r="E20" i="9"/>
  <c r="E19" i="9"/>
  <c r="D21" i="9"/>
  <c r="D20" i="9"/>
  <c r="D19" i="9"/>
  <c r="C21" i="9"/>
  <c r="C20" i="9"/>
  <c r="C19" i="9"/>
  <c r="B21" i="9"/>
  <c r="B20" i="9"/>
  <c r="W16" i="9"/>
  <c r="W10" i="9"/>
  <c r="W9" i="9"/>
  <c r="W15" i="10"/>
  <c r="W9" i="10"/>
  <c r="W8" i="10"/>
  <c r="V15" i="10"/>
  <c r="V9" i="10"/>
  <c r="V8" i="10"/>
  <c r="V16" i="9"/>
  <c r="V10" i="9"/>
  <c r="V9" i="9"/>
  <c r="AJ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74" i="4"/>
  <c r="AJ475" i="4"/>
  <c r="AJ476" i="4"/>
  <c r="AJ477" i="4"/>
  <c r="AJ478" i="4"/>
  <c r="AJ479" i="4"/>
  <c r="AJ480" i="4"/>
  <c r="AJ481" i="4"/>
  <c r="AJ482" i="4"/>
  <c r="AJ483" i="4"/>
  <c r="AJ484" i="4"/>
  <c r="AJ485" i="4"/>
  <c r="AJ486" i="4"/>
  <c r="AJ487" i="4"/>
  <c r="AJ488" i="4"/>
  <c r="AJ489" i="4"/>
  <c r="AJ490" i="4"/>
  <c r="AJ491" i="4"/>
  <c r="AJ492" i="4"/>
  <c r="AJ493" i="4"/>
  <c r="AJ494" i="4"/>
  <c r="AJ495" i="4"/>
  <c r="AJ496" i="4"/>
  <c r="AJ497" i="4"/>
  <c r="AJ498" i="4"/>
  <c r="AJ499" i="4"/>
  <c r="AJ500" i="4"/>
  <c r="AJ501" i="4"/>
  <c r="AJ502" i="4"/>
  <c r="AJ503" i="4"/>
  <c r="AJ504" i="4"/>
  <c r="AJ505" i="4"/>
  <c r="AJ506" i="4"/>
  <c r="AJ507" i="4"/>
  <c r="AJ508" i="4"/>
  <c r="AJ509" i="4"/>
  <c r="AJ510" i="4"/>
  <c r="AJ511" i="4"/>
  <c r="AJ512" i="4"/>
  <c r="AJ513" i="4"/>
  <c r="AJ514" i="4"/>
  <c r="AJ515" i="4"/>
  <c r="AJ516" i="4"/>
  <c r="AJ517" i="4"/>
  <c r="AJ518" i="4"/>
  <c r="AJ519" i="4"/>
  <c r="AJ520" i="4"/>
  <c r="AJ521" i="4"/>
  <c r="AJ522" i="4"/>
  <c r="AJ523" i="4"/>
  <c r="AJ524" i="4"/>
  <c r="AJ525" i="4"/>
  <c r="AJ526" i="4"/>
  <c r="AJ527" i="4"/>
  <c r="AJ528" i="4"/>
  <c r="AJ529" i="4"/>
  <c r="AJ530" i="4"/>
  <c r="AJ531" i="4"/>
  <c r="AJ532" i="4"/>
  <c r="AJ533" i="4"/>
  <c r="AJ534" i="4"/>
  <c r="AJ535" i="4"/>
  <c r="AJ536" i="4"/>
  <c r="AJ537" i="4"/>
  <c r="AJ538" i="4"/>
  <c r="AJ539" i="4"/>
  <c r="AJ540" i="4"/>
  <c r="AJ541" i="4"/>
  <c r="AJ542" i="4"/>
  <c r="AJ543" i="4"/>
  <c r="AJ544" i="4"/>
  <c r="AJ545" i="4"/>
  <c r="AJ546" i="4"/>
  <c r="AJ547" i="4"/>
  <c r="AJ548" i="4"/>
  <c r="AJ549" i="4"/>
  <c r="AJ550" i="4"/>
  <c r="AJ551" i="4"/>
  <c r="AJ552" i="4"/>
  <c r="AJ553" i="4"/>
  <c r="AJ554" i="4"/>
  <c r="AJ555" i="4"/>
  <c r="AJ556" i="4"/>
  <c r="AJ557" i="4"/>
  <c r="AJ558" i="4"/>
  <c r="AJ559" i="4"/>
  <c r="AJ560" i="4"/>
  <c r="AJ561" i="4"/>
  <c r="AJ562" i="4"/>
  <c r="AJ563" i="4"/>
  <c r="AJ564" i="4"/>
  <c r="AJ565" i="4"/>
  <c r="AJ566" i="4"/>
  <c r="AJ567" i="4"/>
  <c r="AJ568" i="4"/>
  <c r="AJ569" i="4"/>
  <c r="AJ570" i="4"/>
  <c r="AJ571" i="4"/>
  <c r="AJ572" i="4"/>
  <c r="AJ573" i="4"/>
  <c r="AJ574" i="4"/>
  <c r="AJ575" i="4"/>
  <c r="AJ576" i="4"/>
  <c r="AJ577" i="4"/>
  <c r="AJ578" i="4"/>
  <c r="AJ579" i="4"/>
  <c r="AJ580" i="4"/>
  <c r="AJ581" i="4"/>
  <c r="AJ582" i="4"/>
  <c r="AJ583" i="4"/>
  <c r="AJ584" i="4"/>
  <c r="AJ585" i="4"/>
  <c r="AJ586" i="4"/>
  <c r="AJ587" i="4"/>
  <c r="AJ588" i="4"/>
  <c r="AJ589" i="4"/>
  <c r="AJ590" i="4"/>
  <c r="AJ591" i="4"/>
  <c r="AJ592" i="4"/>
  <c r="AJ593" i="4"/>
  <c r="AJ594" i="4"/>
  <c r="AJ595" i="4"/>
  <c r="AJ596" i="4"/>
  <c r="AJ597" i="4"/>
  <c r="AJ598" i="4"/>
  <c r="AJ599" i="4"/>
  <c r="AJ600" i="4"/>
  <c r="AJ601" i="4"/>
  <c r="AJ602" i="4"/>
  <c r="AJ603" i="4"/>
  <c r="AJ604" i="4"/>
  <c r="AJ605" i="4"/>
  <c r="AJ606" i="4"/>
  <c r="AJ607" i="4"/>
  <c r="AJ608" i="4"/>
  <c r="AJ609" i="4"/>
  <c r="AJ610" i="4"/>
  <c r="AJ611" i="4"/>
  <c r="AJ612" i="4"/>
  <c r="AJ613" i="4"/>
  <c r="AJ614" i="4"/>
  <c r="AJ615" i="4"/>
  <c r="AJ616" i="4"/>
  <c r="AJ617" i="4"/>
  <c r="AJ618" i="4"/>
  <c r="AJ619" i="4"/>
  <c r="AJ620" i="4"/>
  <c r="AJ621" i="4"/>
  <c r="AJ622" i="4"/>
  <c r="AJ623" i="4"/>
  <c r="AJ624" i="4"/>
  <c r="AJ625" i="4"/>
  <c r="AJ626" i="4"/>
  <c r="AJ627" i="4"/>
  <c r="AJ628" i="4"/>
  <c r="AJ629" i="4"/>
  <c r="AJ630" i="4"/>
  <c r="AJ631" i="4"/>
  <c r="AJ632" i="4"/>
  <c r="AJ633" i="4"/>
  <c r="AJ634" i="4"/>
  <c r="AJ635" i="4"/>
  <c r="AJ636" i="4"/>
  <c r="AJ637" i="4"/>
  <c r="AJ638" i="4"/>
  <c r="AJ639" i="4"/>
  <c r="AJ640" i="4"/>
  <c r="AJ641" i="4"/>
  <c r="AJ642" i="4"/>
  <c r="AJ643" i="4"/>
  <c r="AJ644" i="4"/>
  <c r="AJ645" i="4"/>
  <c r="AJ646" i="4"/>
  <c r="AJ647" i="4"/>
  <c r="AJ648" i="4"/>
  <c r="AJ649" i="4"/>
  <c r="AJ650" i="4"/>
  <c r="AJ651" i="4"/>
  <c r="AJ652" i="4"/>
  <c r="AJ653" i="4"/>
  <c r="AJ654" i="4"/>
  <c r="AJ655" i="4"/>
  <c r="AJ656" i="4"/>
  <c r="AJ657" i="4"/>
  <c r="AJ658" i="4"/>
  <c r="AJ659" i="4"/>
  <c r="AJ660" i="4"/>
  <c r="AJ661" i="4"/>
  <c r="AJ662" i="4"/>
  <c r="AJ663" i="4"/>
  <c r="AJ664" i="4"/>
  <c r="AJ665" i="4"/>
  <c r="AJ666" i="4"/>
  <c r="AJ667" i="4"/>
  <c r="AJ668" i="4"/>
  <c r="AJ669" i="4"/>
  <c r="AJ670" i="4"/>
  <c r="AJ671" i="4"/>
  <c r="AJ672" i="4"/>
  <c r="AJ673" i="4"/>
  <c r="AJ674" i="4"/>
  <c r="AJ675" i="4"/>
  <c r="AJ676" i="4"/>
  <c r="AJ677" i="4"/>
  <c r="AJ678" i="4"/>
  <c r="AJ679" i="4"/>
  <c r="AJ680" i="4"/>
  <c r="AJ681" i="4"/>
  <c r="AJ682" i="4"/>
  <c r="AJ683" i="4"/>
  <c r="AJ684" i="4"/>
  <c r="AJ685" i="4"/>
  <c r="AJ686" i="4"/>
  <c r="AJ687" i="4"/>
  <c r="AJ688" i="4"/>
  <c r="AJ689" i="4"/>
  <c r="AJ690" i="4"/>
  <c r="AJ691" i="4"/>
  <c r="AJ692" i="4"/>
  <c r="AJ693" i="4"/>
  <c r="AJ694" i="4"/>
  <c r="AJ695" i="4"/>
  <c r="AJ696" i="4"/>
  <c r="AJ697" i="4"/>
  <c r="AJ698" i="4"/>
  <c r="AJ699" i="4"/>
  <c r="AJ700" i="4"/>
  <c r="AJ701" i="4"/>
  <c r="AJ702" i="4"/>
  <c r="AJ703" i="4"/>
  <c r="AJ704" i="4"/>
  <c r="AJ705" i="4"/>
  <c r="AJ706" i="4"/>
  <c r="AJ707" i="4"/>
  <c r="AJ708" i="4"/>
  <c r="AJ709" i="4"/>
  <c r="AJ710" i="4"/>
  <c r="AJ711" i="4"/>
  <c r="AJ712" i="4"/>
  <c r="AJ713" i="4"/>
  <c r="AJ714" i="4"/>
  <c r="AJ715" i="4"/>
  <c r="AJ716" i="4"/>
  <c r="AJ717" i="4"/>
  <c r="AJ718" i="4"/>
  <c r="AJ719" i="4"/>
  <c r="AJ720" i="4"/>
  <c r="AJ721" i="4"/>
  <c r="AJ722" i="4"/>
  <c r="AJ723" i="4"/>
  <c r="AJ724" i="4"/>
  <c r="AJ725" i="4"/>
  <c r="AJ726" i="4"/>
  <c r="AJ727" i="4"/>
  <c r="AJ728" i="4"/>
  <c r="AJ729" i="4"/>
  <c r="AJ730" i="4"/>
  <c r="AJ731" i="4"/>
  <c r="AJ732" i="4"/>
  <c r="AJ733" i="4"/>
  <c r="AJ734" i="4"/>
  <c r="AJ735" i="4"/>
  <c r="AJ736" i="4"/>
  <c r="AJ737" i="4"/>
  <c r="AJ738" i="4"/>
  <c r="AJ739" i="4"/>
  <c r="AJ740" i="4"/>
  <c r="AJ741" i="4"/>
  <c r="AJ742" i="4"/>
  <c r="AJ743" i="4"/>
  <c r="AJ744" i="4"/>
  <c r="AJ745" i="4"/>
  <c r="AJ746" i="4"/>
  <c r="AJ747" i="4"/>
  <c r="AJ748" i="4"/>
  <c r="AJ749" i="4"/>
  <c r="AJ750" i="4"/>
  <c r="AJ751" i="4"/>
  <c r="AJ752" i="4"/>
  <c r="AJ753" i="4"/>
  <c r="AJ754" i="4"/>
  <c r="AJ755" i="4"/>
  <c r="AJ756" i="4"/>
  <c r="AJ757" i="4"/>
  <c r="AJ758" i="4"/>
  <c r="AJ759" i="4"/>
  <c r="AJ760" i="4"/>
  <c r="AJ761" i="4"/>
  <c r="AJ762" i="4"/>
  <c r="AJ763" i="4"/>
  <c r="AJ764" i="4"/>
  <c r="AJ765" i="4"/>
  <c r="AJ766" i="4"/>
  <c r="AJ767" i="4"/>
  <c r="AJ768" i="4"/>
  <c r="AJ769" i="4"/>
  <c r="AJ770" i="4"/>
  <c r="AJ771" i="4"/>
  <c r="AJ772" i="4"/>
  <c r="AJ773" i="4"/>
  <c r="AJ774" i="4"/>
  <c r="AJ775" i="4"/>
  <c r="AJ776" i="4"/>
  <c r="AJ777" i="4"/>
  <c r="AJ778" i="4"/>
  <c r="AJ779" i="4"/>
  <c r="AJ780" i="4"/>
  <c r="AJ781" i="4"/>
  <c r="AJ782" i="4"/>
  <c r="AJ783" i="4"/>
  <c r="AJ784" i="4"/>
  <c r="AJ785" i="4"/>
  <c r="AJ786" i="4"/>
  <c r="AJ787" i="4"/>
  <c r="AJ788" i="4"/>
  <c r="AJ789" i="4"/>
  <c r="AJ790" i="4"/>
  <c r="AJ791" i="4"/>
  <c r="AJ792" i="4"/>
  <c r="AJ793" i="4"/>
  <c r="AJ794" i="4"/>
  <c r="AJ795" i="4"/>
  <c r="AJ796" i="4"/>
  <c r="AJ797" i="4"/>
  <c r="AJ798" i="4"/>
  <c r="AJ799" i="4"/>
  <c r="AJ800" i="4"/>
  <c r="AJ801" i="4"/>
  <c r="AJ802" i="4"/>
  <c r="AJ803" i="4"/>
  <c r="AJ804" i="4"/>
  <c r="AJ805" i="4"/>
  <c r="AJ806" i="4"/>
  <c r="AJ807" i="4"/>
  <c r="AJ808" i="4"/>
  <c r="AJ809" i="4"/>
  <c r="AJ810" i="4"/>
  <c r="AJ811" i="4"/>
  <c r="AJ812" i="4"/>
  <c r="AJ813" i="4"/>
  <c r="AJ814" i="4"/>
  <c r="AJ815" i="4"/>
  <c r="AJ816" i="4"/>
  <c r="AJ817" i="4"/>
  <c r="AJ818" i="4"/>
  <c r="AJ819" i="4"/>
  <c r="AJ820" i="4"/>
  <c r="AJ821" i="4"/>
  <c r="AJ822" i="4"/>
  <c r="AJ823" i="4"/>
  <c r="AJ824" i="4"/>
  <c r="AJ825" i="4"/>
  <c r="AJ826" i="4"/>
  <c r="AJ827" i="4"/>
  <c r="AJ828" i="4"/>
  <c r="AJ829" i="4"/>
  <c r="AJ830" i="4"/>
  <c r="AJ831" i="4"/>
  <c r="AJ832" i="4"/>
  <c r="AJ833" i="4"/>
  <c r="AJ834" i="4"/>
  <c r="AJ835" i="4"/>
  <c r="AJ836" i="4"/>
  <c r="AJ837" i="4"/>
  <c r="AJ838" i="4"/>
  <c r="AJ839" i="4"/>
  <c r="AJ840" i="4"/>
  <c r="AJ841" i="4"/>
  <c r="AJ842" i="4"/>
  <c r="AJ843" i="4"/>
  <c r="AJ844" i="4"/>
  <c r="AJ845" i="4"/>
  <c r="AJ846" i="4"/>
  <c r="AJ847" i="4"/>
  <c r="AJ848" i="4"/>
  <c r="AJ849" i="4"/>
  <c r="AJ850" i="4"/>
  <c r="AJ851" i="4"/>
  <c r="AJ852" i="4"/>
  <c r="AJ853" i="4"/>
  <c r="AJ854" i="4"/>
  <c r="AJ855" i="4"/>
  <c r="AJ856" i="4"/>
  <c r="AJ857" i="4"/>
  <c r="AJ858" i="4"/>
  <c r="AJ859" i="4"/>
  <c r="AJ860" i="4"/>
  <c r="AJ861" i="4"/>
  <c r="AJ862" i="4"/>
  <c r="AJ863" i="4"/>
  <c r="AJ864" i="4"/>
  <c r="AJ865" i="4"/>
  <c r="AJ866" i="4"/>
  <c r="AJ867" i="4"/>
  <c r="AJ868" i="4"/>
  <c r="AJ869" i="4"/>
  <c r="AJ870" i="4"/>
  <c r="AJ871" i="4"/>
  <c r="AJ872" i="4"/>
  <c r="AJ873" i="4"/>
  <c r="AJ874" i="4"/>
  <c r="AJ875" i="4"/>
  <c r="AJ876" i="4"/>
  <c r="AJ877" i="4"/>
  <c r="AJ878" i="4"/>
  <c r="AJ879" i="4"/>
  <c r="AJ880" i="4"/>
  <c r="AJ881" i="4"/>
  <c r="AJ882" i="4"/>
  <c r="AJ883" i="4"/>
  <c r="AJ884" i="4"/>
  <c r="AJ885" i="4"/>
  <c r="AJ886" i="4"/>
  <c r="AJ887" i="4"/>
  <c r="AJ888" i="4"/>
  <c r="AJ889" i="4"/>
  <c r="AJ890" i="4"/>
  <c r="AJ891" i="4"/>
  <c r="AJ892" i="4"/>
  <c r="AJ893" i="4"/>
  <c r="AJ894" i="4"/>
  <c r="AJ895" i="4"/>
  <c r="AJ896" i="4"/>
  <c r="AJ897" i="4"/>
  <c r="AJ898" i="4"/>
  <c r="AJ899" i="4"/>
  <c r="AJ900" i="4"/>
  <c r="AJ901" i="4"/>
  <c r="AJ902" i="4"/>
  <c r="AJ903" i="4"/>
  <c r="AJ904" i="4"/>
  <c r="AJ905" i="4"/>
  <c r="AJ906" i="4"/>
  <c r="AJ907" i="4"/>
  <c r="AJ908" i="4"/>
  <c r="AJ909" i="4"/>
  <c r="AJ910" i="4"/>
  <c r="AJ911" i="4"/>
  <c r="AJ912" i="4"/>
  <c r="AJ913" i="4"/>
  <c r="AJ914" i="4"/>
  <c r="AJ915" i="4"/>
  <c r="AJ916" i="4"/>
  <c r="AJ917" i="4"/>
  <c r="AJ918" i="4"/>
  <c r="AJ919" i="4"/>
  <c r="AJ920" i="4"/>
  <c r="AJ921" i="4"/>
  <c r="AJ922" i="4"/>
  <c r="AJ923" i="4"/>
  <c r="AJ924" i="4"/>
  <c r="AJ925" i="4"/>
  <c r="AJ926" i="4"/>
  <c r="AJ927" i="4"/>
  <c r="AJ928" i="4"/>
  <c r="AJ929" i="4"/>
  <c r="AJ930" i="4"/>
  <c r="AJ931" i="4"/>
  <c r="AJ932" i="4"/>
  <c r="AJ933" i="4"/>
  <c r="AJ934" i="4"/>
  <c r="AJ935" i="4"/>
  <c r="AJ936" i="4"/>
  <c r="AJ937" i="4"/>
  <c r="AJ938" i="4"/>
  <c r="AJ939" i="4"/>
  <c r="AJ940" i="4"/>
  <c r="AJ941" i="4"/>
  <c r="AJ942" i="4"/>
  <c r="AJ943" i="4"/>
  <c r="AJ944" i="4"/>
  <c r="AJ945" i="4"/>
  <c r="AJ946" i="4"/>
  <c r="AJ947" i="4"/>
  <c r="AJ948" i="4"/>
  <c r="AJ949" i="4"/>
  <c r="AJ950" i="4"/>
  <c r="AJ951" i="4"/>
  <c r="AJ952" i="4"/>
  <c r="AJ953" i="4"/>
  <c r="AJ954" i="4"/>
  <c r="AJ955" i="4"/>
  <c r="AJ956" i="4"/>
  <c r="AJ957" i="4"/>
  <c r="AJ958" i="4"/>
  <c r="AJ959" i="4"/>
  <c r="AJ960" i="4"/>
  <c r="AJ961" i="4"/>
  <c r="AJ962" i="4"/>
  <c r="AJ963" i="4"/>
  <c r="AJ964" i="4"/>
  <c r="AJ965" i="4"/>
  <c r="AJ966" i="4"/>
  <c r="AJ967" i="4"/>
  <c r="AJ968" i="4"/>
  <c r="AJ969" i="4"/>
  <c r="AJ970" i="4"/>
  <c r="AJ971" i="4"/>
  <c r="AJ972" i="4"/>
  <c r="AJ973" i="4"/>
  <c r="AJ974" i="4"/>
  <c r="AJ975" i="4"/>
  <c r="AJ976" i="4"/>
  <c r="AJ977" i="4"/>
  <c r="AJ978" i="4"/>
  <c r="AJ979" i="4"/>
  <c r="AJ980" i="4"/>
  <c r="AJ981" i="4"/>
  <c r="AJ982" i="4"/>
  <c r="AJ983" i="4"/>
  <c r="AJ984" i="4"/>
  <c r="AJ985" i="4"/>
  <c r="AJ986" i="4"/>
  <c r="AJ987" i="4"/>
  <c r="AJ988" i="4"/>
  <c r="AJ989" i="4"/>
  <c r="AJ990" i="4"/>
  <c r="AJ991" i="4"/>
  <c r="AJ992" i="4"/>
  <c r="AJ993" i="4"/>
  <c r="AJ994" i="4"/>
  <c r="AJ995" i="4"/>
  <c r="AJ996" i="4"/>
  <c r="AJ997" i="4"/>
  <c r="AJ998" i="4"/>
  <c r="AJ999" i="4"/>
  <c r="AJ1000" i="4"/>
  <c r="AJ1001" i="4"/>
  <c r="AJ1002" i="4"/>
  <c r="AJ1003" i="4"/>
  <c r="AJ1004" i="4"/>
  <c r="AJ1005" i="4"/>
  <c r="AJ1006" i="4"/>
  <c r="AJ1007" i="4"/>
  <c r="AJ1008" i="4"/>
  <c r="AJ1009" i="4"/>
  <c r="AJ1010" i="4"/>
  <c r="AJ1011" i="4"/>
  <c r="AJ1012" i="4"/>
  <c r="AJ1013" i="4"/>
  <c r="AJ1014" i="4"/>
  <c r="AJ1015" i="4"/>
  <c r="AJ1016" i="4"/>
  <c r="AJ1017" i="4"/>
  <c r="AJ1018" i="4"/>
  <c r="AJ1019" i="4"/>
  <c r="AJ1020" i="4"/>
  <c r="AJ1021" i="4"/>
  <c r="AJ1022" i="4"/>
  <c r="AJ1023" i="4"/>
  <c r="AJ1024" i="4"/>
  <c r="AJ1025" i="4"/>
  <c r="AJ1026" i="4"/>
  <c r="AJ1027" i="4"/>
  <c r="AJ1028" i="4"/>
  <c r="AJ1029" i="4"/>
  <c r="AJ1030" i="4"/>
  <c r="AJ1031" i="4"/>
  <c r="AJ1032" i="4"/>
  <c r="AJ1033" i="4"/>
  <c r="AJ1034" i="4"/>
  <c r="AJ1035" i="4"/>
  <c r="AJ1036" i="4"/>
  <c r="AJ1037" i="4"/>
  <c r="AJ1038" i="4"/>
  <c r="AJ1039" i="4"/>
  <c r="AJ1040" i="4"/>
  <c r="AJ1041" i="4"/>
  <c r="AJ1042" i="4"/>
  <c r="AJ1043" i="4"/>
  <c r="AJ1044" i="4"/>
  <c r="AJ1045" i="4"/>
  <c r="AJ1046" i="4"/>
  <c r="AJ1047" i="4"/>
  <c r="AJ1048" i="4"/>
  <c r="AJ1049" i="4"/>
  <c r="AJ1050" i="4"/>
  <c r="AJ1051" i="4"/>
  <c r="AJ1052" i="4"/>
  <c r="AJ1053" i="4"/>
  <c r="AJ1054" i="4"/>
  <c r="AJ1055" i="4"/>
  <c r="AJ1056" i="4"/>
  <c r="AJ1057" i="4"/>
  <c r="AJ1058" i="4"/>
  <c r="AJ1059" i="4"/>
  <c r="AJ1060" i="4"/>
  <c r="AJ1061" i="4"/>
  <c r="AJ1062" i="4"/>
  <c r="AJ1063" i="4"/>
  <c r="AJ1064" i="4"/>
  <c r="AJ1065" i="4"/>
  <c r="AJ1066" i="4"/>
  <c r="AJ1067" i="4"/>
  <c r="AJ1068" i="4"/>
  <c r="AJ1069" i="4"/>
  <c r="AJ1070" i="4"/>
  <c r="AJ1071" i="4"/>
  <c r="AJ1072" i="4"/>
  <c r="AJ1073" i="4"/>
  <c r="AJ1074" i="4"/>
  <c r="AJ1075" i="4"/>
  <c r="AJ1076" i="4"/>
  <c r="AJ1077" i="4"/>
  <c r="AJ1078" i="4"/>
  <c r="AJ1079" i="4"/>
  <c r="AJ1080" i="4"/>
  <c r="AJ1081" i="4"/>
  <c r="AJ1082" i="4"/>
  <c r="AJ1083" i="4"/>
  <c r="AJ1084" i="4"/>
  <c r="AJ1085" i="4"/>
  <c r="AJ1086" i="4"/>
  <c r="AJ1087" i="4"/>
  <c r="AJ1088" i="4"/>
  <c r="AJ1089" i="4"/>
  <c r="AJ1090" i="4"/>
  <c r="AJ1091" i="4"/>
  <c r="AJ1092" i="4"/>
  <c r="AJ1093" i="4"/>
  <c r="AJ1094" i="4"/>
  <c r="AJ1095" i="4"/>
  <c r="AJ1096" i="4"/>
  <c r="AJ1097" i="4"/>
  <c r="AJ1098" i="4"/>
  <c r="AJ1099" i="4"/>
  <c r="AJ1100" i="4"/>
  <c r="AJ1101" i="4"/>
  <c r="AJ1102" i="4"/>
  <c r="AJ1103" i="4"/>
  <c r="AJ1104" i="4"/>
  <c r="AJ1105" i="4"/>
  <c r="AJ1106" i="4"/>
  <c r="AJ1107" i="4"/>
  <c r="AJ1108" i="4"/>
  <c r="AJ1109" i="4"/>
  <c r="AJ1110" i="4"/>
  <c r="AJ1111" i="4"/>
  <c r="AJ1112" i="4"/>
  <c r="AJ1113" i="4"/>
  <c r="AJ1114" i="4"/>
  <c r="AJ1115" i="4"/>
  <c r="AJ1116" i="4"/>
  <c r="AJ1117" i="4"/>
  <c r="AJ1118" i="4"/>
  <c r="AJ1119" i="4"/>
  <c r="AJ1120" i="4"/>
  <c r="AJ1121" i="4"/>
  <c r="AJ1122" i="4"/>
  <c r="AJ1123" i="4"/>
  <c r="AJ1124" i="4"/>
  <c r="AJ1125" i="4"/>
  <c r="AJ1126" i="4"/>
  <c r="AJ1127" i="4"/>
  <c r="AJ1128" i="4"/>
  <c r="AJ1129" i="4"/>
  <c r="AJ1130" i="4"/>
  <c r="AJ1131" i="4"/>
  <c r="AJ1132" i="4"/>
  <c r="AJ1133" i="4"/>
  <c r="AJ1134" i="4"/>
  <c r="AJ1135" i="4"/>
  <c r="AJ1136" i="4"/>
  <c r="AJ1137" i="4"/>
  <c r="AJ1138" i="4"/>
  <c r="AJ1139" i="4"/>
  <c r="AJ1140" i="4"/>
  <c r="AJ1141" i="4"/>
  <c r="AJ1142" i="4"/>
  <c r="AJ1143" i="4"/>
  <c r="AJ1144" i="4"/>
  <c r="AJ1145" i="4"/>
  <c r="AJ1146" i="4"/>
  <c r="AJ1147" i="4"/>
  <c r="AJ1148" i="4"/>
  <c r="AJ1149" i="4"/>
  <c r="AJ1150" i="4"/>
  <c r="AJ1151" i="4"/>
  <c r="AJ1152" i="4"/>
  <c r="AJ1153" i="4"/>
  <c r="AJ1154" i="4"/>
  <c r="AJ1155" i="4"/>
  <c r="AJ1156" i="4"/>
  <c r="AJ1157" i="4"/>
  <c r="AJ1158" i="4"/>
  <c r="AJ1159" i="4"/>
  <c r="AJ1160" i="4"/>
  <c r="AJ1161" i="4"/>
  <c r="AJ1162" i="4"/>
  <c r="AJ1163" i="4"/>
  <c r="AJ1164" i="4"/>
  <c r="AJ1165" i="4"/>
  <c r="AJ1166" i="4"/>
  <c r="AJ1167" i="4"/>
  <c r="AJ1168" i="4"/>
  <c r="AJ1169" i="4"/>
  <c r="AJ1170" i="4"/>
  <c r="AJ1171" i="4"/>
  <c r="AJ1172" i="4"/>
  <c r="AJ1173" i="4"/>
  <c r="AJ1174" i="4"/>
  <c r="AJ1175" i="4"/>
  <c r="AJ1176" i="4"/>
  <c r="AJ1177" i="4"/>
  <c r="AJ1178" i="4"/>
  <c r="AJ1179" i="4"/>
  <c r="AJ1180" i="4"/>
  <c r="AJ1181" i="4"/>
  <c r="AJ1182" i="4"/>
  <c r="AJ1183" i="4"/>
  <c r="AJ1184" i="4"/>
  <c r="AJ1185" i="4"/>
  <c r="AJ1186" i="4"/>
  <c r="AJ1187" i="4"/>
  <c r="AJ1188" i="4"/>
  <c r="AJ1189" i="4"/>
  <c r="AJ1190" i="4"/>
  <c r="AJ1191" i="4"/>
  <c r="AJ1192" i="4"/>
  <c r="AJ1193" i="4"/>
  <c r="AJ1194" i="4"/>
  <c r="AJ1195" i="4"/>
  <c r="AJ1196" i="4"/>
  <c r="AJ1197" i="4"/>
  <c r="AJ1198" i="4"/>
  <c r="AJ1199" i="4"/>
  <c r="AJ1200" i="4"/>
  <c r="AJ1201" i="4"/>
  <c r="AJ1202" i="4"/>
  <c r="AJ1203" i="4"/>
  <c r="AJ1204" i="4"/>
  <c r="AJ1205" i="4"/>
  <c r="AJ1206" i="4"/>
  <c r="AJ1207" i="4"/>
  <c r="AJ1208" i="4"/>
  <c r="AJ1209" i="4"/>
  <c r="AJ1210" i="4"/>
  <c r="AJ1211" i="4"/>
  <c r="AJ1212" i="4"/>
  <c r="AJ1213" i="4"/>
  <c r="AJ1214" i="4"/>
  <c r="AJ1215" i="4"/>
  <c r="AJ1216" i="4"/>
  <c r="AJ1217" i="4"/>
  <c r="AJ1218" i="4"/>
  <c r="AJ1219" i="4"/>
  <c r="AJ1220" i="4"/>
  <c r="AJ1221" i="4"/>
  <c r="AJ1222" i="4"/>
  <c r="AJ1223" i="4"/>
  <c r="AJ1224" i="4"/>
  <c r="AJ1225" i="4"/>
  <c r="AJ1226" i="4"/>
  <c r="AJ1227" i="4"/>
  <c r="AJ1228" i="4"/>
  <c r="AJ1229" i="4"/>
  <c r="AJ1230" i="4"/>
  <c r="AJ1231" i="4"/>
  <c r="AJ1232" i="4"/>
  <c r="AJ1233" i="4"/>
  <c r="AJ1234" i="4"/>
  <c r="AJ1235" i="4"/>
  <c r="AJ1236" i="4"/>
  <c r="AJ1237" i="4"/>
  <c r="AJ1238" i="4"/>
  <c r="AJ1239" i="4"/>
  <c r="AJ1240" i="4"/>
  <c r="AJ1241" i="4"/>
  <c r="AJ1242" i="4"/>
  <c r="AJ1243" i="4"/>
  <c r="AJ1244" i="4"/>
  <c r="AJ1245" i="4"/>
  <c r="AJ1246" i="4"/>
  <c r="AJ1247" i="4"/>
  <c r="AJ1248" i="4"/>
  <c r="AJ1249" i="4"/>
  <c r="AJ1250" i="4"/>
  <c r="AJ1251" i="4"/>
  <c r="AJ1252" i="4"/>
  <c r="AJ1253" i="4"/>
  <c r="AJ1254" i="4"/>
  <c r="AJ1255" i="4"/>
  <c r="AJ1256" i="4"/>
  <c r="AJ1257" i="4"/>
  <c r="AJ1258" i="4"/>
  <c r="AJ1259" i="4"/>
  <c r="AJ1260" i="4"/>
  <c r="AJ1261" i="4"/>
  <c r="AJ1262" i="4"/>
  <c r="AJ1263" i="4"/>
  <c r="AJ1264" i="4"/>
  <c r="AJ1265" i="4"/>
  <c r="AJ1266" i="4"/>
  <c r="AJ1267" i="4"/>
  <c r="AJ1268" i="4"/>
  <c r="AJ1269" i="4"/>
  <c r="AJ1270" i="4"/>
  <c r="AJ1271" i="4"/>
  <c r="AJ1272" i="4"/>
  <c r="AJ1273" i="4"/>
  <c r="AJ1274" i="4"/>
  <c r="AJ1275" i="4"/>
  <c r="AJ1276" i="4"/>
  <c r="AJ1277" i="4"/>
  <c r="AJ1278" i="4"/>
  <c r="AJ1279" i="4"/>
  <c r="AJ1280" i="4"/>
  <c r="AJ1281" i="4"/>
  <c r="AJ1282" i="4"/>
  <c r="AJ1283" i="4"/>
  <c r="AJ1284" i="4"/>
  <c r="AJ1285" i="4"/>
  <c r="AJ1286" i="4"/>
  <c r="AJ1287" i="4"/>
  <c r="AJ1288" i="4"/>
  <c r="AJ1289" i="4"/>
  <c r="AJ1290" i="4"/>
  <c r="AJ1291" i="4"/>
  <c r="AJ1292" i="4"/>
  <c r="AJ1293" i="4"/>
  <c r="AJ1294" i="4"/>
  <c r="AJ1295" i="4"/>
  <c r="AJ1296" i="4"/>
  <c r="AJ1297" i="4"/>
  <c r="AJ1298" i="4"/>
  <c r="AJ1299" i="4"/>
  <c r="AJ1300" i="4"/>
  <c r="AJ1301" i="4"/>
  <c r="AJ1302" i="4"/>
  <c r="AJ1303" i="4"/>
  <c r="AJ1304" i="4"/>
  <c r="AJ1305" i="4"/>
  <c r="AJ1306" i="4"/>
  <c r="AJ1307" i="4"/>
  <c r="AJ1308" i="4"/>
  <c r="AJ1309" i="4"/>
  <c r="AJ1310" i="4"/>
  <c r="AJ1311" i="4"/>
  <c r="AJ1312" i="4"/>
  <c r="AJ1313" i="4"/>
  <c r="AJ1314" i="4"/>
  <c r="AJ1315" i="4"/>
  <c r="AJ1316" i="4"/>
  <c r="AJ1317" i="4"/>
  <c r="AJ1318" i="4"/>
  <c r="AJ1319" i="4"/>
  <c r="AJ1320" i="4"/>
  <c r="AJ1321" i="4"/>
  <c r="AJ1322" i="4"/>
  <c r="AJ1323" i="4"/>
  <c r="AJ1324" i="4"/>
  <c r="AJ1325" i="4"/>
  <c r="AJ1326" i="4"/>
  <c r="AJ1327" i="4"/>
  <c r="AJ1328" i="4"/>
  <c r="AJ1329" i="4"/>
  <c r="AJ1330" i="4"/>
  <c r="AJ1331" i="4"/>
  <c r="AJ1332" i="4"/>
  <c r="AJ1333" i="4"/>
  <c r="AJ1334" i="4"/>
  <c r="AJ1335" i="4"/>
  <c r="AJ1336" i="4"/>
  <c r="AJ1337" i="4"/>
  <c r="AJ1338" i="4"/>
  <c r="AJ1339" i="4"/>
  <c r="AJ1340" i="4"/>
  <c r="AJ1341" i="4"/>
  <c r="AJ1342" i="4"/>
  <c r="AJ1343" i="4"/>
  <c r="AJ1344" i="4"/>
  <c r="AJ1345" i="4"/>
  <c r="AJ1346" i="4"/>
  <c r="AJ1347" i="4"/>
  <c r="AJ1348" i="4"/>
  <c r="AJ1349" i="4"/>
  <c r="AJ1350" i="4"/>
  <c r="AJ1351" i="4"/>
  <c r="AJ1352" i="4"/>
  <c r="AJ1353" i="4"/>
  <c r="AJ1354" i="4"/>
  <c r="AJ1355" i="4"/>
  <c r="AJ1356" i="4"/>
  <c r="AJ1357" i="4"/>
  <c r="AJ1358" i="4"/>
  <c r="AJ1359" i="4"/>
  <c r="AJ1360" i="4"/>
  <c r="AJ1361" i="4"/>
  <c r="AJ1362" i="4"/>
  <c r="AJ1363" i="4"/>
  <c r="AJ1364" i="4"/>
  <c r="AJ1365" i="4"/>
  <c r="AJ1366" i="4"/>
  <c r="AJ1367" i="4"/>
  <c r="AJ1368" i="4"/>
  <c r="AJ1369" i="4"/>
  <c r="AJ1370" i="4"/>
  <c r="AJ1371" i="4"/>
  <c r="AJ1372" i="4"/>
  <c r="AJ1373" i="4"/>
  <c r="AJ1374" i="4"/>
  <c r="AJ1375" i="4"/>
  <c r="AJ1376" i="4"/>
  <c r="AJ1377" i="4"/>
  <c r="AJ1378" i="4"/>
  <c r="AJ1379" i="4"/>
  <c r="AJ1380" i="4"/>
  <c r="AJ1381" i="4"/>
  <c r="AJ1382" i="4"/>
  <c r="AJ1383" i="4"/>
  <c r="AJ1384" i="4"/>
  <c r="AJ1385" i="4"/>
  <c r="AJ1386" i="4"/>
  <c r="AJ1387" i="4"/>
  <c r="AJ1388" i="4"/>
  <c r="AJ1389" i="4"/>
  <c r="AJ1390" i="4"/>
  <c r="AJ1391" i="4"/>
  <c r="AJ1392" i="4"/>
  <c r="AJ1393" i="4"/>
  <c r="AJ1394" i="4"/>
  <c r="AJ1395" i="4"/>
  <c r="AJ1396" i="4"/>
  <c r="AJ1397" i="4"/>
  <c r="AJ1398" i="4"/>
  <c r="AJ1399" i="4"/>
  <c r="AJ1400" i="4"/>
  <c r="AJ1401" i="4"/>
  <c r="AJ1402" i="4"/>
  <c r="AJ1403" i="4"/>
  <c r="AJ1404" i="4"/>
  <c r="AJ1405" i="4"/>
  <c r="AJ1406" i="4"/>
  <c r="AJ1407" i="4"/>
  <c r="AJ1408" i="4"/>
  <c r="AJ1409" i="4"/>
  <c r="AJ1410" i="4"/>
  <c r="AJ1411" i="4"/>
  <c r="AJ1412" i="4"/>
  <c r="AJ1413" i="4"/>
  <c r="AJ1414" i="4"/>
  <c r="AJ1415" i="4"/>
  <c r="AJ1416" i="4"/>
  <c r="AJ1417" i="4"/>
  <c r="AJ1418" i="4"/>
  <c r="AJ1419" i="4"/>
  <c r="AJ1420" i="4"/>
  <c r="AJ1421" i="4"/>
  <c r="AJ1422" i="4"/>
  <c r="AJ1423" i="4"/>
  <c r="AJ1424" i="4"/>
  <c r="AJ1425" i="4"/>
  <c r="AJ1426" i="4"/>
  <c r="AJ1427" i="4"/>
  <c r="AJ1428" i="4"/>
  <c r="AJ1429" i="4"/>
  <c r="AJ1430" i="4"/>
  <c r="AJ1431" i="4"/>
  <c r="AJ1432" i="4"/>
  <c r="AJ1433" i="4"/>
  <c r="AJ1434" i="4"/>
  <c r="AJ1435" i="4"/>
  <c r="AJ1436" i="4"/>
  <c r="AJ1437" i="4"/>
  <c r="AJ1438" i="4"/>
  <c r="AJ1439" i="4"/>
  <c r="AJ1440" i="4"/>
  <c r="AJ1441" i="4"/>
  <c r="AJ1442" i="4"/>
  <c r="AJ1443" i="4"/>
  <c r="AJ1444" i="4"/>
  <c r="AJ1445" i="4"/>
  <c r="AJ1446" i="4"/>
  <c r="AJ1447" i="4"/>
  <c r="AJ1448" i="4"/>
  <c r="AJ1449" i="4"/>
  <c r="AJ1450" i="4"/>
  <c r="AJ1451" i="4"/>
  <c r="AJ1452" i="4"/>
  <c r="AJ1453" i="4"/>
  <c r="AJ1454" i="4"/>
  <c r="AJ1455" i="4"/>
  <c r="AJ1456" i="4"/>
  <c r="AJ1457" i="4"/>
  <c r="AJ1458" i="4"/>
  <c r="AJ1459" i="4"/>
  <c r="AJ1460" i="4"/>
  <c r="AJ1461" i="4"/>
  <c r="AJ1462" i="4"/>
  <c r="AJ1463" i="4"/>
  <c r="AJ1464" i="4"/>
  <c r="AJ1465" i="4"/>
  <c r="AJ1466" i="4"/>
  <c r="AJ1467" i="4"/>
  <c r="AJ1468" i="4"/>
  <c r="AJ1469" i="4"/>
  <c r="AJ1470" i="4"/>
  <c r="AJ1471" i="4"/>
  <c r="AJ1472" i="4"/>
  <c r="AJ1473" i="4"/>
  <c r="AJ1474" i="4"/>
  <c r="AJ1475" i="4"/>
  <c r="AJ1476" i="4"/>
  <c r="AJ1477" i="4"/>
  <c r="AJ1478" i="4"/>
  <c r="AJ1479" i="4"/>
  <c r="AJ1480" i="4"/>
  <c r="AJ1481" i="4"/>
  <c r="AJ1482" i="4"/>
  <c r="AJ1483" i="4"/>
  <c r="AJ1484" i="4"/>
  <c r="AJ1485" i="4"/>
  <c r="AJ1486" i="4"/>
  <c r="AJ1487" i="4"/>
  <c r="AJ1488" i="4"/>
  <c r="AJ1489" i="4"/>
  <c r="AJ1490" i="4"/>
  <c r="AJ1491" i="4"/>
  <c r="AJ1492" i="4"/>
  <c r="AJ1493" i="4"/>
  <c r="AJ1494" i="4"/>
  <c r="AJ1495" i="4"/>
  <c r="AJ1496" i="4"/>
  <c r="AJ1497" i="4"/>
  <c r="AJ1498" i="4"/>
  <c r="AJ1499" i="4"/>
  <c r="AJ1500" i="4"/>
  <c r="AJ1501" i="4"/>
  <c r="AJ1502" i="4"/>
  <c r="AJ1503" i="4"/>
  <c r="AJ1504" i="4"/>
  <c r="AJ1505" i="4"/>
  <c r="AJ1506" i="4"/>
  <c r="AJ1507" i="4"/>
  <c r="AJ1508" i="4"/>
  <c r="AJ1509" i="4"/>
  <c r="AJ1510" i="4"/>
  <c r="AJ1511" i="4"/>
  <c r="AJ1512" i="4"/>
  <c r="AJ1513" i="4"/>
  <c r="AJ1514" i="4"/>
  <c r="AJ1515" i="4"/>
  <c r="AJ1516" i="4"/>
  <c r="AJ1517" i="4"/>
  <c r="AJ1518" i="4"/>
  <c r="AJ1519" i="4"/>
  <c r="AJ1520" i="4"/>
  <c r="AJ1521" i="4"/>
  <c r="AJ1522" i="4"/>
  <c r="AJ1523" i="4"/>
  <c r="AJ1524" i="4"/>
  <c r="AJ1525" i="4"/>
  <c r="AJ1526" i="4"/>
  <c r="AJ1527" i="4"/>
  <c r="AJ1528" i="4"/>
  <c r="AJ1529" i="4"/>
  <c r="AJ1530" i="4"/>
  <c r="AJ1531" i="4"/>
  <c r="AJ1532" i="4"/>
  <c r="AJ1533" i="4"/>
  <c r="AJ1534" i="4"/>
  <c r="AJ1535" i="4"/>
  <c r="AJ1536" i="4"/>
  <c r="AJ1537" i="4"/>
  <c r="AJ1538" i="4"/>
  <c r="AJ1539" i="4"/>
  <c r="AJ1540" i="4"/>
  <c r="AJ1541" i="4"/>
  <c r="AJ1542" i="4"/>
  <c r="AJ1543" i="4"/>
  <c r="AJ1544" i="4"/>
  <c r="AJ1545" i="4"/>
  <c r="AJ1546" i="4"/>
  <c r="AJ1547" i="4"/>
  <c r="AJ1548" i="4"/>
  <c r="AJ1549" i="4"/>
  <c r="AJ1550" i="4"/>
  <c r="AJ1551" i="4"/>
  <c r="AJ1552" i="4"/>
  <c r="AJ1553" i="4"/>
  <c r="AJ1554" i="4"/>
  <c r="AJ1555" i="4"/>
  <c r="AJ1556" i="4"/>
  <c r="AJ1557" i="4"/>
  <c r="AJ1558" i="4"/>
  <c r="AJ1559" i="4"/>
  <c r="AJ1560" i="4"/>
  <c r="AJ1561" i="4"/>
  <c r="AJ1562" i="4"/>
  <c r="AJ1563" i="4"/>
  <c r="AJ1564" i="4"/>
  <c r="AJ1565" i="4"/>
  <c r="AJ1566" i="4"/>
  <c r="AJ1567" i="4"/>
  <c r="AJ1568" i="4"/>
  <c r="AJ1569" i="4"/>
  <c r="AJ1570" i="4"/>
  <c r="AJ1571" i="4"/>
  <c r="AJ1572" i="4"/>
  <c r="AJ1573" i="4"/>
  <c r="AJ1574" i="4"/>
  <c r="AJ1575" i="4"/>
  <c r="AJ1576" i="4"/>
  <c r="AJ1577" i="4"/>
  <c r="AJ1578" i="4"/>
  <c r="AJ1579" i="4"/>
  <c r="AJ1580" i="4"/>
  <c r="AJ1581" i="4"/>
  <c r="AJ1582" i="4"/>
  <c r="AJ1583" i="4"/>
  <c r="AJ1584" i="4"/>
  <c r="AJ1585" i="4"/>
  <c r="AJ1586" i="4"/>
  <c r="AJ1587" i="4"/>
  <c r="AJ1588" i="4"/>
  <c r="AJ1589" i="4"/>
  <c r="AJ1590" i="4"/>
  <c r="AJ1591" i="4"/>
  <c r="AJ1592" i="4"/>
  <c r="AJ1593" i="4"/>
  <c r="AJ1594" i="4"/>
  <c r="AJ1595" i="4"/>
  <c r="AJ1596" i="4"/>
  <c r="AJ1597" i="4"/>
  <c r="AJ1598" i="4"/>
  <c r="AJ1599" i="4"/>
  <c r="AJ1600" i="4"/>
  <c r="AJ1601" i="4"/>
  <c r="AJ1602" i="4"/>
  <c r="AJ1603" i="4"/>
  <c r="AJ1604" i="4"/>
  <c r="AJ1605" i="4"/>
  <c r="AJ1606" i="4"/>
  <c r="AJ1607" i="4"/>
  <c r="AJ1608" i="4"/>
  <c r="AJ1609" i="4"/>
  <c r="AJ1610" i="4"/>
  <c r="AJ1611" i="4"/>
  <c r="AJ1612" i="4"/>
  <c r="AJ1613" i="4"/>
  <c r="AJ1614" i="4"/>
  <c r="AJ1615" i="4"/>
  <c r="AJ1616" i="4"/>
  <c r="AJ1617" i="4"/>
  <c r="AJ1618" i="4"/>
  <c r="AJ1619" i="4"/>
  <c r="AJ1620" i="4"/>
  <c r="AJ1621" i="4"/>
  <c r="AJ1622" i="4"/>
  <c r="AJ1623" i="4"/>
  <c r="AJ1624" i="4"/>
  <c r="AJ1625" i="4"/>
  <c r="AJ1626" i="4"/>
  <c r="AJ1627" i="4"/>
  <c r="AJ1628" i="4"/>
  <c r="AJ1629" i="4"/>
  <c r="AJ1630" i="4"/>
  <c r="AJ1631" i="4"/>
  <c r="AJ1632" i="4"/>
  <c r="AJ1633" i="4"/>
  <c r="AJ1634" i="4"/>
  <c r="AJ1635" i="4"/>
  <c r="AJ1636" i="4"/>
  <c r="AJ1637" i="4"/>
  <c r="AJ1638" i="4"/>
  <c r="AJ1639" i="4"/>
  <c r="AJ1640" i="4"/>
  <c r="AJ1641" i="4"/>
  <c r="AJ1642" i="4"/>
  <c r="AJ1643" i="4"/>
  <c r="AJ1644" i="4"/>
  <c r="AJ1645" i="4"/>
  <c r="AJ1646" i="4"/>
  <c r="AJ1647" i="4"/>
  <c r="AJ1648" i="4"/>
  <c r="AJ1649" i="4"/>
  <c r="AJ1650" i="4"/>
  <c r="AJ1651" i="4"/>
  <c r="AJ1652" i="4"/>
  <c r="AJ1653" i="4"/>
  <c r="AJ1654" i="4"/>
  <c r="AJ1655" i="4"/>
  <c r="AJ1656" i="4"/>
  <c r="AJ1657" i="4"/>
  <c r="AJ1658" i="4"/>
  <c r="AJ1659" i="4"/>
  <c r="AJ1660" i="4"/>
  <c r="AJ1661" i="4"/>
  <c r="AJ1662" i="4"/>
  <c r="AJ1663" i="4"/>
  <c r="AJ1664" i="4"/>
  <c r="AJ1665" i="4"/>
  <c r="AJ1666" i="4"/>
  <c r="AJ1667" i="4"/>
  <c r="AJ1668" i="4"/>
  <c r="AJ1669" i="4"/>
  <c r="AJ1670" i="4"/>
  <c r="AJ1671" i="4"/>
  <c r="AJ1672" i="4"/>
  <c r="AJ1673" i="4"/>
  <c r="AJ1674" i="4"/>
  <c r="AJ1675" i="4"/>
  <c r="AJ1676" i="4"/>
  <c r="AJ1677" i="4"/>
  <c r="AJ1678" i="4"/>
  <c r="AJ1679" i="4"/>
  <c r="AJ1680" i="4"/>
  <c r="AJ1681" i="4"/>
  <c r="AJ1682" i="4"/>
  <c r="AJ1683" i="4"/>
  <c r="AJ1684" i="4"/>
  <c r="AJ1685" i="4"/>
  <c r="AJ1686" i="4"/>
  <c r="AJ1687" i="4"/>
  <c r="AJ1688" i="4"/>
  <c r="AJ1689" i="4"/>
  <c r="AJ1690" i="4"/>
  <c r="AJ1691" i="4"/>
  <c r="AJ1692" i="4"/>
  <c r="AJ1693" i="4"/>
  <c r="AJ1694" i="4"/>
  <c r="AJ1695" i="4"/>
  <c r="AJ1696" i="4"/>
  <c r="AJ1697" i="4"/>
  <c r="AJ1698" i="4"/>
  <c r="AJ1699" i="4"/>
  <c r="AJ1700" i="4"/>
  <c r="AJ1701" i="4"/>
  <c r="AJ1702" i="4"/>
  <c r="AJ1703" i="4"/>
  <c r="AJ1704" i="4"/>
  <c r="AJ1705" i="4"/>
  <c r="AJ1706" i="4"/>
  <c r="AJ1707" i="4"/>
  <c r="AJ1708" i="4"/>
  <c r="AJ1709" i="4"/>
  <c r="AJ1710" i="4"/>
  <c r="AJ1711" i="4"/>
  <c r="AJ1712" i="4"/>
  <c r="AJ1713" i="4"/>
  <c r="AJ1714" i="4"/>
  <c r="AJ1715" i="4"/>
  <c r="AJ1716" i="4"/>
  <c r="AJ1717" i="4"/>
  <c r="AJ1718" i="4"/>
  <c r="AJ1719" i="4"/>
  <c r="AJ1720" i="4"/>
  <c r="AJ1721" i="4"/>
  <c r="AJ1722" i="4"/>
  <c r="AJ1723" i="4"/>
  <c r="AJ1724" i="4"/>
  <c r="AJ1725" i="4"/>
  <c r="AJ1726" i="4"/>
  <c r="AJ1727" i="4"/>
  <c r="AJ1728" i="4"/>
  <c r="AJ1729" i="4"/>
  <c r="AJ1730" i="4"/>
  <c r="AJ1731" i="4"/>
  <c r="AJ1732" i="4"/>
  <c r="AJ1733" i="4"/>
  <c r="AJ1734" i="4"/>
  <c r="AJ1735" i="4"/>
  <c r="AJ1736" i="4"/>
  <c r="AJ1737" i="4"/>
  <c r="AJ1738" i="4"/>
  <c r="AJ1739" i="4"/>
  <c r="AJ1740" i="4"/>
  <c r="AJ1741" i="4"/>
  <c r="AJ1742" i="4"/>
  <c r="AJ1743" i="4"/>
  <c r="AJ1744" i="4"/>
  <c r="AJ1745" i="4"/>
  <c r="AJ1746" i="4"/>
  <c r="AJ1747" i="4"/>
  <c r="AJ1748" i="4"/>
  <c r="AJ1749" i="4"/>
  <c r="AJ1750" i="4"/>
  <c r="AJ1751" i="4"/>
  <c r="AJ1752" i="4"/>
  <c r="AJ1753" i="4"/>
  <c r="AJ1754" i="4"/>
  <c r="AJ1755" i="4"/>
  <c r="AJ1756" i="4"/>
  <c r="AJ1757" i="4"/>
  <c r="AJ1758" i="4"/>
  <c r="AJ1759" i="4"/>
  <c r="AJ1760" i="4"/>
  <c r="AJ1761" i="4"/>
  <c r="AJ1762" i="4"/>
  <c r="AJ1763" i="4"/>
  <c r="AJ1764" i="4"/>
  <c r="AJ1765" i="4"/>
  <c r="AJ1766" i="4"/>
  <c r="AJ1767" i="4"/>
  <c r="AJ1768" i="4"/>
  <c r="AJ1769" i="4"/>
  <c r="AJ1770" i="4"/>
  <c r="AJ1771" i="4"/>
  <c r="AJ1772" i="4"/>
  <c r="AJ1773" i="4"/>
  <c r="AJ1774" i="4"/>
  <c r="AJ1775" i="4"/>
  <c r="AJ1776" i="4"/>
  <c r="AJ1777" i="4"/>
  <c r="AJ1778" i="4"/>
  <c r="AJ1779" i="4"/>
  <c r="AJ1780" i="4"/>
  <c r="AJ1781" i="4"/>
  <c r="AJ1782" i="4"/>
  <c r="AJ1783" i="4"/>
  <c r="AJ1784" i="4"/>
  <c r="AJ1785" i="4"/>
  <c r="AJ1786" i="4"/>
  <c r="AJ1787" i="4"/>
  <c r="AJ1788" i="4"/>
  <c r="AJ1789" i="4"/>
  <c r="AJ1790" i="4"/>
  <c r="AJ1791" i="4"/>
  <c r="AJ1792" i="4"/>
  <c r="AJ1793" i="4"/>
  <c r="AJ1794" i="4"/>
  <c r="AJ1795" i="4"/>
  <c r="AJ1796" i="4"/>
  <c r="AJ1797" i="4"/>
  <c r="AJ1798" i="4"/>
  <c r="AJ1799" i="4"/>
  <c r="AJ1800" i="4"/>
  <c r="AJ1801" i="4"/>
  <c r="AJ1802" i="4"/>
  <c r="AJ1803" i="4"/>
  <c r="AJ1804" i="4"/>
  <c r="AJ1805" i="4"/>
  <c r="AJ1806" i="4"/>
  <c r="AJ1807" i="4"/>
  <c r="AJ1808" i="4"/>
  <c r="AJ1809" i="4"/>
  <c r="AJ1810" i="4"/>
  <c r="AJ1811" i="4"/>
  <c r="AJ1812" i="4"/>
  <c r="AJ1813" i="4"/>
  <c r="AJ1814" i="4"/>
  <c r="AJ1815" i="4"/>
  <c r="AJ1816" i="4"/>
  <c r="AJ1817" i="4"/>
  <c r="AJ1818" i="4"/>
  <c r="AJ1819" i="4"/>
  <c r="AJ1820" i="4"/>
  <c r="AJ1821" i="4"/>
  <c r="AJ1822" i="4"/>
  <c r="AJ1823" i="4"/>
  <c r="AJ1824" i="4"/>
  <c r="AJ1825" i="4"/>
  <c r="AJ1826" i="4"/>
  <c r="AJ1827" i="4"/>
  <c r="AJ1828" i="4"/>
  <c r="AJ1829" i="4"/>
  <c r="AJ1830" i="4"/>
  <c r="AJ1831" i="4"/>
  <c r="AJ1832" i="4"/>
  <c r="AJ1833" i="4"/>
  <c r="AJ1834" i="4"/>
  <c r="AJ1835" i="4"/>
  <c r="AJ1836" i="4"/>
  <c r="AJ1837" i="4"/>
  <c r="AJ1838" i="4"/>
  <c r="AJ1839" i="4"/>
  <c r="AJ1840" i="4"/>
  <c r="AJ1841" i="4"/>
  <c r="AJ1842" i="4"/>
  <c r="AJ1843" i="4"/>
  <c r="AJ1844" i="4"/>
  <c r="AJ1845" i="4"/>
  <c r="AJ1846" i="4"/>
  <c r="AJ1847" i="4"/>
  <c r="AJ1848" i="4"/>
  <c r="AJ1849" i="4"/>
  <c r="AJ1850" i="4"/>
  <c r="AJ1851" i="4"/>
  <c r="AJ1852" i="4"/>
  <c r="AJ1853" i="4"/>
  <c r="AJ1854" i="4"/>
  <c r="AJ1855" i="4"/>
  <c r="AJ1856" i="4"/>
  <c r="AJ1857" i="4"/>
  <c r="AJ1858" i="4"/>
  <c r="AJ1859" i="4"/>
  <c r="AJ1860" i="4"/>
  <c r="AJ1861" i="4"/>
  <c r="AJ1862" i="4"/>
  <c r="AJ1863" i="4"/>
  <c r="AJ1864" i="4"/>
  <c r="AJ1865" i="4"/>
  <c r="AJ1866" i="4"/>
  <c r="AJ1867" i="4"/>
  <c r="AJ1868" i="4"/>
  <c r="AJ1869" i="4"/>
  <c r="AJ1870" i="4"/>
  <c r="AJ1871" i="4"/>
  <c r="AJ1872" i="4"/>
  <c r="AJ1873" i="4"/>
  <c r="AJ1874" i="4"/>
  <c r="AJ1875" i="4"/>
  <c r="AJ1876" i="4"/>
  <c r="AJ1877" i="4"/>
  <c r="AJ1878" i="4"/>
  <c r="AJ1879" i="4"/>
  <c r="AJ1880" i="4"/>
  <c r="AJ1881" i="4"/>
  <c r="AJ1882" i="4"/>
  <c r="AJ1883" i="4"/>
  <c r="AJ1884" i="4"/>
  <c r="AJ1885" i="4"/>
  <c r="AJ1886" i="4"/>
  <c r="AJ1887" i="4"/>
  <c r="AJ1888" i="4"/>
  <c r="AJ1889" i="4"/>
  <c r="AJ1890" i="4"/>
  <c r="AJ1891" i="4"/>
  <c r="AJ1892" i="4"/>
  <c r="AJ1893" i="4"/>
  <c r="AJ1894" i="4"/>
  <c r="AJ1895" i="4"/>
  <c r="AJ1896" i="4"/>
  <c r="AJ1897" i="4"/>
  <c r="AJ1898" i="4"/>
  <c r="AJ1899" i="4"/>
  <c r="AJ1900" i="4"/>
  <c r="AJ1901" i="4"/>
  <c r="AJ1902" i="4"/>
  <c r="AJ1903" i="4"/>
  <c r="AJ1904" i="4"/>
  <c r="AJ1905" i="4"/>
  <c r="AJ1906" i="4"/>
  <c r="AJ1907" i="4"/>
  <c r="AJ1908" i="4"/>
  <c r="AJ1909" i="4"/>
  <c r="AJ1910" i="4"/>
  <c r="AJ1911" i="4"/>
  <c r="AJ1912" i="4"/>
  <c r="AJ1913" i="4"/>
  <c r="AJ1914" i="4"/>
  <c r="AJ1915" i="4"/>
  <c r="AJ1916" i="4"/>
  <c r="AJ1917" i="4"/>
  <c r="AJ1918" i="4"/>
  <c r="AJ1919" i="4"/>
  <c r="AJ1920" i="4"/>
  <c r="AJ1921" i="4"/>
  <c r="AJ1922" i="4"/>
  <c r="AJ1923" i="4"/>
  <c r="AJ1924" i="4"/>
  <c r="AJ1925" i="4"/>
  <c r="AJ1926" i="4"/>
  <c r="AJ1927" i="4"/>
  <c r="AJ1928" i="4"/>
  <c r="AJ1929" i="4"/>
  <c r="AJ1930" i="4"/>
  <c r="AJ1931" i="4"/>
  <c r="AJ1932" i="4"/>
  <c r="AJ1933" i="4"/>
  <c r="AJ1934" i="4"/>
  <c r="AJ1935" i="4"/>
  <c r="AJ1936" i="4"/>
  <c r="AJ1937" i="4"/>
  <c r="AJ1938" i="4"/>
  <c r="AJ1939" i="4"/>
  <c r="AJ1940" i="4"/>
  <c r="AJ1941" i="4"/>
  <c r="AJ1942" i="4"/>
  <c r="AJ1943" i="4"/>
  <c r="AJ1944" i="4"/>
  <c r="AJ1945" i="4"/>
  <c r="AJ1946" i="4"/>
  <c r="AJ1947" i="4"/>
  <c r="AJ1948" i="4"/>
  <c r="AJ1949" i="4"/>
  <c r="AJ1950" i="4"/>
  <c r="AJ1951" i="4"/>
  <c r="AJ1952" i="4"/>
  <c r="AJ1953" i="4"/>
  <c r="AJ1954" i="4"/>
  <c r="AJ1955" i="4"/>
  <c r="AJ1956" i="4"/>
  <c r="AJ1957" i="4"/>
  <c r="AJ1958" i="4"/>
  <c r="AJ1959" i="4"/>
  <c r="AJ1960" i="4"/>
  <c r="AJ1961" i="4"/>
  <c r="AJ1962" i="4"/>
  <c r="AJ1963" i="4"/>
  <c r="AJ1964" i="4"/>
  <c r="AJ1965" i="4"/>
  <c r="AJ1966" i="4"/>
  <c r="AJ1967" i="4"/>
  <c r="AJ1968" i="4"/>
  <c r="AJ1969" i="4"/>
  <c r="AJ1970" i="4"/>
  <c r="AJ1971" i="4"/>
  <c r="AJ1972" i="4"/>
  <c r="AJ1973" i="4"/>
  <c r="AJ1974" i="4"/>
  <c r="AJ1975" i="4"/>
  <c r="AJ1976" i="4"/>
  <c r="AJ1977" i="4"/>
  <c r="AJ1978" i="4"/>
  <c r="AJ1979" i="4"/>
  <c r="AJ1980" i="4"/>
  <c r="AJ1981" i="4"/>
  <c r="AJ1982" i="4"/>
  <c r="AJ1983" i="4"/>
  <c r="AJ1984" i="4"/>
  <c r="AJ1985" i="4"/>
  <c r="AJ1986" i="4"/>
  <c r="AJ1987" i="4"/>
  <c r="AJ1988" i="4"/>
  <c r="AJ1989" i="4"/>
  <c r="AJ1990" i="4"/>
  <c r="AJ1991" i="4"/>
  <c r="AJ1992" i="4"/>
  <c r="AJ1993" i="4"/>
  <c r="AJ1994" i="4"/>
  <c r="AJ1995" i="4"/>
  <c r="AJ1996" i="4"/>
  <c r="AJ1997" i="4"/>
  <c r="AJ1998" i="4"/>
  <c r="AJ1999" i="4"/>
  <c r="AJ2000" i="4"/>
  <c r="AJ2001" i="4"/>
  <c r="AJ2002" i="4"/>
  <c r="AJ2003" i="4"/>
  <c r="AJ2004" i="4"/>
  <c r="AJ2005" i="4"/>
  <c r="AJ2006" i="4"/>
  <c r="AJ2007" i="4"/>
  <c r="AJ2008" i="4"/>
  <c r="AJ2009" i="4"/>
  <c r="AJ2010" i="4"/>
  <c r="AJ2011" i="4"/>
  <c r="AJ2012" i="4"/>
  <c r="AJ2013" i="4"/>
  <c r="AJ2014" i="4"/>
  <c r="AJ2015" i="4"/>
  <c r="AJ2016" i="4"/>
  <c r="AJ2017" i="4"/>
  <c r="AJ2018" i="4"/>
  <c r="AJ2019" i="4"/>
  <c r="AJ2020" i="4"/>
  <c r="AJ2021" i="4"/>
  <c r="AJ2022" i="4"/>
  <c r="AJ2023" i="4"/>
  <c r="AJ2024" i="4"/>
  <c r="AJ2025" i="4"/>
  <c r="AJ2026" i="4"/>
  <c r="AJ2027" i="4"/>
  <c r="AJ2028" i="4"/>
  <c r="AJ2029" i="4"/>
  <c r="AJ2030" i="4"/>
  <c r="AJ2031" i="4"/>
  <c r="AJ2032" i="4"/>
  <c r="AJ2033" i="4"/>
  <c r="AJ2034" i="4"/>
  <c r="AJ2035" i="4"/>
  <c r="AJ2036" i="4"/>
  <c r="AJ2037" i="4"/>
  <c r="AJ2038" i="4"/>
  <c r="AJ2039" i="4"/>
  <c r="AJ2040" i="4"/>
  <c r="AJ2041" i="4"/>
  <c r="AJ2042" i="4"/>
  <c r="AJ2043" i="4"/>
  <c r="AJ2044" i="4"/>
  <c r="AJ2045" i="4"/>
  <c r="AJ2046" i="4"/>
  <c r="AJ2047" i="4"/>
  <c r="AJ2048" i="4"/>
  <c r="AJ2049" i="4"/>
  <c r="AJ2050" i="4"/>
  <c r="AJ2051" i="4"/>
  <c r="AJ2052" i="4"/>
  <c r="AJ2053" i="4"/>
  <c r="AJ2054" i="4"/>
  <c r="AJ2055" i="4"/>
  <c r="AJ2056" i="4"/>
  <c r="AJ2057" i="4"/>
  <c r="AJ2058" i="4"/>
  <c r="AJ2059" i="4"/>
  <c r="AJ2060" i="4"/>
  <c r="AJ2061" i="4"/>
  <c r="AJ2062" i="4"/>
  <c r="AJ2063" i="4"/>
  <c r="AJ2064" i="4"/>
  <c r="AJ2065" i="4"/>
  <c r="AJ2066" i="4"/>
  <c r="AJ2067" i="4"/>
  <c r="AJ2068" i="4"/>
  <c r="AJ2069" i="4"/>
  <c r="AJ2070" i="4"/>
  <c r="AJ2071" i="4"/>
  <c r="AJ2072" i="4"/>
  <c r="AJ2073" i="4"/>
  <c r="AJ2074" i="4"/>
  <c r="AJ2075" i="4"/>
  <c r="AJ2076" i="4"/>
  <c r="AJ2077" i="4"/>
  <c r="AJ2078" i="4"/>
  <c r="AJ2079" i="4"/>
  <c r="AJ2080" i="4"/>
  <c r="AJ2081" i="4"/>
  <c r="AJ2082" i="4"/>
  <c r="AJ2083" i="4"/>
  <c r="AJ2084" i="4"/>
  <c r="AJ2085" i="4"/>
  <c r="AJ2086" i="4"/>
  <c r="AJ2087" i="4"/>
  <c r="AJ2088" i="4"/>
  <c r="AJ2089" i="4"/>
  <c r="AJ2090" i="4"/>
  <c r="AJ2091" i="4"/>
  <c r="AJ2092" i="4"/>
  <c r="AJ2093" i="4"/>
  <c r="AJ2094" i="4"/>
  <c r="AJ2095" i="4"/>
  <c r="AJ2096" i="4"/>
  <c r="AJ2097" i="4"/>
  <c r="AJ2098" i="4"/>
  <c r="AJ2099" i="4"/>
  <c r="AJ2100" i="4"/>
  <c r="AJ2101" i="4"/>
  <c r="AJ2102" i="4"/>
  <c r="AJ2103" i="4"/>
  <c r="AJ2104" i="4"/>
  <c r="AJ2105" i="4"/>
  <c r="AJ2106" i="4"/>
  <c r="AJ2107" i="4"/>
  <c r="AJ2108" i="4"/>
  <c r="AJ2109" i="4"/>
  <c r="AJ2110" i="4"/>
  <c r="AJ2111" i="4"/>
  <c r="AJ2112" i="4"/>
  <c r="AJ2113" i="4"/>
  <c r="AJ2114" i="4"/>
  <c r="AJ2115" i="4"/>
  <c r="AJ2116" i="4"/>
  <c r="AJ2117" i="4"/>
  <c r="AJ2118" i="4"/>
  <c r="AJ2119" i="4"/>
  <c r="AJ2120" i="4"/>
  <c r="AJ2121" i="4"/>
  <c r="AJ2122" i="4"/>
  <c r="AJ2123" i="4"/>
  <c r="AJ2124" i="4"/>
  <c r="AJ2125" i="4"/>
  <c r="AJ2126" i="4"/>
  <c r="AJ2127" i="4"/>
  <c r="AJ2128" i="4"/>
  <c r="AJ2129" i="4"/>
  <c r="AJ2130" i="4"/>
  <c r="AJ2131" i="4"/>
  <c r="AJ2132" i="4"/>
  <c r="AJ2133" i="4"/>
  <c r="AJ2134" i="4"/>
  <c r="AJ2135" i="4"/>
  <c r="AJ2136" i="4"/>
  <c r="AJ2137" i="4"/>
  <c r="AJ2138" i="4"/>
  <c r="AJ2139" i="4"/>
  <c r="AJ2140" i="4"/>
  <c r="AJ2141" i="4"/>
  <c r="AJ2142" i="4"/>
  <c r="AJ2143" i="4"/>
  <c r="AJ2144" i="4"/>
  <c r="AJ2145" i="4"/>
  <c r="AJ2146" i="4"/>
  <c r="AJ2147" i="4"/>
  <c r="AJ2148" i="4"/>
  <c r="AJ2149" i="4"/>
  <c r="AJ2150" i="4"/>
  <c r="AJ2151" i="4"/>
  <c r="AJ2152" i="4"/>
  <c r="AJ2153" i="4"/>
  <c r="AJ2154" i="4"/>
  <c r="AJ2155" i="4"/>
  <c r="AJ2156" i="4"/>
  <c r="AJ2157" i="4"/>
  <c r="AJ2158" i="4"/>
  <c r="AJ2159" i="4"/>
  <c r="AJ2160" i="4"/>
  <c r="AJ2161" i="4"/>
  <c r="AJ2162" i="4"/>
  <c r="AJ2163" i="4"/>
  <c r="AJ2164" i="4"/>
  <c r="AJ2165" i="4"/>
  <c r="AJ2166" i="4"/>
  <c r="AJ2167" i="4"/>
  <c r="AJ2168" i="4"/>
  <c r="AJ2169" i="4"/>
  <c r="AJ2170" i="4"/>
  <c r="AJ2171" i="4"/>
  <c r="AJ2172" i="4"/>
  <c r="AJ2173" i="4"/>
  <c r="AJ2174" i="4"/>
  <c r="AJ2175" i="4"/>
  <c r="AJ2176" i="4"/>
  <c r="AJ2177" i="4"/>
  <c r="AJ2178" i="4"/>
  <c r="AJ2179" i="4"/>
  <c r="AJ2180" i="4"/>
  <c r="AJ2181" i="4"/>
  <c r="AJ2182" i="4"/>
  <c r="AJ2183" i="4"/>
  <c r="AJ2184" i="4"/>
  <c r="AJ2185" i="4"/>
  <c r="AJ2186" i="4"/>
  <c r="AJ2187" i="4"/>
  <c r="AJ2188" i="4"/>
  <c r="AJ2189" i="4"/>
  <c r="AJ2190" i="4"/>
  <c r="AJ2191" i="4"/>
  <c r="AJ2192" i="4"/>
  <c r="AJ2193" i="4"/>
  <c r="AJ2194" i="4"/>
  <c r="AJ2195" i="4"/>
  <c r="AJ2196" i="4"/>
  <c r="AJ2197" i="4"/>
  <c r="AJ2198" i="4"/>
  <c r="AJ2199" i="4"/>
  <c r="AJ2200" i="4"/>
  <c r="AJ2201" i="4"/>
  <c r="AJ2202" i="4"/>
  <c r="AJ2203" i="4"/>
  <c r="AJ2204" i="4"/>
  <c r="AJ2205" i="4"/>
  <c r="AJ2206" i="4"/>
  <c r="AJ2207" i="4"/>
  <c r="AJ2208" i="4"/>
  <c r="AJ2209" i="4"/>
  <c r="AJ2210" i="4"/>
  <c r="AJ2211" i="4"/>
  <c r="AJ2212" i="4"/>
  <c r="AJ2213" i="4"/>
  <c r="AJ2214" i="4"/>
  <c r="AJ2215" i="4"/>
  <c r="AJ2216" i="4"/>
  <c r="AJ2217" i="4"/>
  <c r="AJ2218" i="4"/>
  <c r="AJ2219" i="4"/>
  <c r="AJ2220" i="4"/>
  <c r="AJ2221" i="4"/>
  <c r="AJ2222" i="4"/>
  <c r="AJ2223" i="4"/>
  <c r="AJ2224" i="4"/>
  <c r="AJ2225" i="4"/>
  <c r="AJ2226" i="4"/>
  <c r="AJ2227" i="4"/>
  <c r="AJ2228" i="4"/>
  <c r="AJ2229" i="4"/>
  <c r="AJ2230" i="4"/>
  <c r="AJ2231" i="4"/>
  <c r="AJ2232" i="4"/>
  <c r="AJ2233" i="4"/>
  <c r="AJ2234" i="4"/>
  <c r="AJ2235" i="4"/>
  <c r="AJ2236" i="4"/>
  <c r="AJ2237" i="4"/>
  <c r="AJ2238" i="4"/>
  <c r="AJ2239" i="4"/>
  <c r="AJ2240" i="4"/>
  <c r="AJ2241" i="4"/>
  <c r="AJ2242" i="4"/>
  <c r="AJ2243" i="4"/>
  <c r="AJ2244" i="4"/>
  <c r="AJ2245" i="4"/>
  <c r="AJ2246" i="4"/>
  <c r="AJ2247" i="4"/>
  <c r="AJ2248" i="4"/>
  <c r="AJ2249" i="4"/>
  <c r="AJ2250" i="4"/>
  <c r="AJ2251" i="4"/>
  <c r="AJ2252" i="4"/>
  <c r="AJ2253" i="4"/>
  <c r="AJ2254" i="4"/>
  <c r="AJ2255" i="4"/>
  <c r="AJ2256" i="4"/>
  <c r="AJ2257" i="4"/>
  <c r="AJ2258" i="4"/>
  <c r="AJ2259" i="4"/>
  <c r="AJ2260" i="4"/>
  <c r="AJ2261" i="4"/>
  <c r="AJ2262" i="4"/>
  <c r="AJ2263" i="4"/>
  <c r="AJ2264" i="4"/>
  <c r="AJ2265" i="4"/>
  <c r="AJ2266" i="4"/>
  <c r="AJ2267" i="4"/>
  <c r="AJ2268" i="4"/>
  <c r="AJ2269" i="4"/>
  <c r="AJ2270" i="4"/>
  <c r="AJ2271" i="4"/>
  <c r="AJ2272" i="4"/>
  <c r="AJ2273" i="4"/>
  <c r="AJ2274" i="4"/>
  <c r="AJ2275" i="4"/>
  <c r="AJ2276" i="4"/>
  <c r="AJ2277" i="4"/>
  <c r="AJ2278" i="4"/>
  <c r="AJ2279" i="4"/>
  <c r="AJ2280" i="4"/>
  <c r="AJ2281" i="4"/>
  <c r="AJ2282" i="4"/>
  <c r="AJ2283" i="4"/>
  <c r="AJ2284" i="4"/>
  <c r="AJ2285" i="4"/>
  <c r="AJ2286" i="4"/>
  <c r="AJ2287" i="4"/>
  <c r="AJ2288" i="4"/>
  <c r="AJ2289" i="4"/>
  <c r="AJ2290" i="4"/>
  <c r="AJ2291" i="4"/>
  <c r="AJ2292" i="4"/>
  <c r="AJ2293" i="4"/>
  <c r="AJ2294" i="4"/>
  <c r="AJ2295" i="4"/>
  <c r="AJ2296" i="4"/>
  <c r="AJ2297" i="4"/>
  <c r="AJ2298" i="4"/>
  <c r="AJ2299" i="4"/>
  <c r="AJ2300" i="4"/>
  <c r="AJ2301" i="4"/>
  <c r="AJ2302" i="4"/>
  <c r="AJ2303" i="4"/>
  <c r="AJ2304" i="4"/>
  <c r="AJ2305" i="4"/>
  <c r="AJ2306" i="4"/>
  <c r="AJ2307" i="4"/>
  <c r="AJ2308" i="4"/>
  <c r="AJ2309" i="4"/>
  <c r="AJ2310" i="4"/>
  <c r="AJ2311" i="4"/>
  <c r="AJ2312" i="4"/>
  <c r="AJ2313" i="4"/>
  <c r="AJ2314" i="4"/>
  <c r="AJ2315" i="4"/>
  <c r="AJ2316" i="4"/>
  <c r="AJ2317" i="4"/>
  <c r="AJ2318" i="4"/>
  <c r="AJ2319" i="4"/>
  <c r="AJ2320" i="4"/>
  <c r="AJ2321" i="4"/>
  <c r="AJ2322" i="4"/>
  <c r="AJ2323" i="4"/>
  <c r="AJ2324" i="4"/>
  <c r="AJ2325" i="4"/>
  <c r="AJ2326" i="4"/>
  <c r="AJ2327" i="4"/>
  <c r="AJ2328" i="4"/>
  <c r="AJ2329" i="4"/>
  <c r="AJ2330" i="4"/>
  <c r="AJ2331" i="4"/>
  <c r="AJ2332" i="4"/>
  <c r="AJ2333" i="4"/>
  <c r="AJ2334" i="4"/>
  <c r="AJ2335" i="4"/>
  <c r="AJ2336" i="4"/>
  <c r="AJ2337" i="4"/>
  <c r="AJ2338" i="4"/>
  <c r="AJ2339" i="4"/>
  <c r="AJ2340" i="4"/>
  <c r="AJ2341" i="4"/>
  <c r="AJ2342" i="4"/>
  <c r="AJ2343" i="4"/>
  <c r="AJ2344" i="4"/>
  <c r="AJ2345" i="4"/>
  <c r="AJ2346" i="4"/>
  <c r="AJ2347" i="4"/>
  <c r="AJ2348" i="4"/>
  <c r="AJ2349" i="4"/>
  <c r="AJ2350" i="4"/>
  <c r="AJ2351" i="4"/>
  <c r="AJ2352" i="4"/>
  <c r="AJ2353" i="4"/>
  <c r="AJ2354" i="4"/>
  <c r="AJ2355" i="4"/>
  <c r="AJ2356" i="4"/>
  <c r="AJ2357" i="4"/>
  <c r="AJ2358" i="4"/>
  <c r="AJ2359" i="4"/>
  <c r="AJ2360" i="4"/>
  <c r="AJ2361" i="4"/>
  <c r="AJ2362" i="4"/>
  <c r="AJ2363" i="4"/>
  <c r="AJ2364" i="4"/>
  <c r="AJ2365" i="4"/>
  <c r="AJ2366" i="4"/>
  <c r="AJ2367" i="4"/>
  <c r="AJ2368" i="4"/>
  <c r="AJ2369" i="4"/>
  <c r="AJ2370" i="4"/>
  <c r="AJ2371" i="4"/>
  <c r="AJ2372" i="4"/>
  <c r="AJ2373" i="4"/>
  <c r="AJ2374" i="4"/>
  <c r="AJ2375" i="4"/>
  <c r="AJ2376" i="4"/>
  <c r="AJ2377" i="4"/>
  <c r="AJ2378" i="4"/>
  <c r="AJ2379" i="4"/>
  <c r="AJ2380" i="4"/>
  <c r="AJ2381" i="4"/>
  <c r="AJ2382" i="4"/>
  <c r="AJ2383" i="4"/>
  <c r="AJ2384" i="4"/>
  <c r="AJ2385" i="4"/>
  <c r="AJ2386" i="4"/>
  <c r="AJ2387" i="4"/>
  <c r="AJ2388" i="4"/>
  <c r="AJ2389" i="4"/>
  <c r="AJ2390" i="4"/>
  <c r="AJ2391" i="4"/>
  <c r="AJ2392" i="4"/>
  <c r="AJ2393" i="4"/>
  <c r="AJ2394" i="4"/>
  <c r="AJ2395" i="4"/>
  <c r="AJ2396" i="4"/>
  <c r="AJ2397" i="4"/>
  <c r="AJ2398" i="4"/>
  <c r="AJ2399" i="4"/>
  <c r="AJ2400" i="4"/>
  <c r="AJ2401" i="4"/>
  <c r="AJ2402" i="4"/>
  <c r="AJ2403" i="4"/>
  <c r="AJ2404" i="4"/>
  <c r="AJ2405" i="4"/>
  <c r="AJ2406" i="4"/>
  <c r="AJ2407" i="4"/>
  <c r="AJ2408" i="4"/>
  <c r="AJ2409" i="4"/>
  <c r="AJ2410" i="4"/>
  <c r="AJ2411" i="4"/>
  <c r="AJ2412" i="4"/>
  <c r="AJ2413" i="4"/>
  <c r="AJ2414" i="4"/>
  <c r="AJ2415" i="4"/>
  <c r="AJ2416" i="4"/>
  <c r="AJ2417" i="4"/>
  <c r="AJ2418" i="4"/>
  <c r="AJ2419" i="4"/>
  <c r="AJ2420" i="4"/>
  <c r="AJ2421" i="4"/>
  <c r="AJ2422" i="4"/>
  <c r="AJ2423" i="4"/>
  <c r="AJ2424" i="4"/>
  <c r="AJ2425" i="4"/>
  <c r="AJ2426" i="4"/>
  <c r="AJ2427" i="4"/>
  <c r="AJ2428" i="4"/>
  <c r="AJ2429" i="4"/>
  <c r="AJ2430" i="4"/>
  <c r="AJ2431" i="4"/>
  <c r="AJ2432" i="4"/>
  <c r="AJ2433" i="4"/>
  <c r="AJ2434" i="4"/>
  <c r="AJ2435" i="4"/>
  <c r="AJ2436" i="4"/>
  <c r="AJ2437" i="4"/>
  <c r="AJ2438" i="4"/>
  <c r="AJ2439" i="4"/>
  <c r="AJ2440" i="4"/>
  <c r="AJ2441" i="4"/>
  <c r="AJ2442" i="4"/>
  <c r="AJ2443" i="4"/>
  <c r="AJ2444" i="4"/>
  <c r="AJ2445" i="4"/>
  <c r="AJ2446" i="4"/>
  <c r="AJ2447" i="4"/>
  <c r="AJ2448" i="4"/>
  <c r="AJ2449" i="4"/>
  <c r="AJ2450" i="4"/>
  <c r="AJ2451" i="4"/>
  <c r="AJ2452" i="4"/>
  <c r="AJ2453" i="4"/>
  <c r="AJ2454" i="4"/>
  <c r="AJ2455" i="4"/>
  <c r="AJ2456" i="4"/>
  <c r="AJ2457" i="4"/>
  <c r="AJ2458" i="4"/>
  <c r="AJ2459" i="4"/>
  <c r="AJ2460" i="4"/>
  <c r="AJ2461" i="4"/>
  <c r="AJ2462" i="4"/>
  <c r="AJ2463" i="4"/>
  <c r="AJ2464" i="4"/>
  <c r="AJ2465" i="4"/>
  <c r="AJ2466" i="4"/>
  <c r="AJ2467" i="4"/>
  <c r="AJ2468" i="4"/>
  <c r="AJ2469" i="4"/>
  <c r="AJ2470" i="4"/>
  <c r="AJ2471" i="4"/>
  <c r="AJ2472" i="4"/>
  <c r="AJ2473" i="4"/>
  <c r="AJ2474" i="4"/>
  <c r="AJ2475" i="4"/>
  <c r="AJ2476" i="4"/>
  <c r="AJ2477" i="4"/>
  <c r="AJ2478" i="4"/>
  <c r="AJ2479" i="4"/>
  <c r="AJ2480" i="4"/>
  <c r="AJ2481" i="4"/>
  <c r="AJ2482" i="4"/>
  <c r="AJ2483" i="4"/>
  <c r="AJ2484" i="4"/>
  <c r="AJ2485" i="4"/>
  <c r="AJ2486" i="4"/>
  <c r="AJ2487" i="4"/>
  <c r="AJ2488" i="4"/>
  <c r="AJ2489" i="4"/>
  <c r="AJ2490" i="4"/>
  <c r="AJ2491" i="4"/>
  <c r="AJ2492" i="4"/>
  <c r="AJ2493" i="4"/>
  <c r="AJ2494" i="4"/>
  <c r="AJ2495" i="4"/>
  <c r="AJ2496" i="4"/>
  <c r="AJ2497" i="4"/>
  <c r="AJ2498" i="4"/>
  <c r="AJ2499" i="4"/>
  <c r="AJ2500" i="4"/>
  <c r="AJ2501" i="4"/>
  <c r="AJ2502" i="4"/>
  <c r="AJ2503" i="4"/>
  <c r="AJ2504" i="4"/>
  <c r="AJ2505" i="4"/>
  <c r="AJ2506" i="4"/>
  <c r="AJ2507" i="4"/>
  <c r="AJ2508" i="4"/>
  <c r="AJ2509" i="4"/>
  <c r="AJ2510" i="4"/>
  <c r="AJ2511" i="4"/>
  <c r="AJ2512" i="4"/>
  <c r="AJ2513" i="4"/>
  <c r="AJ2514" i="4"/>
  <c r="AJ2515" i="4"/>
  <c r="AJ2516" i="4"/>
  <c r="AJ2517" i="4"/>
  <c r="AJ2518" i="4"/>
  <c r="AJ2519" i="4"/>
  <c r="AJ2520" i="4"/>
  <c r="AJ2521" i="4"/>
  <c r="AJ2522" i="4"/>
  <c r="AJ2523" i="4"/>
  <c r="AJ2524" i="4"/>
  <c r="AJ2525" i="4"/>
  <c r="AJ2526" i="4"/>
  <c r="AJ2527" i="4"/>
  <c r="AJ2528" i="4"/>
  <c r="AJ2529" i="4"/>
  <c r="AJ2530" i="4"/>
  <c r="AJ2531" i="4"/>
  <c r="AJ2532" i="4"/>
  <c r="AJ2533" i="4"/>
  <c r="AJ2534" i="4"/>
  <c r="AJ2535" i="4"/>
  <c r="AJ2536" i="4"/>
  <c r="AJ2537" i="4"/>
  <c r="AJ2538" i="4"/>
  <c r="AJ2539" i="4"/>
  <c r="AJ2540" i="4"/>
  <c r="AJ2541" i="4"/>
  <c r="AJ2542" i="4"/>
  <c r="AJ2543" i="4"/>
  <c r="AJ2544" i="4"/>
  <c r="AJ2545" i="4"/>
  <c r="AJ2546" i="4"/>
  <c r="AJ2547" i="4"/>
  <c r="AJ2548" i="4"/>
  <c r="AJ2549" i="4"/>
  <c r="AJ2550" i="4"/>
  <c r="AJ2551" i="4"/>
  <c r="AJ2552" i="4"/>
  <c r="AJ2553" i="4"/>
  <c r="AJ2554" i="4"/>
  <c r="AJ2555" i="4"/>
  <c r="AJ2556" i="4"/>
  <c r="AJ2557" i="4"/>
  <c r="AJ2558" i="4"/>
  <c r="AJ2559" i="4"/>
  <c r="AJ2560" i="4"/>
  <c r="AJ2561" i="4"/>
  <c r="AJ2562" i="4"/>
  <c r="AJ2563" i="4"/>
  <c r="AJ2564" i="4"/>
  <c r="AJ2565" i="4"/>
  <c r="AJ2566" i="4"/>
  <c r="AJ2567" i="4"/>
  <c r="AJ2568" i="4"/>
  <c r="AJ2569" i="4"/>
  <c r="AJ2570" i="4"/>
  <c r="AJ2571" i="4"/>
  <c r="AJ2572" i="4"/>
  <c r="AJ2573" i="4"/>
  <c r="AJ2574" i="4"/>
  <c r="AJ2575" i="4"/>
  <c r="AJ2576" i="4"/>
  <c r="AJ2577" i="4"/>
  <c r="AJ2578" i="4"/>
  <c r="AJ2579" i="4"/>
  <c r="AJ2580" i="4"/>
  <c r="AJ2581" i="4"/>
  <c r="AJ2582" i="4"/>
  <c r="AJ2583" i="4"/>
  <c r="AJ2584" i="4"/>
  <c r="AJ2585" i="4"/>
  <c r="AJ2586" i="4"/>
  <c r="AJ2587" i="4"/>
  <c r="AJ2588" i="4"/>
  <c r="AJ2589" i="4"/>
  <c r="AJ2590" i="4"/>
  <c r="AJ2591" i="4"/>
  <c r="AJ2592" i="4"/>
  <c r="AJ2593" i="4"/>
  <c r="AJ2594" i="4"/>
  <c r="AJ2595" i="4"/>
  <c r="AJ2596" i="4"/>
  <c r="AJ2597" i="4"/>
  <c r="AJ2598" i="4"/>
  <c r="AJ2599" i="4"/>
  <c r="AJ2600" i="4"/>
  <c r="AJ2601" i="4"/>
  <c r="AJ2602" i="4"/>
  <c r="AJ2603" i="4"/>
  <c r="AJ2604" i="4"/>
  <c r="AJ2605" i="4"/>
  <c r="AJ2606" i="4"/>
  <c r="AJ2607" i="4"/>
  <c r="AJ2608" i="4"/>
  <c r="AJ2609" i="4"/>
  <c r="AJ2610" i="4"/>
  <c r="AJ2611" i="4"/>
  <c r="AJ2612" i="4"/>
  <c r="AJ2613" i="4"/>
  <c r="AJ2614" i="4"/>
  <c r="AJ2615" i="4"/>
  <c r="AJ2616" i="4"/>
  <c r="AJ2617" i="4"/>
  <c r="AJ2618" i="4"/>
  <c r="AJ2619" i="4"/>
  <c r="AJ2620" i="4"/>
  <c r="AJ2621" i="4"/>
  <c r="AJ2622" i="4"/>
  <c r="AJ2623" i="4"/>
  <c r="AJ2624" i="4"/>
  <c r="AJ2625" i="4"/>
  <c r="AJ2626" i="4"/>
  <c r="AJ2627" i="4"/>
  <c r="AJ2628" i="4"/>
  <c r="AJ2629" i="4"/>
  <c r="AJ2630" i="4"/>
  <c r="AJ2631" i="4"/>
  <c r="AJ2632" i="4"/>
  <c r="AJ2633" i="4"/>
  <c r="AJ2634" i="4"/>
  <c r="AJ2635" i="4"/>
  <c r="AJ2636" i="4"/>
  <c r="AJ2637" i="4"/>
  <c r="AJ2638" i="4"/>
  <c r="AJ2639" i="4"/>
  <c r="AJ2640" i="4"/>
  <c r="AJ2641" i="4"/>
  <c r="AJ2642" i="4"/>
  <c r="AJ2643" i="4"/>
  <c r="AJ2644" i="4"/>
  <c r="AJ2645" i="4"/>
  <c r="AJ2646" i="4"/>
  <c r="AJ2647" i="4"/>
  <c r="AJ2648" i="4"/>
  <c r="AJ2649" i="4"/>
  <c r="AJ2650" i="4"/>
  <c r="AJ2651" i="4"/>
  <c r="AJ2652" i="4"/>
  <c r="AJ2653" i="4"/>
  <c r="AJ2654" i="4"/>
  <c r="AJ2655" i="4"/>
  <c r="AJ2656" i="4"/>
  <c r="AJ2657" i="4"/>
  <c r="AJ2658" i="4"/>
  <c r="AJ2659" i="4"/>
  <c r="AJ2660" i="4"/>
  <c r="AJ2661" i="4"/>
  <c r="AJ2662" i="4"/>
  <c r="AJ2663" i="4"/>
  <c r="AJ2664" i="4"/>
  <c r="AJ2665" i="4"/>
  <c r="AJ2666" i="4"/>
  <c r="AJ2667" i="4"/>
  <c r="AJ2668" i="4"/>
  <c r="AJ2669" i="4"/>
  <c r="AJ2670" i="4"/>
  <c r="AJ2671" i="4"/>
  <c r="AJ2672" i="4"/>
  <c r="AJ2673" i="4"/>
  <c r="AJ2674" i="4"/>
  <c r="AJ2675" i="4"/>
  <c r="AJ2676" i="4"/>
  <c r="AJ2677" i="4"/>
  <c r="AJ2678" i="4"/>
  <c r="AJ2679" i="4"/>
  <c r="AJ2680" i="4"/>
  <c r="AJ2681" i="4"/>
  <c r="AJ2682" i="4"/>
  <c r="AJ2683" i="4"/>
  <c r="AJ2684" i="4"/>
  <c r="AJ2685" i="4"/>
  <c r="AJ2686" i="4"/>
  <c r="AJ2687" i="4"/>
  <c r="AJ2688" i="4"/>
  <c r="AJ2689" i="4"/>
  <c r="AJ2690" i="4"/>
  <c r="AJ2691" i="4"/>
  <c r="AJ2692" i="4"/>
  <c r="AJ2693" i="4"/>
  <c r="AJ2694" i="4"/>
  <c r="AJ2695" i="4"/>
  <c r="AJ2696" i="4"/>
  <c r="AJ2697" i="4"/>
  <c r="AJ2698" i="4"/>
  <c r="AJ2699" i="4"/>
  <c r="AJ2700" i="4"/>
  <c r="AJ2701" i="4"/>
  <c r="AJ2702" i="4"/>
  <c r="AJ2703" i="4"/>
  <c r="AJ2704" i="4"/>
  <c r="AJ2705" i="4"/>
  <c r="AJ2706" i="4"/>
  <c r="AJ2707" i="4"/>
  <c r="AJ2708" i="4"/>
  <c r="AJ2709" i="4"/>
  <c r="AJ2710" i="4"/>
  <c r="AJ2711" i="4"/>
  <c r="AJ2712" i="4"/>
  <c r="AJ2713" i="4"/>
  <c r="AJ2714" i="4"/>
  <c r="AJ2715" i="4"/>
  <c r="AJ2716" i="4"/>
  <c r="AJ2717" i="4"/>
  <c r="AJ2718" i="4"/>
  <c r="AJ2719" i="4"/>
  <c r="AJ2720" i="4"/>
  <c r="AJ2721" i="4"/>
  <c r="AJ2722" i="4"/>
  <c r="AJ2723" i="4"/>
  <c r="AJ2724" i="4"/>
  <c r="AJ2725" i="4"/>
  <c r="AJ2726" i="4"/>
  <c r="AJ2727" i="4"/>
  <c r="AJ2728" i="4"/>
  <c r="AJ2729" i="4"/>
  <c r="AJ2730" i="4"/>
  <c r="AJ2731" i="4"/>
  <c r="AJ2732" i="4"/>
  <c r="AJ2733" i="4"/>
  <c r="AJ2734" i="4"/>
  <c r="AJ2735" i="4"/>
  <c r="AJ2736" i="4"/>
  <c r="AJ2737" i="4"/>
  <c r="AJ2738" i="4"/>
  <c r="AJ2739" i="4"/>
  <c r="AJ2740" i="4"/>
  <c r="AJ2741" i="4"/>
  <c r="AJ2742" i="4"/>
  <c r="AJ2743" i="4"/>
  <c r="AJ2744" i="4"/>
  <c r="AJ2745" i="4"/>
  <c r="AJ2746" i="4"/>
  <c r="AJ2747" i="4"/>
  <c r="AJ2748" i="4"/>
  <c r="AJ2749" i="4"/>
  <c r="AJ2750" i="4"/>
  <c r="AJ2751" i="4"/>
  <c r="AJ2752" i="4"/>
  <c r="AJ2753" i="4"/>
  <c r="AJ2754" i="4"/>
  <c r="AJ2755" i="4"/>
  <c r="AJ2756" i="4"/>
  <c r="AJ2757" i="4"/>
  <c r="AJ2758" i="4"/>
  <c r="AJ2759" i="4"/>
  <c r="AJ2760" i="4"/>
  <c r="AJ2761" i="4"/>
  <c r="AJ2762" i="4"/>
  <c r="AJ2763" i="4"/>
  <c r="AJ2764" i="4"/>
  <c r="AJ2765" i="4"/>
  <c r="AJ2766" i="4"/>
  <c r="AJ2767" i="4"/>
  <c r="AJ2768" i="4"/>
  <c r="AJ2769" i="4"/>
  <c r="AJ2770" i="4"/>
  <c r="AJ2771" i="4"/>
  <c r="AJ2772" i="4"/>
  <c r="AJ2773" i="4"/>
  <c r="AJ2774" i="4"/>
  <c r="AJ2775" i="4"/>
  <c r="AJ2776" i="4"/>
  <c r="AJ2777" i="4"/>
  <c r="AJ2778" i="4"/>
  <c r="AJ2779" i="4"/>
  <c r="AJ2780" i="4"/>
  <c r="AJ2781" i="4"/>
  <c r="AJ2782" i="4"/>
  <c r="AJ2783" i="4"/>
  <c r="AJ2784" i="4"/>
  <c r="AJ2785" i="4"/>
  <c r="AJ2786" i="4"/>
  <c r="AJ2787" i="4"/>
  <c r="AJ2788" i="4"/>
  <c r="AJ2789" i="4"/>
  <c r="AJ2790" i="4"/>
  <c r="AJ2791" i="4"/>
  <c r="AJ2792" i="4"/>
  <c r="AJ2793" i="4"/>
  <c r="AJ2794" i="4"/>
  <c r="AJ2795" i="4"/>
  <c r="AJ2796" i="4"/>
  <c r="AJ2797" i="4"/>
  <c r="AJ2798" i="4"/>
  <c r="AJ2799" i="4"/>
  <c r="AJ2800" i="4"/>
  <c r="AJ2801" i="4"/>
  <c r="AJ2802" i="4"/>
  <c r="AJ2803" i="4"/>
  <c r="AJ2804" i="4"/>
  <c r="AJ2805" i="4"/>
  <c r="AJ2806" i="4"/>
  <c r="AJ2807" i="4"/>
  <c r="AJ2808" i="4"/>
  <c r="AJ2809" i="4"/>
  <c r="AJ2810" i="4"/>
  <c r="AJ2811" i="4"/>
  <c r="AJ2812" i="4"/>
  <c r="AJ2813" i="4"/>
  <c r="AJ2814" i="4"/>
  <c r="AJ2815" i="4"/>
  <c r="AJ2816" i="4"/>
  <c r="AJ2817" i="4"/>
  <c r="AJ2818" i="4"/>
  <c r="AJ2819" i="4"/>
  <c r="AJ2820" i="4"/>
  <c r="AJ2821" i="4"/>
  <c r="AJ2822" i="4"/>
  <c r="AJ2823" i="4"/>
  <c r="AJ2824" i="4"/>
  <c r="AJ2825" i="4"/>
  <c r="AJ2826" i="4"/>
  <c r="AJ2827" i="4"/>
  <c r="AJ2828" i="4"/>
  <c r="AJ2829" i="4"/>
  <c r="AJ2830" i="4"/>
  <c r="AJ2831" i="4"/>
  <c r="AJ2832" i="4"/>
  <c r="AJ2833" i="4"/>
  <c r="AJ2834" i="4"/>
  <c r="AJ2835" i="4"/>
  <c r="AJ2836" i="4"/>
  <c r="AJ2837" i="4"/>
  <c r="AJ2838" i="4"/>
  <c r="AJ2839" i="4"/>
  <c r="AJ2840" i="4"/>
  <c r="AJ2841" i="4"/>
  <c r="AJ2842" i="4"/>
  <c r="AJ2843" i="4"/>
  <c r="AJ2844" i="4"/>
  <c r="AJ2845" i="4"/>
  <c r="AJ2846" i="4"/>
  <c r="AJ2847" i="4"/>
  <c r="AJ2848" i="4"/>
  <c r="AJ2849" i="4"/>
  <c r="AJ2850" i="4"/>
  <c r="AJ2851" i="4"/>
  <c r="AJ2852" i="4"/>
  <c r="AJ2853" i="4"/>
  <c r="AJ2854" i="4"/>
  <c r="AJ2855" i="4"/>
  <c r="AJ2856" i="4"/>
  <c r="AJ2857" i="4"/>
  <c r="AJ2858" i="4"/>
  <c r="AJ2859" i="4"/>
  <c r="AJ2860" i="4"/>
  <c r="AJ2861" i="4"/>
  <c r="AJ2862" i="4"/>
  <c r="AJ2863" i="4"/>
  <c r="AJ2864" i="4"/>
  <c r="AJ2865" i="4"/>
  <c r="AJ2866" i="4"/>
  <c r="AJ2867" i="4"/>
  <c r="AJ2868" i="4"/>
  <c r="AJ2869" i="4"/>
  <c r="AJ2870" i="4"/>
  <c r="AJ2871" i="4"/>
  <c r="AJ2872" i="4"/>
  <c r="AJ2873" i="4"/>
  <c r="AJ2874" i="4"/>
  <c r="AJ2875" i="4"/>
  <c r="AJ2876" i="4"/>
  <c r="AJ2877" i="4"/>
  <c r="AJ2878" i="4"/>
  <c r="AJ2879" i="4"/>
  <c r="AJ2880" i="4"/>
  <c r="AJ2881" i="4"/>
  <c r="AJ2882" i="4"/>
  <c r="AJ2883" i="4"/>
  <c r="AJ2884" i="4"/>
  <c r="AJ2885" i="4"/>
  <c r="AJ2886" i="4"/>
  <c r="AJ2887" i="4"/>
  <c r="AJ2888" i="4"/>
  <c r="AJ2889" i="4"/>
  <c r="AJ2890" i="4"/>
  <c r="AJ2891" i="4"/>
  <c r="AJ2892" i="4"/>
  <c r="AJ2893" i="4"/>
  <c r="AJ2894" i="4"/>
  <c r="AJ2895" i="4"/>
  <c r="AJ2896" i="4"/>
  <c r="AJ2897" i="4"/>
  <c r="AJ2898" i="4"/>
  <c r="AJ2899" i="4"/>
  <c r="AJ2900" i="4"/>
  <c r="AJ2901" i="4"/>
  <c r="AJ2902" i="4"/>
  <c r="AJ2903" i="4"/>
  <c r="AJ2904" i="4"/>
  <c r="AJ2905" i="4"/>
  <c r="AJ2906" i="4"/>
  <c r="AJ2907" i="4"/>
  <c r="AJ2908" i="4"/>
  <c r="AJ2909" i="4"/>
  <c r="AJ2910" i="4"/>
  <c r="AJ2911" i="4"/>
  <c r="AJ2912" i="4"/>
  <c r="AJ2913" i="4"/>
  <c r="AJ2914" i="4"/>
  <c r="AJ2915" i="4"/>
  <c r="AJ2916" i="4"/>
  <c r="AJ2917" i="4"/>
  <c r="AJ2918" i="4"/>
  <c r="AJ2919" i="4"/>
  <c r="AJ2920" i="4"/>
  <c r="AJ2921" i="4"/>
  <c r="AJ2922" i="4"/>
  <c r="AJ2923" i="4"/>
  <c r="AJ2924" i="4"/>
  <c r="AJ2925" i="4"/>
  <c r="AJ2926" i="4"/>
  <c r="AJ2927" i="4"/>
  <c r="AJ2928" i="4"/>
  <c r="AJ2929" i="4"/>
  <c r="AJ2930" i="4"/>
  <c r="AJ2931" i="4"/>
  <c r="AJ2932" i="4"/>
  <c r="AJ2933" i="4"/>
  <c r="AJ2934" i="4"/>
  <c r="AJ2935" i="4"/>
  <c r="AJ2936" i="4"/>
  <c r="AJ2937" i="4"/>
  <c r="AJ2938" i="4"/>
  <c r="AJ2939" i="4"/>
  <c r="AJ2940" i="4"/>
  <c r="AJ2941" i="4"/>
  <c r="AJ2942" i="4"/>
  <c r="AJ2943" i="4"/>
  <c r="AJ2944" i="4"/>
  <c r="AJ2945" i="4"/>
  <c r="AJ2946" i="4"/>
  <c r="AJ2947" i="4"/>
  <c r="AJ2948" i="4"/>
  <c r="AJ2949" i="4"/>
  <c r="AJ2950" i="4"/>
  <c r="AJ2951" i="4"/>
  <c r="AJ2952" i="4"/>
  <c r="AJ2953" i="4"/>
  <c r="AJ2954" i="4"/>
  <c r="AJ2955" i="4"/>
  <c r="AJ2956" i="4"/>
  <c r="AJ2957" i="4"/>
  <c r="AJ2958" i="4"/>
  <c r="AJ2959" i="4"/>
  <c r="AJ2960" i="4"/>
  <c r="AJ2961" i="4"/>
  <c r="AJ2962" i="4"/>
  <c r="AJ2963" i="4"/>
  <c r="AJ2964" i="4"/>
  <c r="AJ2965" i="4"/>
  <c r="AJ2966" i="4"/>
  <c r="AJ2967" i="4"/>
  <c r="AJ2968" i="4"/>
  <c r="AJ2969" i="4"/>
  <c r="AJ2970" i="4"/>
  <c r="AJ2971" i="4"/>
  <c r="AJ2972" i="4"/>
  <c r="AJ2973" i="4"/>
  <c r="AJ2974" i="4"/>
  <c r="AJ2975" i="4"/>
  <c r="AJ2976" i="4"/>
  <c r="AJ2977" i="4"/>
  <c r="AJ2978" i="4"/>
  <c r="AJ2979" i="4"/>
  <c r="AJ2980" i="4"/>
  <c r="AJ2981" i="4"/>
  <c r="AJ2982" i="4"/>
  <c r="AJ2983" i="4"/>
  <c r="AJ2984" i="4"/>
  <c r="AJ2985" i="4"/>
  <c r="AJ2986" i="4"/>
  <c r="AJ2987" i="4"/>
  <c r="AJ2988" i="4"/>
  <c r="AJ2989" i="4"/>
  <c r="AJ2990" i="4"/>
  <c r="AJ2991" i="4"/>
  <c r="AJ2992" i="4"/>
  <c r="AJ2993" i="4"/>
  <c r="AJ2994" i="4"/>
  <c r="AJ2995" i="4"/>
  <c r="AJ2996" i="4"/>
  <c r="AJ2997" i="4"/>
  <c r="AJ2998" i="4"/>
  <c r="AJ2999" i="4"/>
  <c r="AJ3000" i="4"/>
  <c r="AJ3001" i="4"/>
  <c r="AJ3002" i="4"/>
  <c r="AJ3003" i="4"/>
  <c r="AJ3004" i="4"/>
  <c r="AJ3005" i="4"/>
  <c r="AJ3006" i="4"/>
  <c r="AJ3007" i="4"/>
  <c r="AJ3008" i="4"/>
  <c r="AJ3009" i="4"/>
  <c r="AJ3010" i="4"/>
  <c r="AJ3011" i="4"/>
  <c r="AJ3012" i="4"/>
  <c r="AJ3013" i="4"/>
  <c r="AJ3014" i="4"/>
  <c r="AJ3015" i="4"/>
  <c r="AJ3016" i="4"/>
  <c r="AJ3017" i="4"/>
  <c r="AJ3018" i="4"/>
  <c r="AJ3019" i="4"/>
  <c r="AJ3020" i="4"/>
  <c r="AJ3021" i="4"/>
  <c r="AJ3022" i="4"/>
  <c r="AJ3023" i="4"/>
  <c r="AJ3024" i="4"/>
  <c r="AJ3025" i="4"/>
  <c r="AJ3026" i="4"/>
  <c r="AJ3027" i="4"/>
  <c r="AJ3028" i="4"/>
  <c r="AJ3029" i="4"/>
  <c r="AJ3030" i="4"/>
  <c r="AJ3031" i="4"/>
  <c r="AJ3032" i="4"/>
  <c r="AJ3033" i="4"/>
  <c r="AJ3034" i="4"/>
  <c r="AJ3035" i="4"/>
  <c r="AJ3036" i="4"/>
  <c r="AJ3037" i="4"/>
  <c r="AJ3038" i="4"/>
  <c r="AJ3039" i="4"/>
  <c r="AJ3040" i="4"/>
  <c r="AJ3041" i="4"/>
  <c r="AJ3042" i="4"/>
  <c r="AJ3043" i="4"/>
  <c r="AJ3044" i="4"/>
  <c r="AJ3045" i="4"/>
  <c r="AJ3046" i="4"/>
  <c r="AJ3047" i="4"/>
  <c r="AJ3048" i="4"/>
  <c r="AJ3049" i="4"/>
  <c r="AJ3050" i="4"/>
  <c r="AJ3051" i="4"/>
  <c r="AJ3052" i="4"/>
  <c r="AJ3053" i="4"/>
  <c r="AJ3054" i="4"/>
  <c r="AJ3055" i="4"/>
  <c r="AJ3056" i="4"/>
  <c r="AJ3057" i="4"/>
  <c r="AJ3058" i="4"/>
  <c r="AJ3059" i="4"/>
  <c r="AJ3060" i="4"/>
  <c r="AJ3061" i="4"/>
  <c r="AJ3062" i="4"/>
  <c r="AJ3063" i="4"/>
  <c r="AJ3064" i="4"/>
  <c r="AJ3065" i="4"/>
  <c r="AJ3066" i="4"/>
  <c r="AJ3067" i="4"/>
  <c r="AJ3068" i="4"/>
  <c r="AJ3069" i="4"/>
  <c r="AJ3070" i="4"/>
  <c r="AJ3071" i="4"/>
  <c r="AJ3072" i="4"/>
  <c r="AJ3073" i="4"/>
  <c r="AJ3074" i="4"/>
  <c r="AJ3075" i="4"/>
  <c r="AJ3076" i="4"/>
  <c r="AJ3077" i="4"/>
  <c r="AJ3078" i="4"/>
  <c r="AJ3079" i="4"/>
  <c r="AJ3080" i="4"/>
  <c r="AJ3081" i="4"/>
  <c r="AJ3082" i="4"/>
  <c r="AJ3083" i="4"/>
  <c r="AJ3084" i="4"/>
  <c r="AJ3085" i="4"/>
  <c r="AJ3086" i="4"/>
  <c r="AJ3087" i="4"/>
  <c r="AJ3088" i="4"/>
  <c r="AJ3089" i="4"/>
  <c r="AJ3090" i="4"/>
  <c r="AJ3091" i="4"/>
  <c r="AJ3092" i="4"/>
  <c r="AJ3093" i="4"/>
  <c r="AJ3094" i="4"/>
  <c r="AJ3095" i="4"/>
  <c r="AJ3096" i="4"/>
  <c r="AJ3097" i="4"/>
  <c r="AJ3098" i="4"/>
  <c r="AJ3099" i="4"/>
  <c r="AJ3100" i="4"/>
  <c r="AJ3101" i="4"/>
  <c r="AJ3102" i="4"/>
  <c r="AJ3103" i="4"/>
  <c r="AJ3104" i="4"/>
  <c r="AJ3105" i="4"/>
  <c r="AJ3106" i="4"/>
  <c r="AJ3107" i="4"/>
  <c r="AJ3108" i="4"/>
  <c r="AJ3109" i="4"/>
  <c r="AJ3110" i="4"/>
  <c r="AJ3111" i="4"/>
  <c r="AJ3112" i="4"/>
  <c r="AJ3113" i="4"/>
  <c r="AJ3114" i="4"/>
  <c r="AJ3115" i="4"/>
  <c r="AJ3116" i="4"/>
  <c r="AJ3117" i="4"/>
  <c r="AJ3118" i="4"/>
  <c r="AJ3119" i="4"/>
  <c r="AJ3120" i="4"/>
  <c r="AJ3121" i="4"/>
  <c r="AJ3122" i="4"/>
  <c r="AJ3123" i="4"/>
  <c r="AJ3124" i="4"/>
  <c r="AJ3125" i="4"/>
  <c r="AJ3126" i="4"/>
  <c r="AJ3127" i="4"/>
  <c r="AJ3128" i="4"/>
  <c r="AJ3129" i="4"/>
  <c r="AJ3130" i="4"/>
  <c r="AJ3131" i="4"/>
  <c r="AJ3132" i="4"/>
  <c r="AJ3133" i="4"/>
  <c r="AJ3134" i="4"/>
  <c r="AJ3135" i="4"/>
  <c r="AJ3136" i="4"/>
  <c r="B31" i="6"/>
  <c r="B32" i="6"/>
  <c r="B33" i="6"/>
  <c r="B34" i="6"/>
  <c r="B35" i="6"/>
  <c r="B36" i="6"/>
  <c r="AV36" i="6" s="1"/>
  <c r="B37" i="6"/>
  <c r="B38" i="6"/>
  <c r="B39" i="6"/>
  <c r="B40" i="6"/>
  <c r="AV40" i="6" s="1"/>
  <c r="B17" i="6"/>
  <c r="B18" i="6"/>
  <c r="B19" i="6"/>
  <c r="B20" i="6"/>
  <c r="B21" i="6"/>
  <c r="B22" i="6"/>
  <c r="B23" i="6"/>
  <c r="B24" i="6"/>
  <c r="B25" i="6"/>
  <c r="B26" i="6"/>
  <c r="B3" i="6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AE39" i="7" s="1"/>
  <c r="B39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AE36" i="7" s="1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AE35" i="7" s="1"/>
  <c r="B35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AD31" i="7"/>
  <c r="AD41" i="7" s="1"/>
  <c r="AC31" i="7"/>
  <c r="AB31" i="7"/>
  <c r="AB41" i="7" s="1"/>
  <c r="AA31" i="7"/>
  <c r="AA41" i="7" s="1"/>
  <c r="Z31" i="7"/>
  <c r="Z41" i="7" s="1"/>
  <c r="Y31" i="7"/>
  <c r="X31" i="7"/>
  <c r="X41" i="7" s="1"/>
  <c r="W31" i="7"/>
  <c r="W41" i="7" s="1"/>
  <c r="V31" i="7"/>
  <c r="V41" i="7" s="1"/>
  <c r="U31" i="7"/>
  <c r="T31" i="7"/>
  <c r="T41" i="7" s="1"/>
  <c r="S31" i="7"/>
  <c r="S41" i="7" s="1"/>
  <c r="R31" i="7"/>
  <c r="R41" i="7" s="1"/>
  <c r="Q31" i="7"/>
  <c r="P31" i="7"/>
  <c r="P41" i="7" s="1"/>
  <c r="O31" i="7"/>
  <c r="O41" i="7" s="1"/>
  <c r="N31" i="7"/>
  <c r="N41" i="7" s="1"/>
  <c r="M31" i="7"/>
  <c r="L31" i="7"/>
  <c r="L41" i="7" s="1"/>
  <c r="K31" i="7"/>
  <c r="K41" i="7" s="1"/>
  <c r="J31" i="7"/>
  <c r="J41" i="7" s="1"/>
  <c r="I31" i="7"/>
  <c r="H31" i="7"/>
  <c r="H41" i="7" s="1"/>
  <c r="G31" i="7"/>
  <c r="G41" i="7" s="1"/>
  <c r="F31" i="7"/>
  <c r="F41" i="7" s="1"/>
  <c r="E31" i="7"/>
  <c r="D31" i="7"/>
  <c r="D41" i="7" s="1"/>
  <c r="C31" i="7"/>
  <c r="C41" i="7" s="1"/>
  <c r="B31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AE26" i="7" s="1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AE22" i="7" s="1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AE18" i="7" s="1"/>
  <c r="AD17" i="7"/>
  <c r="AC17" i="7"/>
  <c r="AB17" i="7"/>
  <c r="AA17" i="7"/>
  <c r="AA27" i="7" s="1"/>
  <c r="Z17" i="7"/>
  <c r="Y17" i="7"/>
  <c r="X17" i="7"/>
  <c r="W17" i="7"/>
  <c r="W27" i="7" s="1"/>
  <c r="V17" i="7"/>
  <c r="U17" i="7"/>
  <c r="T17" i="7"/>
  <c r="S17" i="7"/>
  <c r="S27" i="7" s="1"/>
  <c r="R17" i="7"/>
  <c r="Q17" i="7"/>
  <c r="P17" i="7"/>
  <c r="O17" i="7"/>
  <c r="O27" i="7" s="1"/>
  <c r="N17" i="7"/>
  <c r="M17" i="7"/>
  <c r="L17" i="7"/>
  <c r="K17" i="7"/>
  <c r="K27" i="7" s="1"/>
  <c r="J17" i="7"/>
  <c r="I17" i="7"/>
  <c r="H17" i="7"/>
  <c r="G17" i="7"/>
  <c r="G27" i="7" s="1"/>
  <c r="F17" i="7"/>
  <c r="E17" i="7"/>
  <c r="D17" i="7"/>
  <c r="C17" i="7"/>
  <c r="C27" i="7" s="1"/>
  <c r="B17" i="7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AV38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AV35" i="6" s="1"/>
  <c r="C35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AV34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AU31" i="6"/>
  <c r="AU41" i="6" s="1"/>
  <c r="AT31" i="6"/>
  <c r="AS31" i="6"/>
  <c r="AS41" i="6" s="1"/>
  <c r="AR31" i="6"/>
  <c r="AR41" i="6" s="1"/>
  <c r="AQ31" i="6"/>
  <c r="AQ41" i="6" s="1"/>
  <c r="AP31" i="6"/>
  <c r="AO31" i="6"/>
  <c r="AO41" i="6" s="1"/>
  <c r="AN31" i="6"/>
  <c r="AN41" i="6" s="1"/>
  <c r="AM31" i="6"/>
  <c r="AM41" i="6" s="1"/>
  <c r="AL31" i="6"/>
  <c r="AK31" i="6"/>
  <c r="AK41" i="6" s="1"/>
  <c r="AJ31" i="6"/>
  <c r="AJ41" i="6" s="1"/>
  <c r="AI31" i="6"/>
  <c r="AI41" i="6" s="1"/>
  <c r="AH31" i="6"/>
  <c r="AG31" i="6"/>
  <c r="AG41" i="6" s="1"/>
  <c r="AF31" i="6"/>
  <c r="AF41" i="6" s="1"/>
  <c r="AE31" i="6"/>
  <c r="AE41" i="6" s="1"/>
  <c r="AD31" i="6"/>
  <c r="AC31" i="6"/>
  <c r="AC41" i="6" s="1"/>
  <c r="AB31" i="6"/>
  <c r="AB41" i="6" s="1"/>
  <c r="AA31" i="6"/>
  <c r="AA41" i="6" s="1"/>
  <c r="Z31" i="6"/>
  <c r="Y31" i="6"/>
  <c r="Y41" i="6" s="1"/>
  <c r="X31" i="6"/>
  <c r="X41" i="6" s="1"/>
  <c r="W31" i="6"/>
  <c r="W41" i="6" s="1"/>
  <c r="V31" i="6"/>
  <c r="U31" i="6"/>
  <c r="U41" i="6" s="1"/>
  <c r="T31" i="6"/>
  <c r="T41" i="6" s="1"/>
  <c r="S31" i="6"/>
  <c r="S41" i="6" s="1"/>
  <c r="R31" i="6"/>
  <c r="Q31" i="6"/>
  <c r="Q41" i="6" s="1"/>
  <c r="P31" i="6"/>
  <c r="P41" i="6" s="1"/>
  <c r="O31" i="6"/>
  <c r="O41" i="6" s="1"/>
  <c r="N31" i="6"/>
  <c r="M31" i="6"/>
  <c r="M41" i="6" s="1"/>
  <c r="L31" i="6"/>
  <c r="L41" i="6" s="1"/>
  <c r="K31" i="6"/>
  <c r="K41" i="6" s="1"/>
  <c r="J31" i="6"/>
  <c r="I31" i="6"/>
  <c r="I41" i="6" s="1"/>
  <c r="H31" i="6"/>
  <c r="H41" i="6" s="1"/>
  <c r="G31" i="6"/>
  <c r="G41" i="6" s="1"/>
  <c r="F31" i="6"/>
  <c r="E31" i="6"/>
  <c r="E41" i="6" s="1"/>
  <c r="D31" i="6"/>
  <c r="D41" i="6" s="1"/>
  <c r="C31" i="6"/>
  <c r="C41" i="6" s="1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AU17" i="6"/>
  <c r="AU27" i="6" s="1"/>
  <c r="AT17" i="6"/>
  <c r="AS17" i="6"/>
  <c r="AS27" i="6" s="1"/>
  <c r="AR17" i="6"/>
  <c r="AR27" i="6" s="1"/>
  <c r="AQ17" i="6"/>
  <c r="AQ27" i="6" s="1"/>
  <c r="AP17" i="6"/>
  <c r="AO17" i="6"/>
  <c r="AO27" i="6" s="1"/>
  <c r="AN17" i="6"/>
  <c r="AN27" i="6" s="1"/>
  <c r="AM17" i="6"/>
  <c r="AM27" i="6" s="1"/>
  <c r="AL17" i="6"/>
  <c r="AK17" i="6"/>
  <c r="AK27" i="6" s="1"/>
  <c r="AJ17" i="6"/>
  <c r="AJ27" i="6" s="1"/>
  <c r="AI17" i="6"/>
  <c r="AI27" i="6" s="1"/>
  <c r="AH17" i="6"/>
  <c r="AG17" i="6"/>
  <c r="AG27" i="6" s="1"/>
  <c r="AF17" i="6"/>
  <c r="AF27" i="6" s="1"/>
  <c r="AE17" i="6"/>
  <c r="AE27" i="6" s="1"/>
  <c r="AD17" i="6"/>
  <c r="AC17" i="6"/>
  <c r="AC27" i="6" s="1"/>
  <c r="AB17" i="6"/>
  <c r="AB27" i="6" s="1"/>
  <c r="AA17" i="6"/>
  <c r="AA27" i="6" s="1"/>
  <c r="Z17" i="6"/>
  <c r="Y17" i="6"/>
  <c r="Y27" i="6" s="1"/>
  <c r="X17" i="6"/>
  <c r="X27" i="6" s="1"/>
  <c r="W17" i="6"/>
  <c r="W27" i="6" s="1"/>
  <c r="V17" i="6"/>
  <c r="U17" i="6"/>
  <c r="U27" i="6" s="1"/>
  <c r="T17" i="6"/>
  <c r="T27" i="6" s="1"/>
  <c r="S17" i="6"/>
  <c r="S27" i="6" s="1"/>
  <c r="R17" i="6"/>
  <c r="Q17" i="6"/>
  <c r="Q27" i="6" s="1"/>
  <c r="P17" i="6"/>
  <c r="P27" i="6" s="1"/>
  <c r="O17" i="6"/>
  <c r="O27" i="6" s="1"/>
  <c r="N17" i="6"/>
  <c r="M17" i="6"/>
  <c r="M27" i="6" s="1"/>
  <c r="L17" i="6"/>
  <c r="L27" i="6" s="1"/>
  <c r="K17" i="6"/>
  <c r="K27" i="6" s="1"/>
  <c r="J17" i="6"/>
  <c r="I17" i="6"/>
  <c r="I27" i="6" s="1"/>
  <c r="H17" i="6"/>
  <c r="H27" i="6" s="1"/>
  <c r="G17" i="6"/>
  <c r="G27" i="6" s="1"/>
  <c r="F17" i="6"/>
  <c r="E17" i="6"/>
  <c r="E27" i="6" s="1"/>
  <c r="D17" i="6"/>
  <c r="D27" i="6" s="1"/>
  <c r="C17" i="6"/>
  <c r="C27" i="6" s="1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AD3" i="7"/>
  <c r="AD4" i="7"/>
  <c r="AD5" i="7"/>
  <c r="AD6" i="7"/>
  <c r="AD7" i="7"/>
  <c r="AD8" i="7"/>
  <c r="AD9" i="7"/>
  <c r="AD10" i="7"/>
  <c r="AD11" i="7"/>
  <c r="AD12" i="7"/>
  <c r="AC3" i="7"/>
  <c r="AC4" i="7"/>
  <c r="AC5" i="7"/>
  <c r="AC6" i="7"/>
  <c r="AC7" i="7"/>
  <c r="AC8" i="7"/>
  <c r="AC9" i="7"/>
  <c r="AC10" i="7"/>
  <c r="AC11" i="7"/>
  <c r="AC12" i="7"/>
  <c r="AB3" i="7"/>
  <c r="AB4" i="7"/>
  <c r="AB5" i="7"/>
  <c r="AB6" i="7"/>
  <c r="AB7" i="7"/>
  <c r="AB8" i="7"/>
  <c r="AB9" i="7"/>
  <c r="AB10" i="7"/>
  <c r="AB11" i="7"/>
  <c r="AB12" i="7"/>
  <c r="AA3" i="7"/>
  <c r="AA4" i="7"/>
  <c r="AA5" i="7"/>
  <c r="AA6" i="7"/>
  <c r="AA7" i="7"/>
  <c r="AA8" i="7"/>
  <c r="AA9" i="7"/>
  <c r="AA10" i="7"/>
  <c r="AA11" i="7"/>
  <c r="AA12" i="7"/>
  <c r="Z3" i="7"/>
  <c r="Z4" i="7"/>
  <c r="Z5" i="7"/>
  <c r="Z6" i="7"/>
  <c r="Z7" i="7"/>
  <c r="Z8" i="7"/>
  <c r="Z9" i="7"/>
  <c r="Z10" i="7"/>
  <c r="Z11" i="7"/>
  <c r="Z12" i="7"/>
  <c r="Y3" i="7"/>
  <c r="Y4" i="7"/>
  <c r="Y5" i="7"/>
  <c r="Y6" i="7"/>
  <c r="Y7" i="7"/>
  <c r="Y8" i="7"/>
  <c r="Y9" i="7"/>
  <c r="Y10" i="7"/>
  <c r="Y11" i="7"/>
  <c r="Y12" i="7"/>
  <c r="X3" i="7"/>
  <c r="X4" i="7"/>
  <c r="X5" i="7"/>
  <c r="X6" i="7"/>
  <c r="X7" i="7"/>
  <c r="X8" i="7"/>
  <c r="X9" i="7"/>
  <c r="X10" i="7"/>
  <c r="X11" i="7"/>
  <c r="X12" i="7"/>
  <c r="W3" i="7"/>
  <c r="W4" i="7"/>
  <c r="W5" i="7"/>
  <c r="W6" i="7"/>
  <c r="W7" i="7"/>
  <c r="W8" i="7"/>
  <c r="W9" i="7"/>
  <c r="W10" i="7"/>
  <c r="W11" i="7"/>
  <c r="W12" i="7"/>
  <c r="V3" i="7"/>
  <c r="V4" i="7"/>
  <c r="V5" i="7"/>
  <c r="V6" i="7"/>
  <c r="V7" i="7"/>
  <c r="V8" i="7"/>
  <c r="V9" i="7"/>
  <c r="V10" i="7"/>
  <c r="V11" i="7"/>
  <c r="V12" i="7"/>
  <c r="U3" i="7"/>
  <c r="U4" i="7"/>
  <c r="U5" i="7"/>
  <c r="U6" i="7"/>
  <c r="U7" i="7"/>
  <c r="U8" i="7"/>
  <c r="U9" i="7"/>
  <c r="U10" i="7"/>
  <c r="U11" i="7"/>
  <c r="U12" i="7"/>
  <c r="T3" i="7"/>
  <c r="T4" i="7"/>
  <c r="T5" i="7"/>
  <c r="T6" i="7"/>
  <c r="T7" i="7"/>
  <c r="T8" i="7"/>
  <c r="T9" i="7"/>
  <c r="T10" i="7"/>
  <c r="T11" i="7"/>
  <c r="T12" i="7"/>
  <c r="S3" i="7"/>
  <c r="S4" i="7"/>
  <c r="S5" i="7"/>
  <c r="S6" i="7"/>
  <c r="S7" i="7"/>
  <c r="S8" i="7"/>
  <c r="S9" i="7"/>
  <c r="S10" i="7"/>
  <c r="S11" i="7"/>
  <c r="S12" i="7"/>
  <c r="R3" i="7"/>
  <c r="R4" i="7"/>
  <c r="R5" i="7"/>
  <c r="R6" i="7"/>
  <c r="R7" i="7"/>
  <c r="R8" i="7"/>
  <c r="R9" i="7"/>
  <c r="R10" i="7"/>
  <c r="R11" i="7"/>
  <c r="R12" i="7"/>
  <c r="Q3" i="7"/>
  <c r="Q4" i="7"/>
  <c r="Q5" i="7"/>
  <c r="Q6" i="7"/>
  <c r="Q7" i="7"/>
  <c r="Q8" i="7"/>
  <c r="Q9" i="7"/>
  <c r="Q10" i="7"/>
  <c r="Q11" i="7"/>
  <c r="Q12" i="7"/>
  <c r="P3" i="7"/>
  <c r="P4" i="7"/>
  <c r="P5" i="7"/>
  <c r="P6" i="7"/>
  <c r="P7" i="7"/>
  <c r="P8" i="7"/>
  <c r="P9" i="7"/>
  <c r="P10" i="7"/>
  <c r="P11" i="7"/>
  <c r="P12" i="7"/>
  <c r="O3" i="7"/>
  <c r="O4" i="7"/>
  <c r="O5" i="7"/>
  <c r="O6" i="7"/>
  <c r="O7" i="7"/>
  <c r="O8" i="7"/>
  <c r="O9" i="7"/>
  <c r="O10" i="7"/>
  <c r="O11" i="7"/>
  <c r="O12" i="7"/>
  <c r="N3" i="7"/>
  <c r="N4" i="7"/>
  <c r="N5" i="7"/>
  <c r="N6" i="7"/>
  <c r="N7" i="7"/>
  <c r="N8" i="7"/>
  <c r="N9" i="7"/>
  <c r="N10" i="7"/>
  <c r="N11" i="7"/>
  <c r="N12" i="7"/>
  <c r="M3" i="7"/>
  <c r="M4" i="7"/>
  <c r="M5" i="7"/>
  <c r="M6" i="7"/>
  <c r="M7" i="7"/>
  <c r="M8" i="7"/>
  <c r="M9" i="7"/>
  <c r="M10" i="7"/>
  <c r="M11" i="7"/>
  <c r="M12" i="7"/>
  <c r="L3" i="7"/>
  <c r="L4" i="7"/>
  <c r="L5" i="7"/>
  <c r="L6" i="7"/>
  <c r="L7" i="7"/>
  <c r="L8" i="7"/>
  <c r="L9" i="7"/>
  <c r="L10" i="7"/>
  <c r="L11" i="7"/>
  <c r="L12" i="7"/>
  <c r="K3" i="7"/>
  <c r="K4" i="7"/>
  <c r="K5" i="7"/>
  <c r="K6" i="7"/>
  <c r="K7" i="7"/>
  <c r="K8" i="7"/>
  <c r="K9" i="7"/>
  <c r="K10" i="7"/>
  <c r="K11" i="7"/>
  <c r="K12" i="7"/>
  <c r="J3" i="7"/>
  <c r="J4" i="7"/>
  <c r="J5" i="7"/>
  <c r="J6" i="7"/>
  <c r="J7" i="7"/>
  <c r="J8" i="7"/>
  <c r="J9" i="7"/>
  <c r="J10" i="7"/>
  <c r="J11" i="7"/>
  <c r="J12" i="7"/>
  <c r="I3" i="7"/>
  <c r="I4" i="7"/>
  <c r="I5" i="7"/>
  <c r="I6" i="7"/>
  <c r="I7" i="7"/>
  <c r="I8" i="7"/>
  <c r="I9" i="7"/>
  <c r="I10" i="7"/>
  <c r="I11" i="7"/>
  <c r="I12" i="7"/>
  <c r="H3" i="7"/>
  <c r="H4" i="7"/>
  <c r="H5" i="7"/>
  <c r="H6" i="7"/>
  <c r="H7" i="7"/>
  <c r="H8" i="7"/>
  <c r="H9" i="7"/>
  <c r="H10" i="7"/>
  <c r="H11" i="7"/>
  <c r="H12" i="7"/>
  <c r="G3" i="7"/>
  <c r="G4" i="7"/>
  <c r="G5" i="7"/>
  <c r="G6" i="7"/>
  <c r="G7" i="7"/>
  <c r="G8" i="7"/>
  <c r="G9" i="7"/>
  <c r="G10" i="7"/>
  <c r="G11" i="7"/>
  <c r="G12" i="7"/>
  <c r="F3" i="7"/>
  <c r="F4" i="7"/>
  <c r="F5" i="7"/>
  <c r="F6" i="7"/>
  <c r="F7" i="7"/>
  <c r="F8" i="7"/>
  <c r="F9" i="7"/>
  <c r="F10" i="7"/>
  <c r="F11" i="7"/>
  <c r="F12" i="7"/>
  <c r="E3" i="7"/>
  <c r="E4" i="7"/>
  <c r="E5" i="7"/>
  <c r="E6" i="7"/>
  <c r="E7" i="7"/>
  <c r="E8" i="7"/>
  <c r="E9" i="7"/>
  <c r="E10" i="7"/>
  <c r="E11" i="7"/>
  <c r="E12" i="7"/>
  <c r="D3" i="7"/>
  <c r="D4" i="7"/>
  <c r="D5" i="7"/>
  <c r="D6" i="7"/>
  <c r="D7" i="7"/>
  <c r="D8" i="7"/>
  <c r="D9" i="7"/>
  <c r="D10" i="7"/>
  <c r="D11" i="7"/>
  <c r="D12" i="7"/>
  <c r="C3" i="7"/>
  <c r="C4" i="7"/>
  <c r="C5" i="7"/>
  <c r="C6" i="7"/>
  <c r="C7" i="7"/>
  <c r="C8" i="7"/>
  <c r="C9" i="7"/>
  <c r="C10" i="7"/>
  <c r="C11" i="7"/>
  <c r="C12" i="7"/>
  <c r="B3" i="7"/>
  <c r="AE3" i="7" s="1"/>
  <c r="B4" i="7"/>
  <c r="AE4" i="7" s="1"/>
  <c r="B5" i="7"/>
  <c r="AE5" i="7" s="1"/>
  <c r="B6" i="7"/>
  <c r="AE6" i="7" s="1"/>
  <c r="B7" i="7"/>
  <c r="AE7" i="7" s="1"/>
  <c r="B8" i="7"/>
  <c r="AE8" i="7" s="1"/>
  <c r="B9" i="7"/>
  <c r="AE9" i="7" s="1"/>
  <c r="B10" i="7"/>
  <c r="AE10" i="7" s="1"/>
  <c r="B11" i="7"/>
  <c r="AE11" i="7" s="1"/>
  <c r="B12" i="7"/>
  <c r="AE12" i="7" s="1"/>
  <c r="AI3136" i="4"/>
  <c r="AH3136" i="4"/>
  <c r="AG3136" i="4"/>
  <c r="AF3136" i="4"/>
  <c r="AE3136" i="4"/>
  <c r="AD3136" i="4"/>
  <c r="AC3136" i="4"/>
  <c r="AB3136" i="4"/>
  <c r="AA3136" i="4"/>
  <c r="Z3136" i="4"/>
  <c r="Y3136" i="4"/>
  <c r="X3136" i="4"/>
  <c r="W3136" i="4"/>
  <c r="V3136" i="4"/>
  <c r="U3136" i="4"/>
  <c r="T3136" i="4"/>
  <c r="S3136" i="4"/>
  <c r="R3136" i="4"/>
  <c r="Q3136" i="4"/>
  <c r="P3136" i="4"/>
  <c r="O3136" i="4"/>
  <c r="N3136" i="4"/>
  <c r="M3136" i="4"/>
  <c r="L3136" i="4"/>
  <c r="K3136" i="4"/>
  <c r="J3136" i="4"/>
  <c r="I3136" i="4"/>
  <c r="H3136" i="4"/>
  <c r="G3136" i="4"/>
  <c r="H3136" i="1"/>
  <c r="I3136" i="1"/>
  <c r="J3136" i="1"/>
  <c r="K3136" i="1"/>
  <c r="L3136" i="1"/>
  <c r="M3136" i="1"/>
  <c r="N3136" i="1"/>
  <c r="O3136" i="1"/>
  <c r="P3136" i="1"/>
  <c r="Q3136" i="1"/>
  <c r="R3136" i="1"/>
  <c r="S3136" i="1"/>
  <c r="T3136" i="1"/>
  <c r="U3136" i="1"/>
  <c r="V3136" i="1"/>
  <c r="W3136" i="1"/>
  <c r="X3136" i="1"/>
  <c r="Y3136" i="1"/>
  <c r="Z3136" i="1"/>
  <c r="AA3136" i="1"/>
  <c r="AB3136" i="1"/>
  <c r="AC3136" i="1"/>
  <c r="AD3136" i="1"/>
  <c r="AE3136" i="1"/>
  <c r="AF3136" i="1"/>
  <c r="AG3136" i="1"/>
  <c r="AH3136" i="1"/>
  <c r="AI3136" i="1"/>
  <c r="AJ3136" i="1"/>
  <c r="AK3136" i="1"/>
  <c r="AL3136" i="1"/>
  <c r="AM3136" i="1"/>
  <c r="AN3136" i="1"/>
  <c r="AO3136" i="1"/>
  <c r="AP3136" i="1"/>
  <c r="AQ3136" i="1"/>
  <c r="AR3136" i="1"/>
  <c r="AS3136" i="1"/>
  <c r="AT3136" i="1"/>
  <c r="AU3136" i="1"/>
  <c r="AV3136" i="1"/>
  <c r="AW3136" i="1"/>
  <c r="AX3136" i="1"/>
  <c r="AY3136" i="1"/>
  <c r="AZ3136" i="1"/>
  <c r="G313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  <c r="BA1462" i="1"/>
  <c r="BA1463" i="1"/>
  <c r="BA1464" i="1"/>
  <c r="BA1465" i="1"/>
  <c r="BA1466" i="1"/>
  <c r="BA1467" i="1"/>
  <c r="BA1468" i="1"/>
  <c r="BA1469" i="1"/>
  <c r="BA1470" i="1"/>
  <c r="BA1471" i="1"/>
  <c r="BA1472" i="1"/>
  <c r="BA1473" i="1"/>
  <c r="BA1474" i="1"/>
  <c r="BA1475" i="1"/>
  <c r="BA1476" i="1"/>
  <c r="BA1477" i="1"/>
  <c r="BA1478" i="1"/>
  <c r="BA1479" i="1"/>
  <c r="BA1480" i="1"/>
  <c r="BA1481" i="1"/>
  <c r="BA1482" i="1"/>
  <c r="BA1483" i="1"/>
  <c r="BA1484" i="1"/>
  <c r="BA1485" i="1"/>
  <c r="BA1486" i="1"/>
  <c r="BA1487" i="1"/>
  <c r="BA1488" i="1"/>
  <c r="BA1489" i="1"/>
  <c r="BA1490" i="1"/>
  <c r="BA1491" i="1"/>
  <c r="BA1492" i="1"/>
  <c r="BA1493" i="1"/>
  <c r="BA1494" i="1"/>
  <c r="BA1495" i="1"/>
  <c r="BA1496" i="1"/>
  <c r="BA1497" i="1"/>
  <c r="BA1498" i="1"/>
  <c r="BA1499" i="1"/>
  <c r="BA1500" i="1"/>
  <c r="BA1501" i="1"/>
  <c r="BA1502" i="1"/>
  <c r="BA1503" i="1"/>
  <c r="BA1504" i="1"/>
  <c r="BA1505" i="1"/>
  <c r="BA1506" i="1"/>
  <c r="BA1507" i="1"/>
  <c r="BA1508" i="1"/>
  <c r="BA1509" i="1"/>
  <c r="BA1510" i="1"/>
  <c r="BA1511" i="1"/>
  <c r="BA1512" i="1"/>
  <c r="BA1513" i="1"/>
  <c r="BA1514" i="1"/>
  <c r="BA1515" i="1"/>
  <c r="BA1516" i="1"/>
  <c r="BA1517" i="1"/>
  <c r="BA1518" i="1"/>
  <c r="BA1519" i="1"/>
  <c r="BA1520" i="1"/>
  <c r="BA1521" i="1"/>
  <c r="BA1522" i="1"/>
  <c r="BA1523" i="1"/>
  <c r="BA1524" i="1"/>
  <c r="BA1525" i="1"/>
  <c r="BA1526" i="1"/>
  <c r="BA1527" i="1"/>
  <c r="BA1528" i="1"/>
  <c r="BA1529" i="1"/>
  <c r="BA1530" i="1"/>
  <c r="BA1531" i="1"/>
  <c r="BA1532" i="1"/>
  <c r="BA1533" i="1"/>
  <c r="BA1534" i="1"/>
  <c r="BA1535" i="1"/>
  <c r="BA1536" i="1"/>
  <c r="BA1537" i="1"/>
  <c r="BA1538" i="1"/>
  <c r="BA1539" i="1"/>
  <c r="BA1540" i="1"/>
  <c r="BA1541" i="1"/>
  <c r="BA1542" i="1"/>
  <c r="BA1543" i="1"/>
  <c r="BA1544" i="1"/>
  <c r="BA1545" i="1"/>
  <c r="BA1546" i="1"/>
  <c r="BA1547" i="1"/>
  <c r="BA1548" i="1"/>
  <c r="BA1549" i="1"/>
  <c r="BA1550" i="1"/>
  <c r="BA1551" i="1"/>
  <c r="BA1552" i="1"/>
  <c r="BA1553" i="1"/>
  <c r="BA1554" i="1"/>
  <c r="BA1555" i="1"/>
  <c r="BA1556" i="1"/>
  <c r="BA1557" i="1"/>
  <c r="BA1558" i="1"/>
  <c r="BA1559" i="1"/>
  <c r="BA1560" i="1"/>
  <c r="BA1561" i="1"/>
  <c r="BA1562" i="1"/>
  <c r="BA1563" i="1"/>
  <c r="BA1564" i="1"/>
  <c r="BA1565" i="1"/>
  <c r="BA1566" i="1"/>
  <c r="BA1567" i="1"/>
  <c r="BA1568" i="1"/>
  <c r="BA1569" i="1"/>
  <c r="BA1570" i="1"/>
  <c r="BA1571" i="1"/>
  <c r="BA1572" i="1"/>
  <c r="BA1573" i="1"/>
  <c r="BA1574" i="1"/>
  <c r="BA1575" i="1"/>
  <c r="BA1576" i="1"/>
  <c r="BA1577" i="1"/>
  <c r="BA1578" i="1"/>
  <c r="BA1579" i="1"/>
  <c r="BA1580" i="1"/>
  <c r="BA1581" i="1"/>
  <c r="BA1582" i="1"/>
  <c r="BA1583" i="1"/>
  <c r="BA1584" i="1"/>
  <c r="BA1585" i="1"/>
  <c r="BA1586" i="1"/>
  <c r="BA1587" i="1"/>
  <c r="BA1588" i="1"/>
  <c r="BA1589" i="1"/>
  <c r="BA1590" i="1"/>
  <c r="BA1591" i="1"/>
  <c r="BA1592" i="1"/>
  <c r="BA1593" i="1"/>
  <c r="BA1594" i="1"/>
  <c r="BA1595" i="1"/>
  <c r="BA1596" i="1"/>
  <c r="BA1597" i="1"/>
  <c r="BA1598" i="1"/>
  <c r="BA1599" i="1"/>
  <c r="BA1600" i="1"/>
  <c r="BA1601" i="1"/>
  <c r="BA1602" i="1"/>
  <c r="BA1603" i="1"/>
  <c r="BA1604" i="1"/>
  <c r="BA1605" i="1"/>
  <c r="BA1606" i="1"/>
  <c r="BA1607" i="1"/>
  <c r="BA1608" i="1"/>
  <c r="BA1609" i="1"/>
  <c r="BA1610" i="1"/>
  <c r="BA1611" i="1"/>
  <c r="BA1612" i="1"/>
  <c r="BA1613" i="1"/>
  <c r="BA1614" i="1"/>
  <c r="BA1615" i="1"/>
  <c r="BA1616" i="1"/>
  <c r="BA1617" i="1"/>
  <c r="BA1618" i="1"/>
  <c r="BA1619" i="1"/>
  <c r="BA1620" i="1"/>
  <c r="BA1621" i="1"/>
  <c r="BA1622" i="1"/>
  <c r="BA1623" i="1"/>
  <c r="BA1624" i="1"/>
  <c r="BA1625" i="1"/>
  <c r="BA1626" i="1"/>
  <c r="BA1627" i="1"/>
  <c r="BA1628" i="1"/>
  <c r="BA1629" i="1"/>
  <c r="BA1630" i="1"/>
  <c r="BA1631" i="1"/>
  <c r="BA1632" i="1"/>
  <c r="BA1633" i="1"/>
  <c r="BA1634" i="1"/>
  <c r="BA1635" i="1"/>
  <c r="BA1636" i="1"/>
  <c r="BA1637" i="1"/>
  <c r="BA1638" i="1"/>
  <c r="BA1639" i="1"/>
  <c r="BA1640" i="1"/>
  <c r="BA1641" i="1"/>
  <c r="BA1642" i="1"/>
  <c r="BA1643" i="1"/>
  <c r="BA1644" i="1"/>
  <c r="BA1645" i="1"/>
  <c r="BA1646" i="1"/>
  <c r="BA1647" i="1"/>
  <c r="BA1648" i="1"/>
  <c r="BA1649" i="1"/>
  <c r="BA1650" i="1"/>
  <c r="BA1651" i="1"/>
  <c r="BA1652" i="1"/>
  <c r="BA1653" i="1"/>
  <c r="BA1654" i="1"/>
  <c r="BA1655" i="1"/>
  <c r="BA1656" i="1"/>
  <c r="BA1657" i="1"/>
  <c r="BA1658" i="1"/>
  <c r="BA1659" i="1"/>
  <c r="BA1660" i="1"/>
  <c r="BA1661" i="1"/>
  <c r="BA1662" i="1"/>
  <c r="BA1663" i="1"/>
  <c r="BA1664" i="1"/>
  <c r="BA1665" i="1"/>
  <c r="BA1666" i="1"/>
  <c r="BA1667" i="1"/>
  <c r="BA1668" i="1"/>
  <c r="BA1669" i="1"/>
  <c r="BA1670" i="1"/>
  <c r="BA1671" i="1"/>
  <c r="BA1672" i="1"/>
  <c r="BA1673" i="1"/>
  <c r="BA1674" i="1"/>
  <c r="BA1675" i="1"/>
  <c r="BA1676" i="1"/>
  <c r="BA1677" i="1"/>
  <c r="BA1678" i="1"/>
  <c r="BA1679" i="1"/>
  <c r="BA1680" i="1"/>
  <c r="BA1681" i="1"/>
  <c r="BA1682" i="1"/>
  <c r="BA1683" i="1"/>
  <c r="BA1684" i="1"/>
  <c r="BA1685" i="1"/>
  <c r="BA1686" i="1"/>
  <c r="BA1687" i="1"/>
  <c r="BA1688" i="1"/>
  <c r="BA1689" i="1"/>
  <c r="BA1690" i="1"/>
  <c r="BA1691" i="1"/>
  <c r="BA1692" i="1"/>
  <c r="BA1693" i="1"/>
  <c r="BA1694" i="1"/>
  <c r="BA1695" i="1"/>
  <c r="BA1696" i="1"/>
  <c r="BA1697" i="1"/>
  <c r="BA1698" i="1"/>
  <c r="BA1699" i="1"/>
  <c r="BA1700" i="1"/>
  <c r="BA1701" i="1"/>
  <c r="BA1702" i="1"/>
  <c r="BA1703" i="1"/>
  <c r="BA1704" i="1"/>
  <c r="BA1705" i="1"/>
  <c r="BA1706" i="1"/>
  <c r="BA1707" i="1"/>
  <c r="BA1708" i="1"/>
  <c r="BA1709" i="1"/>
  <c r="BA1710" i="1"/>
  <c r="BA1711" i="1"/>
  <c r="BA1712" i="1"/>
  <c r="BA1713" i="1"/>
  <c r="BA1714" i="1"/>
  <c r="BA1715" i="1"/>
  <c r="BA1716" i="1"/>
  <c r="BA1717" i="1"/>
  <c r="BA1718" i="1"/>
  <c r="BA1719" i="1"/>
  <c r="BA1720" i="1"/>
  <c r="BA1721" i="1"/>
  <c r="BA1722" i="1"/>
  <c r="BA1723" i="1"/>
  <c r="BA1724" i="1"/>
  <c r="BA1725" i="1"/>
  <c r="BA1726" i="1"/>
  <c r="BA1727" i="1"/>
  <c r="BA1728" i="1"/>
  <c r="BA1729" i="1"/>
  <c r="BA1730" i="1"/>
  <c r="BA1731" i="1"/>
  <c r="BA1732" i="1"/>
  <c r="BA1733" i="1"/>
  <c r="BA1734" i="1"/>
  <c r="BA1735" i="1"/>
  <c r="BA1736" i="1"/>
  <c r="BA1737" i="1"/>
  <c r="BA1738" i="1"/>
  <c r="BA1739" i="1"/>
  <c r="BA1740" i="1"/>
  <c r="BA1741" i="1"/>
  <c r="BA1742" i="1"/>
  <c r="BA1743" i="1"/>
  <c r="BA1744" i="1"/>
  <c r="BA1745" i="1"/>
  <c r="BA1746" i="1"/>
  <c r="BA1747" i="1"/>
  <c r="BA1748" i="1"/>
  <c r="BA1749" i="1"/>
  <c r="BA1750" i="1"/>
  <c r="BA1751" i="1"/>
  <c r="BA1752" i="1"/>
  <c r="BA1753" i="1"/>
  <c r="BA1754" i="1"/>
  <c r="BA1755" i="1"/>
  <c r="BA1756" i="1"/>
  <c r="BA1757" i="1"/>
  <c r="BA1758" i="1"/>
  <c r="BA1759" i="1"/>
  <c r="BA1760" i="1"/>
  <c r="BA1761" i="1"/>
  <c r="BA1762" i="1"/>
  <c r="BA1763" i="1"/>
  <c r="BA1764" i="1"/>
  <c r="BA1765" i="1"/>
  <c r="BA1766" i="1"/>
  <c r="BA1767" i="1"/>
  <c r="BA1768" i="1"/>
  <c r="BA1769" i="1"/>
  <c r="BA1770" i="1"/>
  <c r="BA1771" i="1"/>
  <c r="BA1772" i="1"/>
  <c r="BA1773" i="1"/>
  <c r="BA1774" i="1"/>
  <c r="BA1775" i="1"/>
  <c r="BA1776" i="1"/>
  <c r="BA1777" i="1"/>
  <c r="BA1778" i="1"/>
  <c r="BA1779" i="1"/>
  <c r="BA1780" i="1"/>
  <c r="BA1781" i="1"/>
  <c r="BA1782" i="1"/>
  <c r="BA1783" i="1"/>
  <c r="BA1784" i="1"/>
  <c r="BA1785" i="1"/>
  <c r="BA1786" i="1"/>
  <c r="BA1787" i="1"/>
  <c r="BA1788" i="1"/>
  <c r="BA1789" i="1"/>
  <c r="BA1790" i="1"/>
  <c r="BA1791" i="1"/>
  <c r="BA1792" i="1"/>
  <c r="BA1793" i="1"/>
  <c r="BA1794" i="1"/>
  <c r="BA1795" i="1"/>
  <c r="BA1796" i="1"/>
  <c r="BA1797" i="1"/>
  <c r="BA1798" i="1"/>
  <c r="BA1799" i="1"/>
  <c r="BA1800" i="1"/>
  <c r="BA1801" i="1"/>
  <c r="BA1802" i="1"/>
  <c r="BA1803" i="1"/>
  <c r="BA1804" i="1"/>
  <c r="BA1805" i="1"/>
  <c r="BA1806" i="1"/>
  <c r="BA1807" i="1"/>
  <c r="BA1808" i="1"/>
  <c r="BA1809" i="1"/>
  <c r="BA1810" i="1"/>
  <c r="BA1811" i="1"/>
  <c r="BA1812" i="1"/>
  <c r="BA1813" i="1"/>
  <c r="BA1814" i="1"/>
  <c r="BA1815" i="1"/>
  <c r="BA1816" i="1"/>
  <c r="BA1817" i="1"/>
  <c r="BA1818" i="1"/>
  <c r="BA1819" i="1"/>
  <c r="BA1820" i="1"/>
  <c r="BA1821" i="1"/>
  <c r="BA1822" i="1"/>
  <c r="BA1823" i="1"/>
  <c r="BA1824" i="1"/>
  <c r="BA1825" i="1"/>
  <c r="BA1826" i="1"/>
  <c r="BA1827" i="1"/>
  <c r="BA1828" i="1"/>
  <c r="BA1829" i="1"/>
  <c r="BA1830" i="1"/>
  <c r="BA1831" i="1"/>
  <c r="BA1832" i="1"/>
  <c r="BA1833" i="1"/>
  <c r="BA1834" i="1"/>
  <c r="BA1835" i="1"/>
  <c r="BA1836" i="1"/>
  <c r="BA1837" i="1"/>
  <c r="BA1838" i="1"/>
  <c r="BA1839" i="1"/>
  <c r="BA1840" i="1"/>
  <c r="BA1841" i="1"/>
  <c r="BA1842" i="1"/>
  <c r="BA1843" i="1"/>
  <c r="BA1844" i="1"/>
  <c r="BA1845" i="1"/>
  <c r="BA1846" i="1"/>
  <c r="BA1847" i="1"/>
  <c r="BA1848" i="1"/>
  <c r="BA1849" i="1"/>
  <c r="BA1850" i="1"/>
  <c r="BA1851" i="1"/>
  <c r="BA1852" i="1"/>
  <c r="BA1853" i="1"/>
  <c r="BA1854" i="1"/>
  <c r="BA1855" i="1"/>
  <c r="BA1856" i="1"/>
  <c r="BA1857" i="1"/>
  <c r="BA1858" i="1"/>
  <c r="BA1859" i="1"/>
  <c r="BA1860" i="1"/>
  <c r="BA1861" i="1"/>
  <c r="BA1862" i="1"/>
  <c r="BA1863" i="1"/>
  <c r="BA1864" i="1"/>
  <c r="BA1865" i="1"/>
  <c r="BA1866" i="1"/>
  <c r="BA1867" i="1"/>
  <c r="BA1868" i="1"/>
  <c r="BA1869" i="1"/>
  <c r="BA1870" i="1"/>
  <c r="BA1871" i="1"/>
  <c r="BA1872" i="1"/>
  <c r="BA1873" i="1"/>
  <c r="BA1874" i="1"/>
  <c r="BA1875" i="1"/>
  <c r="BA1876" i="1"/>
  <c r="BA1877" i="1"/>
  <c r="BA1878" i="1"/>
  <c r="BA1879" i="1"/>
  <c r="BA1880" i="1"/>
  <c r="BA1881" i="1"/>
  <c r="BA1882" i="1"/>
  <c r="BA1883" i="1"/>
  <c r="BA1884" i="1"/>
  <c r="BA1885" i="1"/>
  <c r="BA1886" i="1"/>
  <c r="BA1887" i="1"/>
  <c r="BA1888" i="1"/>
  <c r="BA1889" i="1"/>
  <c r="BA1890" i="1"/>
  <c r="BA1891" i="1"/>
  <c r="BA1892" i="1"/>
  <c r="BA1893" i="1"/>
  <c r="BA1894" i="1"/>
  <c r="BA1895" i="1"/>
  <c r="BA1896" i="1"/>
  <c r="BA1897" i="1"/>
  <c r="BA1898" i="1"/>
  <c r="BA1899" i="1"/>
  <c r="BA1900" i="1"/>
  <c r="BA1901" i="1"/>
  <c r="BA1902" i="1"/>
  <c r="BA1903" i="1"/>
  <c r="BA1904" i="1"/>
  <c r="BA1905" i="1"/>
  <c r="BA1906" i="1"/>
  <c r="BA1907" i="1"/>
  <c r="BA1908" i="1"/>
  <c r="BA1909" i="1"/>
  <c r="BA1910" i="1"/>
  <c r="BA1911" i="1"/>
  <c r="BA1912" i="1"/>
  <c r="BA1913" i="1"/>
  <c r="BA1914" i="1"/>
  <c r="BA1915" i="1"/>
  <c r="BA1916" i="1"/>
  <c r="BA1917" i="1"/>
  <c r="BA1918" i="1"/>
  <c r="BA1919" i="1"/>
  <c r="BA1920" i="1"/>
  <c r="BA1921" i="1"/>
  <c r="BA1922" i="1"/>
  <c r="BA1923" i="1"/>
  <c r="BA1924" i="1"/>
  <c r="BA1925" i="1"/>
  <c r="BA1926" i="1"/>
  <c r="BA1927" i="1"/>
  <c r="BA1928" i="1"/>
  <c r="BA1929" i="1"/>
  <c r="BA1930" i="1"/>
  <c r="BA1931" i="1"/>
  <c r="BA1932" i="1"/>
  <c r="BA1933" i="1"/>
  <c r="BA1934" i="1"/>
  <c r="BA1935" i="1"/>
  <c r="BA1936" i="1"/>
  <c r="BA1937" i="1"/>
  <c r="BA1938" i="1"/>
  <c r="BA1939" i="1"/>
  <c r="BA1940" i="1"/>
  <c r="BA1941" i="1"/>
  <c r="BA1942" i="1"/>
  <c r="BA1943" i="1"/>
  <c r="BA1944" i="1"/>
  <c r="BA1945" i="1"/>
  <c r="BA1946" i="1"/>
  <c r="BA1947" i="1"/>
  <c r="BA1948" i="1"/>
  <c r="BA1949" i="1"/>
  <c r="BA1950" i="1"/>
  <c r="BA1951" i="1"/>
  <c r="BA1952" i="1"/>
  <c r="BA1953" i="1"/>
  <c r="BA1954" i="1"/>
  <c r="BA1955" i="1"/>
  <c r="BA1956" i="1"/>
  <c r="BA1957" i="1"/>
  <c r="BA1958" i="1"/>
  <c r="BA1959" i="1"/>
  <c r="BA1960" i="1"/>
  <c r="BA1961" i="1"/>
  <c r="BA1962" i="1"/>
  <c r="BA1963" i="1"/>
  <c r="BA1964" i="1"/>
  <c r="BA1965" i="1"/>
  <c r="BA1966" i="1"/>
  <c r="BA1967" i="1"/>
  <c r="BA1968" i="1"/>
  <c r="BA1969" i="1"/>
  <c r="BA1970" i="1"/>
  <c r="BA1971" i="1"/>
  <c r="BA1972" i="1"/>
  <c r="BA1973" i="1"/>
  <c r="BA1974" i="1"/>
  <c r="BA1975" i="1"/>
  <c r="BA1976" i="1"/>
  <c r="BA1977" i="1"/>
  <c r="BA1978" i="1"/>
  <c r="BA1979" i="1"/>
  <c r="BA1980" i="1"/>
  <c r="BA1981" i="1"/>
  <c r="BA1982" i="1"/>
  <c r="BA1983" i="1"/>
  <c r="BA1984" i="1"/>
  <c r="BA1985" i="1"/>
  <c r="BA1986" i="1"/>
  <c r="BA1987" i="1"/>
  <c r="BA1988" i="1"/>
  <c r="BA1989" i="1"/>
  <c r="BA1990" i="1"/>
  <c r="BA1991" i="1"/>
  <c r="BA1992" i="1"/>
  <c r="BA1993" i="1"/>
  <c r="BA1994" i="1"/>
  <c r="BA1995" i="1"/>
  <c r="BA1996" i="1"/>
  <c r="BA1997" i="1"/>
  <c r="BA1998" i="1"/>
  <c r="BA1999" i="1"/>
  <c r="BA2000" i="1"/>
  <c r="BA2001" i="1"/>
  <c r="BA2002" i="1"/>
  <c r="BA2003" i="1"/>
  <c r="BA2004" i="1"/>
  <c r="BA2005" i="1"/>
  <c r="BA2006" i="1"/>
  <c r="BA2007" i="1"/>
  <c r="BA2008" i="1"/>
  <c r="BA2009" i="1"/>
  <c r="BA2010" i="1"/>
  <c r="BA2011" i="1"/>
  <c r="BA2012" i="1"/>
  <c r="BA2013" i="1"/>
  <c r="BA2014" i="1"/>
  <c r="BA2015" i="1"/>
  <c r="BA2016" i="1"/>
  <c r="BA2017" i="1"/>
  <c r="BA2018" i="1"/>
  <c r="BA2019" i="1"/>
  <c r="BA2020" i="1"/>
  <c r="BA2021" i="1"/>
  <c r="BA2022" i="1"/>
  <c r="BA2023" i="1"/>
  <c r="BA2024" i="1"/>
  <c r="BA2025" i="1"/>
  <c r="BA2026" i="1"/>
  <c r="BA2027" i="1"/>
  <c r="BA2028" i="1"/>
  <c r="BA2029" i="1"/>
  <c r="BA2030" i="1"/>
  <c r="BA2031" i="1"/>
  <c r="BA2032" i="1"/>
  <c r="BA2033" i="1"/>
  <c r="BA2034" i="1"/>
  <c r="BA2035" i="1"/>
  <c r="BA2036" i="1"/>
  <c r="BA2037" i="1"/>
  <c r="BA2038" i="1"/>
  <c r="BA2039" i="1"/>
  <c r="BA2040" i="1"/>
  <c r="BA2041" i="1"/>
  <c r="BA2042" i="1"/>
  <c r="BA2043" i="1"/>
  <c r="BA2044" i="1"/>
  <c r="BA2045" i="1"/>
  <c r="BA2046" i="1"/>
  <c r="BA2047" i="1"/>
  <c r="BA2048" i="1"/>
  <c r="BA2049" i="1"/>
  <c r="BA2050" i="1"/>
  <c r="BA2051" i="1"/>
  <c r="BA2052" i="1"/>
  <c r="BA2053" i="1"/>
  <c r="BA2054" i="1"/>
  <c r="BA2055" i="1"/>
  <c r="BA2056" i="1"/>
  <c r="BA2057" i="1"/>
  <c r="BA2058" i="1"/>
  <c r="BA2059" i="1"/>
  <c r="BA2060" i="1"/>
  <c r="BA2061" i="1"/>
  <c r="BA2062" i="1"/>
  <c r="BA2063" i="1"/>
  <c r="BA2064" i="1"/>
  <c r="BA2065" i="1"/>
  <c r="BA2066" i="1"/>
  <c r="BA2067" i="1"/>
  <c r="BA2068" i="1"/>
  <c r="BA2069" i="1"/>
  <c r="BA2070" i="1"/>
  <c r="BA2071" i="1"/>
  <c r="BA2072" i="1"/>
  <c r="BA2073" i="1"/>
  <c r="BA2074" i="1"/>
  <c r="BA2075" i="1"/>
  <c r="BA2076" i="1"/>
  <c r="BA2077" i="1"/>
  <c r="BA2078" i="1"/>
  <c r="BA2079" i="1"/>
  <c r="BA2080" i="1"/>
  <c r="BA2081" i="1"/>
  <c r="BA2082" i="1"/>
  <c r="BA2083" i="1"/>
  <c r="BA2084" i="1"/>
  <c r="BA2085" i="1"/>
  <c r="BA2086" i="1"/>
  <c r="BA2087" i="1"/>
  <c r="BA2088" i="1"/>
  <c r="BA2089" i="1"/>
  <c r="BA2090" i="1"/>
  <c r="BA2091" i="1"/>
  <c r="BA2092" i="1"/>
  <c r="BA2093" i="1"/>
  <c r="BA2094" i="1"/>
  <c r="BA2095" i="1"/>
  <c r="BA2096" i="1"/>
  <c r="BA2097" i="1"/>
  <c r="BA2098" i="1"/>
  <c r="BA2099" i="1"/>
  <c r="BA2100" i="1"/>
  <c r="BA2101" i="1"/>
  <c r="BA2102" i="1"/>
  <c r="BA2103" i="1"/>
  <c r="BA2104" i="1"/>
  <c r="BA2105" i="1"/>
  <c r="BA2106" i="1"/>
  <c r="BA2107" i="1"/>
  <c r="BA2108" i="1"/>
  <c r="BA2109" i="1"/>
  <c r="BA2110" i="1"/>
  <c r="BA2111" i="1"/>
  <c r="BA2112" i="1"/>
  <c r="BA2113" i="1"/>
  <c r="BA2114" i="1"/>
  <c r="BA2115" i="1"/>
  <c r="BA2116" i="1"/>
  <c r="BA2117" i="1"/>
  <c r="BA2118" i="1"/>
  <c r="BA2119" i="1"/>
  <c r="BA2120" i="1"/>
  <c r="BA2121" i="1"/>
  <c r="BA2122" i="1"/>
  <c r="BA2123" i="1"/>
  <c r="BA2124" i="1"/>
  <c r="BA2125" i="1"/>
  <c r="BA2126" i="1"/>
  <c r="BA2127" i="1"/>
  <c r="BA2128" i="1"/>
  <c r="BA2129" i="1"/>
  <c r="BA2130" i="1"/>
  <c r="BA2131" i="1"/>
  <c r="BA2132" i="1"/>
  <c r="BA2133" i="1"/>
  <c r="BA2134" i="1"/>
  <c r="BA2135" i="1"/>
  <c r="BA2136" i="1"/>
  <c r="BA2137" i="1"/>
  <c r="BA2138" i="1"/>
  <c r="BA2139" i="1"/>
  <c r="BA2140" i="1"/>
  <c r="BA2141" i="1"/>
  <c r="BA2142" i="1"/>
  <c r="BA2143" i="1"/>
  <c r="BA2144" i="1"/>
  <c r="BA2145" i="1"/>
  <c r="BA2146" i="1"/>
  <c r="BA2147" i="1"/>
  <c r="BA2148" i="1"/>
  <c r="BA2149" i="1"/>
  <c r="BA2150" i="1"/>
  <c r="BA2151" i="1"/>
  <c r="BA2152" i="1"/>
  <c r="BA2153" i="1"/>
  <c r="BA2154" i="1"/>
  <c r="BA2155" i="1"/>
  <c r="BA2156" i="1"/>
  <c r="BA2157" i="1"/>
  <c r="BA2158" i="1"/>
  <c r="BA2159" i="1"/>
  <c r="BA2160" i="1"/>
  <c r="BA2161" i="1"/>
  <c r="BA2162" i="1"/>
  <c r="BA2163" i="1"/>
  <c r="BA2164" i="1"/>
  <c r="BA2165" i="1"/>
  <c r="BA2166" i="1"/>
  <c r="BA2167" i="1"/>
  <c r="BA2168" i="1"/>
  <c r="BA2169" i="1"/>
  <c r="BA2170" i="1"/>
  <c r="BA2171" i="1"/>
  <c r="BA2172" i="1"/>
  <c r="BA2173" i="1"/>
  <c r="BA2174" i="1"/>
  <c r="BA2175" i="1"/>
  <c r="BA2176" i="1"/>
  <c r="BA2177" i="1"/>
  <c r="BA2178" i="1"/>
  <c r="BA2179" i="1"/>
  <c r="BA2180" i="1"/>
  <c r="BA2181" i="1"/>
  <c r="BA2182" i="1"/>
  <c r="BA2183" i="1"/>
  <c r="BA2184" i="1"/>
  <c r="BA2185" i="1"/>
  <c r="BA2186" i="1"/>
  <c r="BA2187" i="1"/>
  <c r="BA2188" i="1"/>
  <c r="BA2189" i="1"/>
  <c r="BA2190" i="1"/>
  <c r="BA2191" i="1"/>
  <c r="BA2192" i="1"/>
  <c r="BA2193" i="1"/>
  <c r="BA2194" i="1"/>
  <c r="BA2195" i="1"/>
  <c r="BA2196" i="1"/>
  <c r="BA2197" i="1"/>
  <c r="BA2198" i="1"/>
  <c r="BA2199" i="1"/>
  <c r="BA2200" i="1"/>
  <c r="BA2201" i="1"/>
  <c r="BA2202" i="1"/>
  <c r="BA2203" i="1"/>
  <c r="BA2204" i="1"/>
  <c r="BA2205" i="1"/>
  <c r="BA2206" i="1"/>
  <c r="BA2207" i="1"/>
  <c r="BA2208" i="1"/>
  <c r="BA2209" i="1"/>
  <c r="BA2210" i="1"/>
  <c r="BA2211" i="1"/>
  <c r="BA2212" i="1"/>
  <c r="BA2213" i="1"/>
  <c r="BA2214" i="1"/>
  <c r="BA2215" i="1"/>
  <c r="BA2216" i="1"/>
  <c r="BA2217" i="1"/>
  <c r="BA2218" i="1"/>
  <c r="BA2219" i="1"/>
  <c r="BA2220" i="1"/>
  <c r="BA2221" i="1"/>
  <c r="BA2222" i="1"/>
  <c r="BA2223" i="1"/>
  <c r="BA2224" i="1"/>
  <c r="BA2225" i="1"/>
  <c r="BA2226" i="1"/>
  <c r="BA2227" i="1"/>
  <c r="BA2228" i="1"/>
  <c r="BA2229" i="1"/>
  <c r="BA2230" i="1"/>
  <c r="BA2231" i="1"/>
  <c r="BA2232" i="1"/>
  <c r="BA2233" i="1"/>
  <c r="BA2234" i="1"/>
  <c r="BA2235" i="1"/>
  <c r="BA2236" i="1"/>
  <c r="BA2237" i="1"/>
  <c r="BA2238" i="1"/>
  <c r="BA2239" i="1"/>
  <c r="BA2240" i="1"/>
  <c r="BA2241" i="1"/>
  <c r="BA2242" i="1"/>
  <c r="BA2243" i="1"/>
  <c r="BA2244" i="1"/>
  <c r="BA2245" i="1"/>
  <c r="BA2246" i="1"/>
  <c r="BA2247" i="1"/>
  <c r="BA2248" i="1"/>
  <c r="BA2249" i="1"/>
  <c r="BA2250" i="1"/>
  <c r="BA2251" i="1"/>
  <c r="BA2252" i="1"/>
  <c r="BA2253" i="1"/>
  <c r="BA2254" i="1"/>
  <c r="BA2255" i="1"/>
  <c r="BA2256" i="1"/>
  <c r="BA2257" i="1"/>
  <c r="BA2258" i="1"/>
  <c r="BA2259" i="1"/>
  <c r="BA2260" i="1"/>
  <c r="BA2261" i="1"/>
  <c r="BA2262" i="1"/>
  <c r="BA2263" i="1"/>
  <c r="BA2264" i="1"/>
  <c r="BA2265" i="1"/>
  <c r="BA2266" i="1"/>
  <c r="BA2267" i="1"/>
  <c r="BA2268" i="1"/>
  <c r="BA2269" i="1"/>
  <c r="BA2270" i="1"/>
  <c r="BA2271" i="1"/>
  <c r="BA2272" i="1"/>
  <c r="BA2273" i="1"/>
  <c r="BA2274" i="1"/>
  <c r="BA2275" i="1"/>
  <c r="BA2276" i="1"/>
  <c r="BA2277" i="1"/>
  <c r="BA2278" i="1"/>
  <c r="BA2279" i="1"/>
  <c r="BA2280" i="1"/>
  <c r="BA2281" i="1"/>
  <c r="BA2282" i="1"/>
  <c r="BA2283" i="1"/>
  <c r="BA2284" i="1"/>
  <c r="BA2285" i="1"/>
  <c r="BA2286" i="1"/>
  <c r="BA2287" i="1"/>
  <c r="BA2288" i="1"/>
  <c r="BA2289" i="1"/>
  <c r="BA2290" i="1"/>
  <c r="BA2291" i="1"/>
  <c r="BA2292" i="1"/>
  <c r="BA2293" i="1"/>
  <c r="BA2294" i="1"/>
  <c r="BA2295" i="1"/>
  <c r="BA2296" i="1"/>
  <c r="BA2297" i="1"/>
  <c r="BA2298" i="1"/>
  <c r="BA2299" i="1"/>
  <c r="BA2300" i="1"/>
  <c r="BA2301" i="1"/>
  <c r="BA2302" i="1"/>
  <c r="BA2303" i="1"/>
  <c r="BA2304" i="1"/>
  <c r="BA2305" i="1"/>
  <c r="BA2306" i="1"/>
  <c r="BA2307" i="1"/>
  <c r="BA2308" i="1"/>
  <c r="BA2309" i="1"/>
  <c r="BA2310" i="1"/>
  <c r="BA2311" i="1"/>
  <c r="BA2312" i="1"/>
  <c r="BA2313" i="1"/>
  <c r="BA2314" i="1"/>
  <c r="BA2315" i="1"/>
  <c r="BA2316" i="1"/>
  <c r="BA2317" i="1"/>
  <c r="BA2318" i="1"/>
  <c r="BA2319" i="1"/>
  <c r="BA2320" i="1"/>
  <c r="BA2321" i="1"/>
  <c r="BA2322" i="1"/>
  <c r="BA2323" i="1"/>
  <c r="BA2324" i="1"/>
  <c r="BA2325" i="1"/>
  <c r="BA2326" i="1"/>
  <c r="BA2327" i="1"/>
  <c r="BA2328" i="1"/>
  <c r="BA2329" i="1"/>
  <c r="BA2330" i="1"/>
  <c r="BA2331" i="1"/>
  <c r="BA2332" i="1"/>
  <c r="BA2333" i="1"/>
  <c r="BA2334" i="1"/>
  <c r="BA2335" i="1"/>
  <c r="BA2336" i="1"/>
  <c r="BA2337" i="1"/>
  <c r="BA2338" i="1"/>
  <c r="BA2339" i="1"/>
  <c r="BA2340" i="1"/>
  <c r="BA2341" i="1"/>
  <c r="BA2342" i="1"/>
  <c r="BA2343" i="1"/>
  <c r="BA2344" i="1"/>
  <c r="BA2345" i="1"/>
  <c r="BA2346" i="1"/>
  <c r="BA2347" i="1"/>
  <c r="BA2348" i="1"/>
  <c r="BA2349" i="1"/>
  <c r="BA2350" i="1"/>
  <c r="BA2351" i="1"/>
  <c r="BA2352" i="1"/>
  <c r="BA2353" i="1"/>
  <c r="BA2354" i="1"/>
  <c r="BA2355" i="1"/>
  <c r="BA2356" i="1"/>
  <c r="BA2357" i="1"/>
  <c r="BA2358" i="1"/>
  <c r="BA2359" i="1"/>
  <c r="BA2360" i="1"/>
  <c r="BA2361" i="1"/>
  <c r="BA2362" i="1"/>
  <c r="BA2363" i="1"/>
  <c r="BA2364" i="1"/>
  <c r="BA2365" i="1"/>
  <c r="BA2366" i="1"/>
  <c r="BA2367" i="1"/>
  <c r="BA2368" i="1"/>
  <c r="BA2369" i="1"/>
  <c r="BA2370" i="1"/>
  <c r="BA2371" i="1"/>
  <c r="BA2372" i="1"/>
  <c r="BA2373" i="1"/>
  <c r="BA2374" i="1"/>
  <c r="BA2375" i="1"/>
  <c r="BA2376" i="1"/>
  <c r="BA2377" i="1"/>
  <c r="BA2378" i="1"/>
  <c r="BA2379" i="1"/>
  <c r="BA2380" i="1"/>
  <c r="BA2381" i="1"/>
  <c r="BA2382" i="1"/>
  <c r="BA2383" i="1"/>
  <c r="BA2384" i="1"/>
  <c r="BA2385" i="1"/>
  <c r="BA2386" i="1"/>
  <c r="BA2387" i="1"/>
  <c r="BA2388" i="1"/>
  <c r="BA2389" i="1"/>
  <c r="BA2390" i="1"/>
  <c r="BA2391" i="1"/>
  <c r="BA2392" i="1"/>
  <c r="BA2393" i="1"/>
  <c r="BA2394" i="1"/>
  <c r="BA2395" i="1"/>
  <c r="BA2396" i="1"/>
  <c r="BA2397" i="1"/>
  <c r="BA2398" i="1"/>
  <c r="BA2399" i="1"/>
  <c r="BA2400" i="1"/>
  <c r="BA2401" i="1"/>
  <c r="BA2402" i="1"/>
  <c r="BA2403" i="1"/>
  <c r="BA2404" i="1"/>
  <c r="BA2405" i="1"/>
  <c r="BA2406" i="1"/>
  <c r="BA2407" i="1"/>
  <c r="BA2408" i="1"/>
  <c r="BA2409" i="1"/>
  <c r="BA2410" i="1"/>
  <c r="BA2411" i="1"/>
  <c r="BA2412" i="1"/>
  <c r="BA2413" i="1"/>
  <c r="BA2414" i="1"/>
  <c r="BA2415" i="1"/>
  <c r="BA2416" i="1"/>
  <c r="BA2417" i="1"/>
  <c r="BA2418" i="1"/>
  <c r="BA2419" i="1"/>
  <c r="BA2420" i="1"/>
  <c r="BA2421" i="1"/>
  <c r="BA2422" i="1"/>
  <c r="BA2423" i="1"/>
  <c r="BA2424" i="1"/>
  <c r="BA2425" i="1"/>
  <c r="BA2426" i="1"/>
  <c r="BA2427" i="1"/>
  <c r="BA2428" i="1"/>
  <c r="BA2429" i="1"/>
  <c r="BA2430" i="1"/>
  <c r="BA2431" i="1"/>
  <c r="BA2432" i="1"/>
  <c r="BA2433" i="1"/>
  <c r="BA2434" i="1"/>
  <c r="BA2435" i="1"/>
  <c r="BA2436" i="1"/>
  <c r="BA2437" i="1"/>
  <c r="BA2438" i="1"/>
  <c r="BA2439" i="1"/>
  <c r="BA2440" i="1"/>
  <c r="BA2441" i="1"/>
  <c r="BA2442" i="1"/>
  <c r="BA2443" i="1"/>
  <c r="BA2444" i="1"/>
  <c r="BA2445" i="1"/>
  <c r="BA2446" i="1"/>
  <c r="BA2447" i="1"/>
  <c r="BA2448" i="1"/>
  <c r="BA2449" i="1"/>
  <c r="BA2450" i="1"/>
  <c r="BA2451" i="1"/>
  <c r="BA2452" i="1"/>
  <c r="BA2453" i="1"/>
  <c r="BA2454" i="1"/>
  <c r="BA2455" i="1"/>
  <c r="BA2456" i="1"/>
  <c r="BA2457" i="1"/>
  <c r="BA2458" i="1"/>
  <c r="BA2459" i="1"/>
  <c r="BA2460" i="1"/>
  <c r="BA2461" i="1"/>
  <c r="BA2462" i="1"/>
  <c r="BA2463" i="1"/>
  <c r="BA2464" i="1"/>
  <c r="BA2465" i="1"/>
  <c r="BA2466" i="1"/>
  <c r="BA2467" i="1"/>
  <c r="BA2468" i="1"/>
  <c r="BA2469" i="1"/>
  <c r="BA2470" i="1"/>
  <c r="BA2471" i="1"/>
  <c r="BA2472" i="1"/>
  <c r="BA2473" i="1"/>
  <c r="BA2474" i="1"/>
  <c r="BA2475" i="1"/>
  <c r="BA2476" i="1"/>
  <c r="BA2477" i="1"/>
  <c r="BA2478" i="1"/>
  <c r="BA2479" i="1"/>
  <c r="BA2480" i="1"/>
  <c r="BA2481" i="1"/>
  <c r="BA2482" i="1"/>
  <c r="BA2483" i="1"/>
  <c r="BA2484" i="1"/>
  <c r="BA2485" i="1"/>
  <c r="BA2486" i="1"/>
  <c r="BA2487" i="1"/>
  <c r="BA2488" i="1"/>
  <c r="BA2489" i="1"/>
  <c r="BA2490" i="1"/>
  <c r="BA2491" i="1"/>
  <c r="BA2492" i="1"/>
  <c r="BA2493" i="1"/>
  <c r="BA2494" i="1"/>
  <c r="BA2495" i="1"/>
  <c r="BA2496" i="1"/>
  <c r="BA2497" i="1"/>
  <c r="BA2498" i="1"/>
  <c r="BA2499" i="1"/>
  <c r="BA2500" i="1"/>
  <c r="BA2501" i="1"/>
  <c r="BA2502" i="1"/>
  <c r="BA2503" i="1"/>
  <c r="BA2504" i="1"/>
  <c r="BA2505" i="1"/>
  <c r="BA2506" i="1"/>
  <c r="BA2507" i="1"/>
  <c r="BA2508" i="1"/>
  <c r="BA2509" i="1"/>
  <c r="BA2510" i="1"/>
  <c r="BA2511" i="1"/>
  <c r="BA2512" i="1"/>
  <c r="BA2513" i="1"/>
  <c r="BA2514" i="1"/>
  <c r="BA2515" i="1"/>
  <c r="BA2516" i="1"/>
  <c r="BA2517" i="1"/>
  <c r="BA2518" i="1"/>
  <c r="BA2519" i="1"/>
  <c r="BA2520" i="1"/>
  <c r="BA2521" i="1"/>
  <c r="BA2522" i="1"/>
  <c r="BA2523" i="1"/>
  <c r="BA2524" i="1"/>
  <c r="BA2525" i="1"/>
  <c r="BA2526" i="1"/>
  <c r="BA2527" i="1"/>
  <c r="BA2528" i="1"/>
  <c r="BA2529" i="1"/>
  <c r="BA2530" i="1"/>
  <c r="BA2531" i="1"/>
  <c r="BA2532" i="1"/>
  <c r="BA2533" i="1"/>
  <c r="BA2534" i="1"/>
  <c r="BA2535" i="1"/>
  <c r="BA2536" i="1"/>
  <c r="BA2537" i="1"/>
  <c r="BA2538" i="1"/>
  <c r="BA2539" i="1"/>
  <c r="BA2540" i="1"/>
  <c r="BA2541" i="1"/>
  <c r="BA2542" i="1"/>
  <c r="BA2543" i="1"/>
  <c r="BA2544" i="1"/>
  <c r="BA2545" i="1"/>
  <c r="BA2546" i="1"/>
  <c r="BA2547" i="1"/>
  <c r="BA2548" i="1"/>
  <c r="BA2549" i="1"/>
  <c r="BA2550" i="1"/>
  <c r="BA2551" i="1"/>
  <c r="BA2552" i="1"/>
  <c r="BA2553" i="1"/>
  <c r="BA2554" i="1"/>
  <c r="BA2555" i="1"/>
  <c r="BA2556" i="1"/>
  <c r="BA2557" i="1"/>
  <c r="BA2558" i="1"/>
  <c r="BA2559" i="1"/>
  <c r="BA2560" i="1"/>
  <c r="BA2561" i="1"/>
  <c r="BA2562" i="1"/>
  <c r="BA2563" i="1"/>
  <c r="BA2564" i="1"/>
  <c r="BA2565" i="1"/>
  <c r="BA2566" i="1"/>
  <c r="BA2567" i="1"/>
  <c r="BA2568" i="1"/>
  <c r="BA2569" i="1"/>
  <c r="BA2570" i="1"/>
  <c r="BA2571" i="1"/>
  <c r="BA2572" i="1"/>
  <c r="BA2573" i="1"/>
  <c r="BA2574" i="1"/>
  <c r="BA2575" i="1"/>
  <c r="BA2576" i="1"/>
  <c r="BA2577" i="1"/>
  <c r="BA2578" i="1"/>
  <c r="BA2579" i="1"/>
  <c r="BA2580" i="1"/>
  <c r="BA2581" i="1"/>
  <c r="BA2582" i="1"/>
  <c r="BA2583" i="1"/>
  <c r="BA2584" i="1"/>
  <c r="BA2585" i="1"/>
  <c r="BA2586" i="1"/>
  <c r="BA2587" i="1"/>
  <c r="BA2588" i="1"/>
  <c r="BA2589" i="1"/>
  <c r="BA2590" i="1"/>
  <c r="BA2591" i="1"/>
  <c r="BA2592" i="1"/>
  <c r="BA2593" i="1"/>
  <c r="BA2594" i="1"/>
  <c r="BA2595" i="1"/>
  <c r="BA2596" i="1"/>
  <c r="BA2597" i="1"/>
  <c r="BA2598" i="1"/>
  <c r="BA2599" i="1"/>
  <c r="BA2600" i="1"/>
  <c r="BA2601" i="1"/>
  <c r="BA2602" i="1"/>
  <c r="BA2603" i="1"/>
  <c r="BA2604" i="1"/>
  <c r="BA2605" i="1"/>
  <c r="BA2606" i="1"/>
  <c r="BA2607" i="1"/>
  <c r="BA2608" i="1"/>
  <c r="BA2609" i="1"/>
  <c r="BA2610" i="1"/>
  <c r="BA2611" i="1"/>
  <c r="BA2612" i="1"/>
  <c r="BA2613" i="1"/>
  <c r="BA2614" i="1"/>
  <c r="BA2615" i="1"/>
  <c r="BA2616" i="1"/>
  <c r="BA2617" i="1"/>
  <c r="BA2618" i="1"/>
  <c r="BA2619" i="1"/>
  <c r="BA2620" i="1"/>
  <c r="BA2621" i="1"/>
  <c r="BA2622" i="1"/>
  <c r="BA2623" i="1"/>
  <c r="BA2624" i="1"/>
  <c r="BA2625" i="1"/>
  <c r="BA2626" i="1"/>
  <c r="BA2627" i="1"/>
  <c r="BA2628" i="1"/>
  <c r="BA2629" i="1"/>
  <c r="BA2630" i="1"/>
  <c r="BA2631" i="1"/>
  <c r="BA2632" i="1"/>
  <c r="BA2633" i="1"/>
  <c r="BA2634" i="1"/>
  <c r="BA2635" i="1"/>
  <c r="BA2636" i="1"/>
  <c r="BA2637" i="1"/>
  <c r="BA2638" i="1"/>
  <c r="BA2639" i="1"/>
  <c r="BA2640" i="1"/>
  <c r="BA2641" i="1"/>
  <c r="BA2642" i="1"/>
  <c r="BA2643" i="1"/>
  <c r="BA2644" i="1"/>
  <c r="BA2645" i="1"/>
  <c r="BA2646" i="1"/>
  <c r="BA2647" i="1"/>
  <c r="BA2648" i="1"/>
  <c r="BA2649" i="1"/>
  <c r="BA2650" i="1"/>
  <c r="BA2651" i="1"/>
  <c r="BA2652" i="1"/>
  <c r="BA2653" i="1"/>
  <c r="BA2654" i="1"/>
  <c r="BA2655" i="1"/>
  <c r="BA2656" i="1"/>
  <c r="BA2657" i="1"/>
  <c r="BA2658" i="1"/>
  <c r="BA2659" i="1"/>
  <c r="BA2660" i="1"/>
  <c r="BA2661" i="1"/>
  <c r="BA2662" i="1"/>
  <c r="BA2663" i="1"/>
  <c r="BA2664" i="1"/>
  <c r="BA2665" i="1"/>
  <c r="BA2666" i="1"/>
  <c r="BA2667" i="1"/>
  <c r="BA2668" i="1"/>
  <c r="BA2669" i="1"/>
  <c r="BA2670" i="1"/>
  <c r="BA2671" i="1"/>
  <c r="BA2672" i="1"/>
  <c r="BA2673" i="1"/>
  <c r="BA2674" i="1"/>
  <c r="BA2675" i="1"/>
  <c r="BA2676" i="1"/>
  <c r="BA2677" i="1"/>
  <c r="BA2678" i="1"/>
  <c r="BA2679" i="1"/>
  <c r="BA2680" i="1"/>
  <c r="BA2681" i="1"/>
  <c r="BA2682" i="1"/>
  <c r="BA2683" i="1"/>
  <c r="BA2684" i="1"/>
  <c r="BA2685" i="1"/>
  <c r="BA2686" i="1"/>
  <c r="BA2687" i="1"/>
  <c r="BA2688" i="1"/>
  <c r="BA2689" i="1"/>
  <c r="BA2690" i="1"/>
  <c r="BA2691" i="1"/>
  <c r="BA2692" i="1"/>
  <c r="BA2693" i="1"/>
  <c r="BA2694" i="1"/>
  <c r="BA2695" i="1"/>
  <c r="BA2696" i="1"/>
  <c r="BA2697" i="1"/>
  <c r="BA2698" i="1"/>
  <c r="BA2699" i="1"/>
  <c r="BA2700" i="1"/>
  <c r="BA2701" i="1"/>
  <c r="BA2702" i="1"/>
  <c r="BA2703" i="1"/>
  <c r="BA2704" i="1"/>
  <c r="BA2705" i="1"/>
  <c r="BA2706" i="1"/>
  <c r="BA2707" i="1"/>
  <c r="BA2708" i="1"/>
  <c r="BA2709" i="1"/>
  <c r="BA2710" i="1"/>
  <c r="BA2711" i="1"/>
  <c r="BA2712" i="1"/>
  <c r="BA2713" i="1"/>
  <c r="BA2714" i="1"/>
  <c r="BA2715" i="1"/>
  <c r="BA2716" i="1"/>
  <c r="BA2717" i="1"/>
  <c r="BA2718" i="1"/>
  <c r="BA2719" i="1"/>
  <c r="BA2720" i="1"/>
  <c r="BA2721" i="1"/>
  <c r="BA2722" i="1"/>
  <c r="BA2723" i="1"/>
  <c r="BA2724" i="1"/>
  <c r="BA2725" i="1"/>
  <c r="BA2726" i="1"/>
  <c r="BA2727" i="1"/>
  <c r="BA2728" i="1"/>
  <c r="BA2729" i="1"/>
  <c r="BA2730" i="1"/>
  <c r="BA2731" i="1"/>
  <c r="BA2732" i="1"/>
  <c r="BA2733" i="1"/>
  <c r="BA2734" i="1"/>
  <c r="BA2735" i="1"/>
  <c r="BA2736" i="1"/>
  <c r="BA2737" i="1"/>
  <c r="BA2738" i="1"/>
  <c r="BA2739" i="1"/>
  <c r="BA2740" i="1"/>
  <c r="BA2741" i="1"/>
  <c r="BA2742" i="1"/>
  <c r="BA2743" i="1"/>
  <c r="BA2744" i="1"/>
  <c r="BA2745" i="1"/>
  <c r="BA2746" i="1"/>
  <c r="BA2747" i="1"/>
  <c r="BA2748" i="1"/>
  <c r="BA2749" i="1"/>
  <c r="BA2750" i="1"/>
  <c r="BA2751" i="1"/>
  <c r="BA2752" i="1"/>
  <c r="BA2753" i="1"/>
  <c r="BA2754" i="1"/>
  <c r="BA2755" i="1"/>
  <c r="BA2756" i="1"/>
  <c r="BA2757" i="1"/>
  <c r="BA2758" i="1"/>
  <c r="BA2759" i="1"/>
  <c r="BA2760" i="1"/>
  <c r="BA2761" i="1"/>
  <c r="BA2762" i="1"/>
  <c r="BA2763" i="1"/>
  <c r="BA2764" i="1"/>
  <c r="BA2765" i="1"/>
  <c r="BA2766" i="1"/>
  <c r="BA2767" i="1"/>
  <c r="BA2768" i="1"/>
  <c r="BA2769" i="1"/>
  <c r="BA2770" i="1"/>
  <c r="BA2771" i="1"/>
  <c r="BA2772" i="1"/>
  <c r="BA2773" i="1"/>
  <c r="BA2774" i="1"/>
  <c r="BA2775" i="1"/>
  <c r="BA2776" i="1"/>
  <c r="BA2777" i="1"/>
  <c r="BA2778" i="1"/>
  <c r="BA2779" i="1"/>
  <c r="BA2780" i="1"/>
  <c r="BA2781" i="1"/>
  <c r="BA2782" i="1"/>
  <c r="BA2783" i="1"/>
  <c r="BA2784" i="1"/>
  <c r="BA2785" i="1"/>
  <c r="BA2786" i="1"/>
  <c r="BA2787" i="1"/>
  <c r="BA2788" i="1"/>
  <c r="BA2789" i="1"/>
  <c r="BA2790" i="1"/>
  <c r="BA2791" i="1"/>
  <c r="BA2792" i="1"/>
  <c r="BA2793" i="1"/>
  <c r="BA2794" i="1"/>
  <c r="BA2795" i="1"/>
  <c r="BA2796" i="1"/>
  <c r="BA2797" i="1"/>
  <c r="BA2798" i="1"/>
  <c r="BA2799" i="1"/>
  <c r="BA2800" i="1"/>
  <c r="BA2801" i="1"/>
  <c r="BA2802" i="1"/>
  <c r="BA2803" i="1"/>
  <c r="BA2804" i="1"/>
  <c r="BA2805" i="1"/>
  <c r="BA2806" i="1"/>
  <c r="BA2807" i="1"/>
  <c r="BA2808" i="1"/>
  <c r="BA2809" i="1"/>
  <c r="BA2810" i="1"/>
  <c r="BA2811" i="1"/>
  <c r="BA2812" i="1"/>
  <c r="BA2813" i="1"/>
  <c r="BA2814" i="1"/>
  <c r="BA2815" i="1"/>
  <c r="BA2816" i="1"/>
  <c r="BA2817" i="1"/>
  <c r="BA2818" i="1"/>
  <c r="BA2819" i="1"/>
  <c r="BA2820" i="1"/>
  <c r="BA2821" i="1"/>
  <c r="BA2822" i="1"/>
  <c r="BA2823" i="1"/>
  <c r="BA2824" i="1"/>
  <c r="BA2825" i="1"/>
  <c r="BA2826" i="1"/>
  <c r="BA2827" i="1"/>
  <c r="BA2828" i="1"/>
  <c r="BA2829" i="1"/>
  <c r="BA2830" i="1"/>
  <c r="BA2831" i="1"/>
  <c r="BA2832" i="1"/>
  <c r="BA2833" i="1"/>
  <c r="BA2834" i="1"/>
  <c r="BA2835" i="1"/>
  <c r="BA2836" i="1"/>
  <c r="BA2837" i="1"/>
  <c r="BA2838" i="1"/>
  <c r="BA2839" i="1"/>
  <c r="BA2840" i="1"/>
  <c r="BA2841" i="1"/>
  <c r="BA2842" i="1"/>
  <c r="BA2843" i="1"/>
  <c r="BA2844" i="1"/>
  <c r="BA2845" i="1"/>
  <c r="BA2846" i="1"/>
  <c r="BA2847" i="1"/>
  <c r="BA2848" i="1"/>
  <c r="BA2849" i="1"/>
  <c r="BA2850" i="1"/>
  <c r="BA2851" i="1"/>
  <c r="BA2852" i="1"/>
  <c r="BA2853" i="1"/>
  <c r="BA2854" i="1"/>
  <c r="BA2855" i="1"/>
  <c r="BA2856" i="1"/>
  <c r="BA2857" i="1"/>
  <c r="BA2858" i="1"/>
  <c r="BA2859" i="1"/>
  <c r="BA2860" i="1"/>
  <c r="BA2861" i="1"/>
  <c r="BA2862" i="1"/>
  <c r="BA2863" i="1"/>
  <c r="BA2864" i="1"/>
  <c r="BA2865" i="1"/>
  <c r="BA2866" i="1"/>
  <c r="BA2867" i="1"/>
  <c r="BA2868" i="1"/>
  <c r="BA2869" i="1"/>
  <c r="BA2870" i="1"/>
  <c r="BA2871" i="1"/>
  <c r="BA2872" i="1"/>
  <c r="BA2873" i="1"/>
  <c r="BA2874" i="1"/>
  <c r="BA2875" i="1"/>
  <c r="BA2876" i="1"/>
  <c r="BA2877" i="1"/>
  <c r="BA2878" i="1"/>
  <c r="BA2879" i="1"/>
  <c r="BA2880" i="1"/>
  <c r="BA2881" i="1"/>
  <c r="BA2882" i="1"/>
  <c r="BA2883" i="1"/>
  <c r="BA2884" i="1"/>
  <c r="BA2885" i="1"/>
  <c r="BA2886" i="1"/>
  <c r="BA2887" i="1"/>
  <c r="BA2888" i="1"/>
  <c r="BA2889" i="1"/>
  <c r="BA2890" i="1"/>
  <c r="BA2891" i="1"/>
  <c r="BA2892" i="1"/>
  <c r="BA2893" i="1"/>
  <c r="BA2894" i="1"/>
  <c r="BA2895" i="1"/>
  <c r="BA2896" i="1"/>
  <c r="BA2897" i="1"/>
  <c r="BA2898" i="1"/>
  <c r="BA2899" i="1"/>
  <c r="BA2900" i="1"/>
  <c r="BA2901" i="1"/>
  <c r="BA2902" i="1"/>
  <c r="BA2903" i="1"/>
  <c r="BA2904" i="1"/>
  <c r="BA2905" i="1"/>
  <c r="BA2906" i="1"/>
  <c r="BA2907" i="1"/>
  <c r="BA2908" i="1"/>
  <c r="BA2909" i="1"/>
  <c r="BA2910" i="1"/>
  <c r="BA2911" i="1"/>
  <c r="BA2912" i="1"/>
  <c r="BA2913" i="1"/>
  <c r="BA2914" i="1"/>
  <c r="BA2915" i="1"/>
  <c r="BA2916" i="1"/>
  <c r="BA2917" i="1"/>
  <c r="BA2918" i="1"/>
  <c r="BA2919" i="1"/>
  <c r="BA2920" i="1"/>
  <c r="BA2921" i="1"/>
  <c r="BA2922" i="1"/>
  <c r="BA2923" i="1"/>
  <c r="BA2924" i="1"/>
  <c r="BA2925" i="1"/>
  <c r="BA2926" i="1"/>
  <c r="BA2927" i="1"/>
  <c r="BA2928" i="1"/>
  <c r="BA2929" i="1"/>
  <c r="BA2930" i="1"/>
  <c r="BA2931" i="1"/>
  <c r="BA2932" i="1"/>
  <c r="BA2933" i="1"/>
  <c r="BA2934" i="1"/>
  <c r="BA2935" i="1"/>
  <c r="BA2936" i="1"/>
  <c r="BA2937" i="1"/>
  <c r="BA2938" i="1"/>
  <c r="BA2939" i="1"/>
  <c r="BA2940" i="1"/>
  <c r="BA2941" i="1"/>
  <c r="BA2942" i="1"/>
  <c r="BA2943" i="1"/>
  <c r="BA2944" i="1"/>
  <c r="BA2945" i="1"/>
  <c r="BA2946" i="1"/>
  <c r="BA2947" i="1"/>
  <c r="BA2948" i="1"/>
  <c r="BA2949" i="1"/>
  <c r="BA2950" i="1"/>
  <c r="BA2951" i="1"/>
  <c r="BA2952" i="1"/>
  <c r="BA2953" i="1"/>
  <c r="BA2954" i="1"/>
  <c r="BA2955" i="1"/>
  <c r="BA2956" i="1"/>
  <c r="BA2957" i="1"/>
  <c r="BA2958" i="1"/>
  <c r="BA2959" i="1"/>
  <c r="BA2960" i="1"/>
  <c r="BA2961" i="1"/>
  <c r="BA2962" i="1"/>
  <c r="BA2963" i="1"/>
  <c r="BA2964" i="1"/>
  <c r="BA2965" i="1"/>
  <c r="BA2966" i="1"/>
  <c r="BA2967" i="1"/>
  <c r="BA2968" i="1"/>
  <c r="BA2969" i="1"/>
  <c r="BA2970" i="1"/>
  <c r="BA2971" i="1"/>
  <c r="BA2972" i="1"/>
  <c r="BA2973" i="1"/>
  <c r="BA2974" i="1"/>
  <c r="BA2975" i="1"/>
  <c r="BA2976" i="1"/>
  <c r="BA2977" i="1"/>
  <c r="BA2978" i="1"/>
  <c r="BA2979" i="1"/>
  <c r="BA2980" i="1"/>
  <c r="BA2981" i="1"/>
  <c r="BA2982" i="1"/>
  <c r="BA2983" i="1"/>
  <c r="BA2984" i="1"/>
  <c r="BA2985" i="1"/>
  <c r="BA2986" i="1"/>
  <c r="BA2987" i="1"/>
  <c r="BA2988" i="1"/>
  <c r="BA2989" i="1"/>
  <c r="BA2990" i="1"/>
  <c r="BA2991" i="1"/>
  <c r="BA2992" i="1"/>
  <c r="BA2993" i="1"/>
  <c r="BA2994" i="1"/>
  <c r="BA2995" i="1"/>
  <c r="BA2996" i="1"/>
  <c r="BA2997" i="1"/>
  <c r="BA2998" i="1"/>
  <c r="BA2999" i="1"/>
  <c r="BA3000" i="1"/>
  <c r="BA3001" i="1"/>
  <c r="BA3002" i="1"/>
  <c r="BA3003" i="1"/>
  <c r="BA3004" i="1"/>
  <c r="BA3005" i="1"/>
  <c r="BA3006" i="1"/>
  <c r="BA3007" i="1"/>
  <c r="BA3008" i="1"/>
  <c r="BA3009" i="1"/>
  <c r="BA3010" i="1"/>
  <c r="BA3011" i="1"/>
  <c r="BA3012" i="1"/>
  <c r="BA3013" i="1"/>
  <c r="BA3014" i="1"/>
  <c r="BA3015" i="1"/>
  <c r="BA3016" i="1"/>
  <c r="BA3017" i="1"/>
  <c r="BA3018" i="1"/>
  <c r="BA3019" i="1"/>
  <c r="BA3020" i="1"/>
  <c r="BA3021" i="1"/>
  <c r="BA3022" i="1"/>
  <c r="BA3023" i="1"/>
  <c r="BA3024" i="1"/>
  <c r="BA3025" i="1"/>
  <c r="BA3026" i="1"/>
  <c r="BA3027" i="1"/>
  <c r="BA3028" i="1"/>
  <c r="BA3029" i="1"/>
  <c r="BA3030" i="1"/>
  <c r="BA3031" i="1"/>
  <c r="BA3032" i="1"/>
  <c r="BA3033" i="1"/>
  <c r="BA3034" i="1"/>
  <c r="BA3035" i="1"/>
  <c r="BA3036" i="1"/>
  <c r="BA3037" i="1"/>
  <c r="BA3038" i="1"/>
  <c r="BA3039" i="1"/>
  <c r="BA3040" i="1"/>
  <c r="BA3041" i="1"/>
  <c r="BA3042" i="1"/>
  <c r="BA3043" i="1"/>
  <c r="BA3044" i="1"/>
  <c r="BA3045" i="1"/>
  <c r="BA3046" i="1"/>
  <c r="BA3047" i="1"/>
  <c r="BA3048" i="1"/>
  <c r="BA3049" i="1"/>
  <c r="BA3050" i="1"/>
  <c r="BA3051" i="1"/>
  <c r="BA3052" i="1"/>
  <c r="BA3053" i="1"/>
  <c r="BA3054" i="1"/>
  <c r="BA3055" i="1"/>
  <c r="BA3056" i="1"/>
  <c r="BA3057" i="1"/>
  <c r="BA3058" i="1"/>
  <c r="BA3059" i="1"/>
  <c r="BA3060" i="1"/>
  <c r="BA3061" i="1"/>
  <c r="BA3062" i="1"/>
  <c r="BA3063" i="1"/>
  <c r="BA3064" i="1"/>
  <c r="BA3065" i="1"/>
  <c r="BA3066" i="1"/>
  <c r="BA3067" i="1"/>
  <c r="BA3068" i="1"/>
  <c r="BA3069" i="1"/>
  <c r="BA3070" i="1"/>
  <c r="BA3071" i="1"/>
  <c r="BA3072" i="1"/>
  <c r="BA3073" i="1"/>
  <c r="BA3074" i="1"/>
  <c r="BA3075" i="1"/>
  <c r="BA3076" i="1"/>
  <c r="BA3077" i="1"/>
  <c r="BA3078" i="1"/>
  <c r="BA3079" i="1"/>
  <c r="BA3080" i="1"/>
  <c r="BA3081" i="1"/>
  <c r="BA3082" i="1"/>
  <c r="BA3083" i="1"/>
  <c r="BA3084" i="1"/>
  <c r="BA3085" i="1"/>
  <c r="BA3086" i="1"/>
  <c r="BA3087" i="1"/>
  <c r="BA3088" i="1"/>
  <c r="BA3089" i="1"/>
  <c r="BA3090" i="1"/>
  <c r="BA3091" i="1"/>
  <c r="BA3092" i="1"/>
  <c r="BA3093" i="1"/>
  <c r="BA3094" i="1"/>
  <c r="BA3095" i="1"/>
  <c r="BA3096" i="1"/>
  <c r="BA3097" i="1"/>
  <c r="BA3098" i="1"/>
  <c r="BA3099" i="1"/>
  <c r="BA3100" i="1"/>
  <c r="BA3101" i="1"/>
  <c r="BA3102" i="1"/>
  <c r="BA3103" i="1"/>
  <c r="BA3104" i="1"/>
  <c r="BA3105" i="1"/>
  <c r="BA3106" i="1"/>
  <c r="BA3107" i="1"/>
  <c r="BA3108" i="1"/>
  <c r="BA3109" i="1"/>
  <c r="BA3110" i="1"/>
  <c r="BA3111" i="1"/>
  <c r="BA3112" i="1"/>
  <c r="BA3113" i="1"/>
  <c r="BA3114" i="1"/>
  <c r="BA3115" i="1"/>
  <c r="BA3116" i="1"/>
  <c r="BA3117" i="1"/>
  <c r="BA3118" i="1"/>
  <c r="BA3119" i="1"/>
  <c r="BA3120" i="1"/>
  <c r="BA3121" i="1"/>
  <c r="BA3122" i="1"/>
  <c r="BA3123" i="1"/>
  <c r="BA3124" i="1"/>
  <c r="BA3125" i="1"/>
  <c r="BA3126" i="1"/>
  <c r="BA3127" i="1"/>
  <c r="BA3128" i="1"/>
  <c r="BA3129" i="1"/>
  <c r="BA3130" i="1"/>
  <c r="BA3131" i="1"/>
  <c r="BA3132" i="1"/>
  <c r="BA3133" i="1"/>
  <c r="BA3134" i="1"/>
  <c r="BA3135" i="1"/>
  <c r="B19" i="9"/>
  <c r="S21" i="11" l="1"/>
  <c r="O21" i="11"/>
  <c r="K21" i="11"/>
  <c r="G21" i="11"/>
  <c r="Q19" i="11"/>
  <c r="M19" i="11"/>
  <c r="I19" i="11"/>
  <c r="E19" i="11"/>
  <c r="E22" i="11" s="1"/>
  <c r="V21" i="11"/>
  <c r="V20" i="11"/>
  <c r="R20" i="11"/>
  <c r="N20" i="11"/>
  <c r="J20" i="11"/>
  <c r="U19" i="11"/>
  <c r="R19" i="11"/>
  <c r="R22" i="11" s="1"/>
  <c r="N19" i="11"/>
  <c r="N22" i="11" s="1"/>
  <c r="J19" i="11"/>
  <c r="F19" i="11"/>
  <c r="V19" i="11"/>
  <c r="V22" i="11" s="1"/>
  <c r="F20" i="11"/>
  <c r="R21" i="11"/>
  <c r="N21" i="11"/>
  <c r="J21" i="11"/>
  <c r="F21" i="11"/>
  <c r="U20" i="11"/>
  <c r="Q20" i="11"/>
  <c r="M20" i="11"/>
  <c r="I20" i="11"/>
  <c r="E20" i="11"/>
  <c r="D19" i="11"/>
  <c r="P19" i="11"/>
  <c r="L19" i="11"/>
  <c r="L22" i="11" s="1"/>
  <c r="H19" i="11"/>
  <c r="U21" i="11"/>
  <c r="Q21" i="11"/>
  <c r="M21" i="11"/>
  <c r="I21" i="11"/>
  <c r="E21" i="11"/>
  <c r="T20" i="11"/>
  <c r="P20" i="11"/>
  <c r="L20" i="11"/>
  <c r="H20" i="11"/>
  <c r="D20" i="11"/>
  <c r="S19" i="11"/>
  <c r="S22" i="11" s="1"/>
  <c r="O19" i="11"/>
  <c r="K19" i="11"/>
  <c r="G19" i="11"/>
  <c r="T19" i="11"/>
  <c r="T22" i="11" s="1"/>
  <c r="T21" i="11"/>
  <c r="P21" i="11"/>
  <c r="L21" i="11"/>
  <c r="H21" i="11"/>
  <c r="D21" i="11"/>
  <c r="S20" i="11"/>
  <c r="O20" i="11"/>
  <c r="K20" i="11"/>
  <c r="G20" i="11"/>
  <c r="AV39" i="6"/>
  <c r="AA13" i="7"/>
  <c r="AC13" i="7"/>
  <c r="P13" i="7"/>
  <c r="R13" i="7"/>
  <c r="V13" i="7"/>
  <c r="X13" i="7"/>
  <c r="AB13" i="7"/>
  <c r="AD13" i="7"/>
  <c r="D27" i="7"/>
  <c r="H27" i="7"/>
  <c r="L27" i="7"/>
  <c r="P27" i="7"/>
  <c r="T27" i="7"/>
  <c r="X27" i="7"/>
  <c r="AB27" i="7"/>
  <c r="AE19" i="7"/>
  <c r="AE27" i="7" s="1"/>
  <c r="AE23" i="7"/>
  <c r="AE32" i="7"/>
  <c r="L13" i="7"/>
  <c r="N13" i="7"/>
  <c r="S13" i="7"/>
  <c r="T13" i="7"/>
  <c r="Z13" i="7"/>
  <c r="E27" i="7"/>
  <c r="I27" i="7"/>
  <c r="M27" i="7"/>
  <c r="Q27" i="7"/>
  <c r="U27" i="7"/>
  <c r="Y27" i="7"/>
  <c r="AC27" i="7"/>
  <c r="AE20" i="7"/>
  <c r="AE24" i="7"/>
  <c r="E41" i="7"/>
  <c r="I41" i="7"/>
  <c r="M41" i="7"/>
  <c r="Q41" i="7"/>
  <c r="U41" i="7"/>
  <c r="Y41" i="7"/>
  <c r="AC41" i="7"/>
  <c r="AE33" i="7"/>
  <c r="AE34" i="7"/>
  <c r="AE37" i="7"/>
  <c r="AE38" i="7"/>
  <c r="M13" i="7"/>
  <c r="O13" i="7"/>
  <c r="Q13" i="7"/>
  <c r="U13" i="7"/>
  <c r="W13" i="7"/>
  <c r="Y13" i="7"/>
  <c r="AE17" i="7"/>
  <c r="F27" i="7"/>
  <c r="J27" i="7"/>
  <c r="N27" i="7"/>
  <c r="R27" i="7"/>
  <c r="V27" i="7"/>
  <c r="Z27" i="7"/>
  <c r="AD27" i="7"/>
  <c r="AE21" i="7"/>
  <c r="AE25" i="7"/>
  <c r="AE31" i="7"/>
  <c r="AE41" i="7" s="1"/>
  <c r="AE40" i="7"/>
  <c r="B41" i="7"/>
  <c r="B27" i="7"/>
  <c r="B41" i="6"/>
  <c r="F41" i="6"/>
  <c r="J41" i="6"/>
  <c r="N41" i="6"/>
  <c r="R41" i="6"/>
  <c r="V41" i="6"/>
  <c r="Z41" i="6"/>
  <c r="AD41" i="6"/>
  <c r="AH41" i="6"/>
  <c r="AL41" i="6"/>
  <c r="AP41" i="6"/>
  <c r="AT41" i="6"/>
  <c r="AV18" i="6"/>
  <c r="AV20" i="6"/>
  <c r="AV22" i="6"/>
  <c r="AV24" i="6"/>
  <c r="AV26" i="6"/>
  <c r="AV33" i="6"/>
  <c r="AV37" i="6"/>
  <c r="AV32" i="6"/>
  <c r="B27" i="6"/>
  <c r="F27" i="6"/>
  <c r="J27" i="6"/>
  <c r="N27" i="6"/>
  <c r="R27" i="6"/>
  <c r="V27" i="6"/>
  <c r="Z27" i="6"/>
  <c r="AD27" i="6"/>
  <c r="AH27" i="6"/>
  <c r="AL27" i="6"/>
  <c r="AP27" i="6"/>
  <c r="AT27" i="6"/>
  <c r="AV19" i="6"/>
  <c r="AV21" i="6"/>
  <c r="AV23" i="6"/>
  <c r="AV25" i="6"/>
  <c r="AV31" i="6"/>
  <c r="AV17" i="6"/>
  <c r="B13" i="6"/>
  <c r="D13" i="7"/>
  <c r="F13" i="7"/>
  <c r="H13" i="7"/>
  <c r="J13" i="7"/>
  <c r="C13" i="7"/>
  <c r="E13" i="7"/>
  <c r="G13" i="7"/>
  <c r="I13" i="7"/>
  <c r="K13" i="7"/>
  <c r="AV5" i="6"/>
  <c r="AV9" i="6"/>
  <c r="AV6" i="6"/>
  <c r="AV10" i="6"/>
  <c r="AV12" i="6"/>
  <c r="AV8" i="6"/>
  <c r="AV11" i="6"/>
  <c r="AV7" i="6"/>
  <c r="D13" i="6"/>
  <c r="C13" i="6"/>
  <c r="B13" i="7"/>
  <c r="AV4" i="6"/>
  <c r="BA3136" i="1"/>
  <c r="G22" i="11" l="1"/>
  <c r="P22" i="11"/>
  <c r="I22" i="11"/>
  <c r="K22" i="11"/>
  <c r="D22" i="11"/>
  <c r="F22" i="11"/>
  <c r="U22" i="11"/>
  <c r="M22" i="11"/>
  <c r="O22" i="11"/>
  <c r="H22" i="11"/>
  <c r="J22" i="11"/>
  <c r="Q22" i="11"/>
  <c r="AV41" i="6"/>
  <c r="AV27" i="6"/>
  <c r="AE13" i="7"/>
  <c r="E13" i="6"/>
  <c r="F13" i="6" l="1"/>
  <c r="G13" i="6" l="1"/>
  <c r="H13" i="6" l="1"/>
  <c r="I13" i="6" l="1"/>
  <c r="J13" i="6" l="1"/>
  <c r="K13" i="6" l="1"/>
  <c r="L13" i="6" l="1"/>
  <c r="M13" i="6" l="1"/>
  <c r="N13" i="6" l="1"/>
  <c r="O13" i="6" l="1"/>
  <c r="P13" i="6" l="1"/>
  <c r="Q13" i="6" l="1"/>
  <c r="R13" i="6" l="1"/>
  <c r="S13" i="6" l="1"/>
  <c r="T13" i="6" l="1"/>
  <c r="U13" i="6" l="1"/>
  <c r="V13" i="6" l="1"/>
  <c r="W13" i="6" l="1"/>
  <c r="X13" i="6" l="1"/>
  <c r="Y13" i="6" l="1"/>
  <c r="Z13" i="6" l="1"/>
  <c r="AA13" i="6" l="1"/>
  <c r="AB13" i="6" l="1"/>
  <c r="AC13" i="6" l="1"/>
  <c r="AD13" i="6" l="1"/>
  <c r="AE13" i="6" l="1"/>
  <c r="AF13" i="6" l="1"/>
  <c r="AG13" i="6" l="1"/>
  <c r="AH13" i="6" l="1"/>
  <c r="AI13" i="6" l="1"/>
  <c r="AJ13" i="6" l="1"/>
  <c r="AK13" i="6" l="1"/>
  <c r="AL13" i="6" l="1"/>
  <c r="AM13" i="6" l="1"/>
  <c r="AN13" i="6" l="1"/>
  <c r="AO13" i="6" l="1"/>
  <c r="AP13" i="6" l="1"/>
  <c r="AQ13" i="6" l="1"/>
  <c r="AR13" i="6" l="1"/>
  <c r="AS13" i="6" l="1"/>
  <c r="AT13" i="6" l="1"/>
  <c r="AU13" i="6" l="1"/>
  <c r="AV3" i="6"/>
  <c r="AV13" i="6" s="1"/>
</calcChain>
</file>

<file path=xl/sharedStrings.xml><?xml version="1.0" encoding="utf-8"?>
<sst xmlns="http://schemas.openxmlformats.org/spreadsheetml/2006/main" count="31912" uniqueCount="197">
  <si>
    <t>GROUPING</t>
  </si>
  <si>
    <t>STUDY ID</t>
  </si>
  <si>
    <t>Sex</t>
  </si>
  <si>
    <t>CATEGORY</t>
  </si>
  <si>
    <t>DRUG</t>
  </si>
  <si>
    <t>A</t>
  </si>
  <si>
    <t>Jan</t>
  </si>
  <si>
    <t>F</t>
  </si>
  <si>
    <t>HMG COA REDUCTASE INHIBITORS</t>
  </si>
  <si>
    <t>ROSUVASTATIN CALCIUM</t>
  </si>
  <si>
    <t>H2-RECEPTOR ANTAGONISTS</t>
  </si>
  <si>
    <t>RANITIDINE HCL</t>
  </si>
  <si>
    <t>PROSTAGLANDINS</t>
  </si>
  <si>
    <t>MISOPROSTOL</t>
  </si>
  <si>
    <t>PROTON PUMP INHIBITORS</t>
  </si>
  <si>
    <t>LANSOPRAZOLE</t>
  </si>
  <si>
    <t>CIMETIDINE</t>
  </si>
  <si>
    <t>OTHER DRUGS FOR PEPTIC ULCER AND GASTRO-OESOPHAGEAL REFLUX DISEASE (GORD)</t>
  </si>
  <si>
    <t>SUCRALFATE</t>
  </si>
  <si>
    <t>PANTOPRAZOLE MAGNESIUM</t>
  </si>
  <si>
    <t>RABEPRAZOLE SODIUM</t>
  </si>
  <si>
    <t>PANTOPRAZOLE SODIUM</t>
  </si>
  <si>
    <t>M</t>
  </si>
  <si>
    <t>ATORVASTATIN CALCIUM</t>
  </si>
  <si>
    <t>NICOTINIC ACID AND DERIVATIVES</t>
  </si>
  <si>
    <t>NIACIN</t>
  </si>
  <si>
    <t>OTHER LIPID MODIFYING AGENTS</t>
  </si>
  <si>
    <t>EZETIMIBE</t>
  </si>
  <si>
    <t>OMEPRAZOLE MAGNESIUM</t>
  </si>
  <si>
    <t>SIMVASTATIN</t>
  </si>
  <si>
    <t>PRAVASTATIN SODIUM</t>
  </si>
  <si>
    <t>OMEPRAZOLE</t>
  </si>
  <si>
    <t>OTHER DRUGS FOR FUNCTIONAL BOWEL DISORDERS</t>
  </si>
  <si>
    <t>PINAVERIUM BROMIDE</t>
  </si>
  <si>
    <t>LOVASTATIN</t>
  </si>
  <si>
    <t>ESOMEPRAZOLE MAGNESIUM</t>
  </si>
  <si>
    <t>FAMOTIDINE</t>
  </si>
  <si>
    <t>FIBRATES</t>
  </si>
  <si>
    <t>FENOFIBRATE, MICRONIZED</t>
  </si>
  <si>
    <t>FENOFIBRATE, MICROCOATED</t>
  </si>
  <si>
    <t>BILE ACID SEQUESTRANTS</t>
  </si>
  <si>
    <t>CHOLESTYRAMINE/ASPARTAME</t>
  </si>
  <si>
    <t>B</t>
  </si>
  <si>
    <t>FENOFIBRATE</t>
  </si>
  <si>
    <t>CHOLESTYRAMINE (WITH SUGAR)</t>
  </si>
  <si>
    <t>FLUVASTATIN SODIUM</t>
  </si>
  <si>
    <t>C</t>
  </si>
  <si>
    <t>AMLODIPINE/ATORVASTATIN</t>
  </si>
  <si>
    <t>E</t>
  </si>
  <si>
    <t>GEMFIBROZIL</t>
  </si>
  <si>
    <t>G</t>
  </si>
  <si>
    <t>H</t>
  </si>
  <si>
    <t>COLESTIPOL HCL</t>
  </si>
  <si>
    <t>I</t>
  </si>
  <si>
    <t>Nov</t>
  </si>
  <si>
    <t>FENOFIBRATE, NANOCRYSTALLIZED</t>
  </si>
  <si>
    <t>J</t>
  </si>
  <si>
    <t>K</t>
  </si>
  <si>
    <t>L</t>
  </si>
  <si>
    <t>N</t>
  </si>
  <si>
    <t>O</t>
  </si>
  <si>
    <t>P</t>
  </si>
  <si>
    <t>Q</t>
  </si>
  <si>
    <t>DOCTOR</t>
  </si>
  <si>
    <t>SEX</t>
  </si>
  <si>
    <t>GROUPING DIFFERENCES, WHICH MAY CAUSE BIAS:</t>
  </si>
  <si>
    <t>Group 'January' were notified at the start that they'd be included in the Study; Group 'November' were included only at the Intervention meeting and asked to provide retroactive data for the previous 46 weeks.</t>
  </si>
  <si>
    <t>The end of week 75 was when the program was terminated, so results may be skewed - it was originally planned for 104 weeks (2 years) from January to January, with the intervention between two equal halves.</t>
  </si>
  <si>
    <t>PLEASE REMOVE THIS SHEET BEFORE SUBMITTING THE ASSIGNMENT!</t>
  </si>
  <si>
    <t>Note: the last weekday in Week 46 is the day of the Intervention (literally just saying "Please try to reduce your prescribing of PPI &amp; Statins" to each Doctor).</t>
  </si>
  <si>
    <t>However the Doctors couldn't meet in December, let alone the Christmas break, so mid-November was negotiated instead. This, ironically led to less imbalance: 46-to-29 is marginally better than 52-to-23!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</si>
  <si>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</si>
  <si>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</si>
  <si>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</si>
  <si>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</si>
  <si>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</si>
  <si>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</si>
  <si>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</si>
  <si>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</si>
  <si>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</si>
  <si>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</si>
  <si>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</si>
  <si>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</si>
  <si>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</si>
  <si>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</si>
  <si>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</si>
  <si>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</si>
  <si>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</si>
  <si>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</si>
  <si>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</si>
  <si>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</si>
  <si>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</si>
  <si>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</si>
  <si>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</si>
  <si>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</si>
  <si>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</si>
  <si>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</si>
  <si>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</si>
  <si>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</si>
  <si>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</si>
  <si>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</si>
  <si>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</si>
  <si>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</si>
  <si>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</si>
  <si>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</si>
  <si>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</si>
  <si>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</si>
  <si>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</si>
  <si>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</si>
  <si>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</si>
  <si>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</si>
  <si>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</si>
  <si>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</si>
  <si>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</si>
  <si>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</si>
  <si>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</si>
  <si>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</si>
  <si>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SCRIPTS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</si>
  <si>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</si>
  <si>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</si>
  <si>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</si>
  <si>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</si>
  <si>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</si>
  <si>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</si>
  <si>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</si>
  <si>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</si>
  <si>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</si>
  <si>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</si>
  <si>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</si>
  <si>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</si>
  <si>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</si>
  <si>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</si>
  <si>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</si>
  <si>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</si>
  <si>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</si>
  <si>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</si>
  <si>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</si>
  <si>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</si>
  <si>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</si>
  <si>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</si>
  <si>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</si>
  <si>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</si>
  <si>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</si>
  <si>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</si>
  <si>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</si>
  <si>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</si>
  <si>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</si>
  <si>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Total</t>
  </si>
  <si>
    <t>All</t>
  </si>
  <si>
    <t>Row Labels</t>
  </si>
  <si>
    <t>Grand Total</t>
  </si>
  <si>
    <t>Sum of SCRIPTS</t>
  </si>
  <si>
    <t>(All)</t>
  </si>
  <si>
    <t>Column Labels</t>
  </si>
  <si>
    <t>Jan Total</t>
  </si>
  <si>
    <t>Nov Total</t>
  </si>
  <si>
    <t>Max</t>
  </si>
  <si>
    <t>Min</t>
  </si>
  <si>
    <t>Good</t>
  </si>
  <si>
    <t>Bad</t>
  </si>
  <si>
    <t>Unknown</t>
  </si>
  <si>
    <t>Doctor I prescribed the least amount of drugs across all doctors</t>
  </si>
  <si>
    <t>H2BA</t>
  </si>
  <si>
    <t>STATIN</t>
  </si>
  <si>
    <t>PPI</t>
  </si>
  <si>
    <t>FOR STATISTICAL ANALYSYS</t>
  </si>
  <si>
    <t>Do a paired t-test</t>
  </si>
  <si>
    <t>n = 75</t>
  </si>
  <si>
    <t>t.test function</t>
  </si>
  <si>
    <t>Statins</t>
  </si>
  <si>
    <t>H2 Receptor Antagonists</t>
  </si>
  <si>
    <t>Is there a noticeable decline in Statin prescribing during
the Post period?</t>
  </si>
  <si>
    <t>If they’re both declines as hoped, which one (if either) is
more pronounced?</t>
  </si>
  <si>
    <t>Is there a noticeable decline in PPI prescribing during the
Post period?</t>
  </si>
  <si>
    <t>Is there a noticeable incline in H2-Receptor Antagonist
prescribing during the Post period?</t>
  </si>
  <si>
    <t>If they’re both inclines as hoped, which one (if either) is
more pronounced?</t>
  </si>
  <si>
    <t>Post</t>
  </si>
  <si>
    <t>Pre</t>
  </si>
  <si>
    <t>Difference</t>
  </si>
  <si>
    <t>Most Prescribed by in Post:</t>
  </si>
  <si>
    <t>Most Prescribed by in Pre:</t>
  </si>
  <si>
    <t>Least Prescribed by in Post:</t>
  </si>
  <si>
    <t>Least Prescribed by in Pre:</t>
  </si>
  <si>
    <t>Group with greatest decreased average:</t>
  </si>
  <si>
    <t>January Group</t>
  </si>
  <si>
    <t>Number of doctors with decreased averages:</t>
  </si>
  <si>
    <t xml:space="preserve">Jan Group: </t>
  </si>
  <si>
    <t>Nov Group:</t>
  </si>
  <si>
    <t>they are equal</t>
  </si>
  <si>
    <t>Did knowing the intervention ahead of time have any numerically observable bias?</t>
  </si>
  <si>
    <t>Average of averages</t>
  </si>
  <si>
    <t>The January group had a greater decreased average</t>
  </si>
  <si>
    <t>Both groups had the same number of doctors with decreased averages, implying possible bias for knowing the intervention ahead of time.</t>
  </si>
  <si>
    <t>PRE</t>
  </si>
  <si>
    <t>POST</t>
  </si>
  <si>
    <t>No</t>
  </si>
  <si>
    <t>Yes, November is more pronounced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</si>
</sst>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826B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2" borderId="0" xfId="0" applyFont="1" applyFill="1"/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3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0" xfId="0" applyBorder="1"/>
    <xf numFmtId="0" fontId="0" fillId="3" borderId="8" xfId="0" applyFill="1" applyBorder="1"/>
    <xf numFmtId="0" fontId="0" fillId="0" borderId="8" xfId="0" applyBorder="1"/>
    <xf numFmtId="0" fontId="0" fillId="9" borderId="8" xfId="0" applyFill="1" applyBorder="1"/>
    <xf numFmtId="0" fontId="0" fillId="0" borderId="9" xfId="0" applyBorder="1"/>
    <xf numFmtId="0" fontId="0" fillId="0" borderId="10" xfId="0" applyBorder="1"/>
    <xf numFmtId="0" fontId="0" fillId="9" borderId="11" xfId="0" applyFill="1" applyBorder="1"/>
    <xf numFmtId="0" fontId="0" fillId="9" borderId="6" xfId="0" applyFill="1" applyBorder="1"/>
    <xf numFmtId="0" fontId="0" fillId="3" borderId="11" xfId="0" applyFill="1" applyBorder="1"/>
    <xf numFmtId="0" fontId="5" fillId="0" borderId="10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2" xfId="0" applyFont="1" applyBorder="1"/>
    <xf numFmtId="0" fontId="0" fillId="0" borderId="13" xfId="0" applyBorder="1"/>
    <xf numFmtId="0" fontId="0" fillId="0" borderId="1" xfId="0" applyBorder="1"/>
    <xf numFmtId="0" fontId="6" fillId="0" borderId="0" xfId="0" applyFont="1"/>
  </cellXfs>
  <cellStyles count="2">
    <cellStyle name="Normal" xfId="0" builtinId="0"/>
    <cellStyle name="Normal 3" xfId="1" xr:uid="{00000000-0005-0000-0000-000001000000}"/>
  </cellStyles>
  <dxfs count="26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5" tint="-0.249977111117893"/>
        </patternFill>
      </fill>
    </dxf>
    <dxf>
      <fill>
        <patternFill>
          <bgColor theme="9" tint="0.39997558519241921"/>
        </patternFill>
      </fill>
    </dxf>
    <dxf>
      <fill>
        <patternFill>
          <bgColor theme="5" tint="-0.249977111117893"/>
        </patternFill>
      </fill>
    </dxf>
    <dxf>
      <fill>
        <patternFill>
          <bgColor theme="5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7" tint="0.39997558519241921"/>
        </patternFill>
      </fill>
    </dxf>
    <dxf>
      <fill>
        <patternFill>
          <bgColor theme="5" tint="-0.249977111117893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5" tint="-0.249977111117893"/>
        </patternFill>
      </fill>
    </dxf>
    <dxf>
      <fill>
        <patternFill>
          <bgColor theme="5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FF82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Charts1!$A$17</c:f>
              <c:strCache>
                <c:ptCount val="1"/>
                <c:pt idx="0">
                  <c:v>HMG COA REDUCTASE INHIBITORS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1"/>
                </a:solidFill>
                <a:prstDash val="sysDot"/>
                <a:headEnd type="none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799430262813442E-3"/>
                  <c:y val="-0.22506152185331682"/>
                </c:manualLayout>
              </c:layout>
              <c:numFmt formatCode="General" sourceLinked="0"/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Charts1!$B$17:$AU$17</c:f>
              <c:numCache>
                <c:formatCode>General</c:formatCode>
                <c:ptCount val="46"/>
                <c:pt idx="0">
                  <c:v>59</c:v>
                </c:pt>
                <c:pt idx="1">
                  <c:v>58</c:v>
                </c:pt>
                <c:pt idx="2">
                  <c:v>61</c:v>
                </c:pt>
                <c:pt idx="3">
                  <c:v>59</c:v>
                </c:pt>
                <c:pt idx="4">
                  <c:v>64</c:v>
                </c:pt>
                <c:pt idx="5">
                  <c:v>68</c:v>
                </c:pt>
                <c:pt idx="6">
                  <c:v>54</c:v>
                </c:pt>
                <c:pt idx="7">
                  <c:v>45</c:v>
                </c:pt>
                <c:pt idx="8">
                  <c:v>70</c:v>
                </c:pt>
                <c:pt idx="9">
                  <c:v>63</c:v>
                </c:pt>
                <c:pt idx="10">
                  <c:v>49</c:v>
                </c:pt>
                <c:pt idx="11">
                  <c:v>58</c:v>
                </c:pt>
                <c:pt idx="12">
                  <c:v>68</c:v>
                </c:pt>
                <c:pt idx="13">
                  <c:v>62</c:v>
                </c:pt>
                <c:pt idx="14">
                  <c:v>92</c:v>
                </c:pt>
                <c:pt idx="15">
                  <c:v>46</c:v>
                </c:pt>
                <c:pt idx="16">
                  <c:v>57</c:v>
                </c:pt>
                <c:pt idx="17">
                  <c:v>67</c:v>
                </c:pt>
                <c:pt idx="18">
                  <c:v>91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  <c:pt idx="22">
                  <c:v>69</c:v>
                </c:pt>
                <c:pt idx="23">
                  <c:v>73</c:v>
                </c:pt>
                <c:pt idx="24">
                  <c:v>54</c:v>
                </c:pt>
                <c:pt idx="25">
                  <c:v>65</c:v>
                </c:pt>
                <c:pt idx="26">
                  <c:v>64</c:v>
                </c:pt>
                <c:pt idx="27">
                  <c:v>61</c:v>
                </c:pt>
                <c:pt idx="28">
                  <c:v>70</c:v>
                </c:pt>
                <c:pt idx="29">
                  <c:v>62</c:v>
                </c:pt>
                <c:pt idx="30">
                  <c:v>55</c:v>
                </c:pt>
                <c:pt idx="31">
                  <c:v>74</c:v>
                </c:pt>
                <c:pt idx="32">
                  <c:v>62</c:v>
                </c:pt>
                <c:pt idx="33">
                  <c:v>53</c:v>
                </c:pt>
                <c:pt idx="34">
                  <c:v>55</c:v>
                </c:pt>
                <c:pt idx="35">
                  <c:v>45</c:v>
                </c:pt>
                <c:pt idx="36">
                  <c:v>81</c:v>
                </c:pt>
                <c:pt idx="37">
                  <c:v>58</c:v>
                </c:pt>
                <c:pt idx="38">
                  <c:v>71</c:v>
                </c:pt>
                <c:pt idx="39">
                  <c:v>71</c:v>
                </c:pt>
                <c:pt idx="40">
                  <c:v>56</c:v>
                </c:pt>
                <c:pt idx="41">
                  <c:v>82</c:v>
                </c:pt>
                <c:pt idx="42">
                  <c:v>67</c:v>
                </c:pt>
                <c:pt idx="43">
                  <c:v>58</c:v>
                </c:pt>
                <c:pt idx="44">
                  <c:v>58</c:v>
                </c:pt>
                <c:pt idx="45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E-D04F-A98D-43D51C0C304E}"/>
            </c:ext>
          </c:extLst>
        </c:ser>
        <c:ser>
          <c:idx val="1"/>
          <c:order val="1"/>
          <c:tx>
            <c:strRef>
              <c:f>Charts1!$A$18</c:f>
              <c:strCache>
                <c:ptCount val="1"/>
                <c:pt idx="0">
                  <c:v>H2-RECEPTOR ANTAGONISTS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182866551346016E-3"/>
                  <c:y val="-0.2175023475282254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Charts1!$B$18:$AU$18</c:f>
              <c:numCache>
                <c:formatCode>General</c:formatCode>
                <c:ptCount val="46"/>
                <c:pt idx="0">
                  <c:v>4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6</c:v>
                </c:pt>
                <c:pt idx="7">
                  <c:v>9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10</c:v>
                </c:pt>
                <c:pt idx="18">
                  <c:v>7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8</c:v>
                </c:pt>
                <c:pt idx="23">
                  <c:v>4</c:v>
                </c:pt>
                <c:pt idx="24">
                  <c:v>4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8</c:v>
                </c:pt>
                <c:pt idx="29">
                  <c:v>3</c:v>
                </c:pt>
                <c:pt idx="30">
                  <c:v>11</c:v>
                </c:pt>
                <c:pt idx="31">
                  <c:v>8</c:v>
                </c:pt>
                <c:pt idx="32">
                  <c:v>6</c:v>
                </c:pt>
                <c:pt idx="33">
                  <c:v>5</c:v>
                </c:pt>
                <c:pt idx="34">
                  <c:v>7</c:v>
                </c:pt>
                <c:pt idx="35">
                  <c:v>1</c:v>
                </c:pt>
                <c:pt idx="36">
                  <c:v>7</c:v>
                </c:pt>
                <c:pt idx="37">
                  <c:v>1</c:v>
                </c:pt>
                <c:pt idx="38">
                  <c:v>8</c:v>
                </c:pt>
                <c:pt idx="39">
                  <c:v>9</c:v>
                </c:pt>
                <c:pt idx="40">
                  <c:v>6</c:v>
                </c:pt>
                <c:pt idx="41">
                  <c:v>7</c:v>
                </c:pt>
                <c:pt idx="42">
                  <c:v>6</c:v>
                </c:pt>
                <c:pt idx="43">
                  <c:v>10</c:v>
                </c:pt>
                <c:pt idx="44">
                  <c:v>9</c:v>
                </c:pt>
                <c:pt idx="4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3E-D04F-A98D-43D51C0C304E}"/>
            </c:ext>
          </c:extLst>
        </c:ser>
        <c:ser>
          <c:idx val="3"/>
          <c:order val="2"/>
          <c:tx>
            <c:strRef>
              <c:f>Charts1!$A$20</c:f>
              <c:strCache>
                <c:ptCount val="1"/>
                <c:pt idx="0">
                  <c:v>PROTON PUMP INHIBITORS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7583802468805382E-4"/>
                  <c:y val="-0.16467470320058736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Charts1!$B$20:$AU$20</c:f>
              <c:numCache>
                <c:formatCode>General</c:formatCode>
                <c:ptCount val="46"/>
                <c:pt idx="0">
                  <c:v>68</c:v>
                </c:pt>
                <c:pt idx="1">
                  <c:v>72</c:v>
                </c:pt>
                <c:pt idx="2">
                  <c:v>63</c:v>
                </c:pt>
                <c:pt idx="3">
                  <c:v>65</c:v>
                </c:pt>
                <c:pt idx="4">
                  <c:v>61</c:v>
                </c:pt>
                <c:pt idx="5">
                  <c:v>65</c:v>
                </c:pt>
                <c:pt idx="6">
                  <c:v>61</c:v>
                </c:pt>
                <c:pt idx="7">
                  <c:v>58</c:v>
                </c:pt>
                <c:pt idx="8">
                  <c:v>64</c:v>
                </c:pt>
                <c:pt idx="9">
                  <c:v>68</c:v>
                </c:pt>
                <c:pt idx="10">
                  <c:v>75</c:v>
                </c:pt>
                <c:pt idx="11">
                  <c:v>55</c:v>
                </c:pt>
                <c:pt idx="12">
                  <c:v>75</c:v>
                </c:pt>
                <c:pt idx="13">
                  <c:v>71</c:v>
                </c:pt>
                <c:pt idx="14">
                  <c:v>75</c:v>
                </c:pt>
                <c:pt idx="15">
                  <c:v>56</c:v>
                </c:pt>
                <c:pt idx="16">
                  <c:v>55</c:v>
                </c:pt>
                <c:pt idx="17">
                  <c:v>73</c:v>
                </c:pt>
                <c:pt idx="18">
                  <c:v>80</c:v>
                </c:pt>
                <c:pt idx="19">
                  <c:v>64</c:v>
                </c:pt>
                <c:pt idx="20">
                  <c:v>56</c:v>
                </c:pt>
                <c:pt idx="21">
                  <c:v>56</c:v>
                </c:pt>
                <c:pt idx="22">
                  <c:v>55</c:v>
                </c:pt>
                <c:pt idx="23">
                  <c:v>64</c:v>
                </c:pt>
                <c:pt idx="24">
                  <c:v>63</c:v>
                </c:pt>
                <c:pt idx="25">
                  <c:v>72</c:v>
                </c:pt>
                <c:pt idx="26">
                  <c:v>67</c:v>
                </c:pt>
                <c:pt idx="27">
                  <c:v>62</c:v>
                </c:pt>
                <c:pt idx="28">
                  <c:v>76</c:v>
                </c:pt>
                <c:pt idx="29">
                  <c:v>72</c:v>
                </c:pt>
                <c:pt idx="30">
                  <c:v>62</c:v>
                </c:pt>
                <c:pt idx="31">
                  <c:v>71</c:v>
                </c:pt>
                <c:pt idx="32">
                  <c:v>71</c:v>
                </c:pt>
                <c:pt idx="33">
                  <c:v>74</c:v>
                </c:pt>
                <c:pt idx="34">
                  <c:v>62</c:v>
                </c:pt>
                <c:pt idx="35">
                  <c:v>65</c:v>
                </c:pt>
                <c:pt idx="36">
                  <c:v>63</c:v>
                </c:pt>
                <c:pt idx="37">
                  <c:v>65</c:v>
                </c:pt>
                <c:pt idx="38">
                  <c:v>53</c:v>
                </c:pt>
                <c:pt idx="39">
                  <c:v>62</c:v>
                </c:pt>
                <c:pt idx="40">
                  <c:v>62</c:v>
                </c:pt>
                <c:pt idx="41">
                  <c:v>69</c:v>
                </c:pt>
                <c:pt idx="42">
                  <c:v>76</c:v>
                </c:pt>
                <c:pt idx="43">
                  <c:v>68</c:v>
                </c:pt>
                <c:pt idx="44">
                  <c:v>56</c:v>
                </c:pt>
                <c:pt idx="4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3E-D04F-A98D-43D51C0C3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270048"/>
        <c:axId val="1294272384"/>
      </c:barChart>
      <c:catAx>
        <c:axId val="12942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272384"/>
        <c:crosses val="autoZero"/>
        <c:auto val="1"/>
        <c:lblAlgn val="ctr"/>
        <c:lblOffset val="100"/>
        <c:noMultiLvlLbl val="0"/>
      </c:catAx>
      <c:valAx>
        <c:axId val="12942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27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November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Charts1!$A$31</c:f>
              <c:strCache>
                <c:ptCount val="1"/>
                <c:pt idx="0">
                  <c:v>HMG COA REDUCTASE INHIBITORS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1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629349555980376E-3"/>
                  <c:y val="-0.22576210204303182"/>
                </c:manualLayout>
              </c:layout>
              <c:numFmt formatCode="General" sourceLinked="0"/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Charts1!$B$31:$AU$31</c:f>
              <c:numCache>
                <c:formatCode>General</c:formatCode>
                <c:ptCount val="46"/>
                <c:pt idx="0">
                  <c:v>82</c:v>
                </c:pt>
                <c:pt idx="1">
                  <c:v>87</c:v>
                </c:pt>
                <c:pt idx="2">
                  <c:v>95</c:v>
                </c:pt>
                <c:pt idx="3">
                  <c:v>77</c:v>
                </c:pt>
                <c:pt idx="4">
                  <c:v>82</c:v>
                </c:pt>
                <c:pt idx="5">
                  <c:v>76</c:v>
                </c:pt>
                <c:pt idx="6">
                  <c:v>88</c:v>
                </c:pt>
                <c:pt idx="7">
                  <c:v>82</c:v>
                </c:pt>
                <c:pt idx="8">
                  <c:v>80</c:v>
                </c:pt>
                <c:pt idx="9">
                  <c:v>84</c:v>
                </c:pt>
                <c:pt idx="10">
                  <c:v>101</c:v>
                </c:pt>
                <c:pt idx="11">
                  <c:v>102</c:v>
                </c:pt>
                <c:pt idx="12">
                  <c:v>89</c:v>
                </c:pt>
                <c:pt idx="13">
                  <c:v>95</c:v>
                </c:pt>
                <c:pt idx="14">
                  <c:v>88</c:v>
                </c:pt>
                <c:pt idx="15">
                  <c:v>97</c:v>
                </c:pt>
                <c:pt idx="16">
                  <c:v>93</c:v>
                </c:pt>
                <c:pt idx="17">
                  <c:v>82</c:v>
                </c:pt>
                <c:pt idx="18">
                  <c:v>93</c:v>
                </c:pt>
                <c:pt idx="19">
                  <c:v>109</c:v>
                </c:pt>
                <c:pt idx="20">
                  <c:v>86</c:v>
                </c:pt>
                <c:pt idx="21">
                  <c:v>88</c:v>
                </c:pt>
                <c:pt idx="22">
                  <c:v>85</c:v>
                </c:pt>
                <c:pt idx="23">
                  <c:v>108</c:v>
                </c:pt>
                <c:pt idx="24">
                  <c:v>108</c:v>
                </c:pt>
                <c:pt idx="25">
                  <c:v>74</c:v>
                </c:pt>
                <c:pt idx="26">
                  <c:v>102</c:v>
                </c:pt>
                <c:pt idx="27">
                  <c:v>95</c:v>
                </c:pt>
                <c:pt idx="28">
                  <c:v>95</c:v>
                </c:pt>
                <c:pt idx="29">
                  <c:v>93</c:v>
                </c:pt>
                <c:pt idx="30">
                  <c:v>80</c:v>
                </c:pt>
                <c:pt idx="31">
                  <c:v>92</c:v>
                </c:pt>
                <c:pt idx="32">
                  <c:v>95</c:v>
                </c:pt>
                <c:pt idx="33">
                  <c:v>89</c:v>
                </c:pt>
                <c:pt idx="34">
                  <c:v>96</c:v>
                </c:pt>
                <c:pt idx="35">
                  <c:v>106</c:v>
                </c:pt>
                <c:pt idx="36">
                  <c:v>85</c:v>
                </c:pt>
                <c:pt idx="37">
                  <c:v>87</c:v>
                </c:pt>
                <c:pt idx="38">
                  <c:v>78</c:v>
                </c:pt>
                <c:pt idx="39">
                  <c:v>110</c:v>
                </c:pt>
                <c:pt idx="40">
                  <c:v>69</c:v>
                </c:pt>
                <c:pt idx="41">
                  <c:v>92</c:v>
                </c:pt>
                <c:pt idx="42">
                  <c:v>99</c:v>
                </c:pt>
                <c:pt idx="43">
                  <c:v>89</c:v>
                </c:pt>
                <c:pt idx="44">
                  <c:v>89</c:v>
                </c:pt>
                <c:pt idx="4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7-E64F-8AC0-970A2FD54EF4}"/>
            </c:ext>
          </c:extLst>
        </c:ser>
        <c:ser>
          <c:idx val="1"/>
          <c:order val="1"/>
          <c:tx>
            <c:strRef>
              <c:f>Charts1!$A$32</c:f>
              <c:strCache>
                <c:ptCount val="1"/>
                <c:pt idx="0">
                  <c:v>H2-RECEPTOR ANTAGONISTS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2287268241274777E-3"/>
                  <c:y val="-0.21247610175378234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Charts1!$B$32:$AU$32</c:f>
              <c:numCache>
                <c:formatCode>General</c:formatCode>
                <c:ptCount val="46"/>
                <c:pt idx="0">
                  <c:v>10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12</c:v>
                </c:pt>
                <c:pt idx="5">
                  <c:v>8</c:v>
                </c:pt>
                <c:pt idx="6">
                  <c:v>13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13</c:v>
                </c:pt>
                <c:pt idx="15">
                  <c:v>14</c:v>
                </c:pt>
                <c:pt idx="16">
                  <c:v>18</c:v>
                </c:pt>
                <c:pt idx="17">
                  <c:v>14</c:v>
                </c:pt>
                <c:pt idx="18">
                  <c:v>17</c:v>
                </c:pt>
                <c:pt idx="19">
                  <c:v>17</c:v>
                </c:pt>
                <c:pt idx="20">
                  <c:v>8</c:v>
                </c:pt>
                <c:pt idx="21">
                  <c:v>23</c:v>
                </c:pt>
                <c:pt idx="22">
                  <c:v>9</c:v>
                </c:pt>
                <c:pt idx="23">
                  <c:v>14</c:v>
                </c:pt>
                <c:pt idx="24">
                  <c:v>12</c:v>
                </c:pt>
                <c:pt idx="25">
                  <c:v>10</c:v>
                </c:pt>
                <c:pt idx="26">
                  <c:v>26</c:v>
                </c:pt>
                <c:pt idx="27">
                  <c:v>9</c:v>
                </c:pt>
                <c:pt idx="28">
                  <c:v>8</c:v>
                </c:pt>
                <c:pt idx="29">
                  <c:v>12</c:v>
                </c:pt>
                <c:pt idx="30">
                  <c:v>14</c:v>
                </c:pt>
                <c:pt idx="31">
                  <c:v>12</c:v>
                </c:pt>
                <c:pt idx="32">
                  <c:v>18</c:v>
                </c:pt>
                <c:pt idx="33">
                  <c:v>13</c:v>
                </c:pt>
                <c:pt idx="34">
                  <c:v>17</c:v>
                </c:pt>
                <c:pt idx="35">
                  <c:v>13</c:v>
                </c:pt>
                <c:pt idx="36">
                  <c:v>14</c:v>
                </c:pt>
                <c:pt idx="37">
                  <c:v>17</c:v>
                </c:pt>
                <c:pt idx="38">
                  <c:v>8</c:v>
                </c:pt>
                <c:pt idx="39">
                  <c:v>10</c:v>
                </c:pt>
                <c:pt idx="40">
                  <c:v>14</c:v>
                </c:pt>
                <c:pt idx="41">
                  <c:v>11</c:v>
                </c:pt>
                <c:pt idx="42">
                  <c:v>15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7-E64F-8AC0-970A2FD54EF4}"/>
            </c:ext>
          </c:extLst>
        </c:ser>
        <c:ser>
          <c:idx val="3"/>
          <c:order val="2"/>
          <c:tx>
            <c:strRef>
              <c:f>Charts1!$A$34</c:f>
              <c:strCache>
                <c:ptCount val="1"/>
                <c:pt idx="0">
                  <c:v>PROTON PUMP INHIBITORS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7521315325593922E-3"/>
                  <c:y val="-0.19868788846248389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Charts1!$B$34:$AU$34</c:f>
              <c:numCache>
                <c:formatCode>General</c:formatCode>
                <c:ptCount val="46"/>
                <c:pt idx="0">
                  <c:v>83</c:v>
                </c:pt>
                <c:pt idx="1">
                  <c:v>56</c:v>
                </c:pt>
                <c:pt idx="2">
                  <c:v>57</c:v>
                </c:pt>
                <c:pt idx="3">
                  <c:v>64</c:v>
                </c:pt>
                <c:pt idx="4">
                  <c:v>78</c:v>
                </c:pt>
                <c:pt idx="5">
                  <c:v>57</c:v>
                </c:pt>
                <c:pt idx="6">
                  <c:v>66</c:v>
                </c:pt>
                <c:pt idx="7">
                  <c:v>60</c:v>
                </c:pt>
                <c:pt idx="8">
                  <c:v>69</c:v>
                </c:pt>
                <c:pt idx="9">
                  <c:v>68</c:v>
                </c:pt>
                <c:pt idx="10">
                  <c:v>74</c:v>
                </c:pt>
                <c:pt idx="11">
                  <c:v>61</c:v>
                </c:pt>
                <c:pt idx="12">
                  <c:v>71</c:v>
                </c:pt>
                <c:pt idx="13">
                  <c:v>67</c:v>
                </c:pt>
                <c:pt idx="14">
                  <c:v>68</c:v>
                </c:pt>
                <c:pt idx="15">
                  <c:v>60</c:v>
                </c:pt>
                <c:pt idx="16">
                  <c:v>72</c:v>
                </c:pt>
                <c:pt idx="17">
                  <c:v>76</c:v>
                </c:pt>
                <c:pt idx="18">
                  <c:v>70</c:v>
                </c:pt>
                <c:pt idx="19">
                  <c:v>59</c:v>
                </c:pt>
                <c:pt idx="20">
                  <c:v>70</c:v>
                </c:pt>
                <c:pt idx="21">
                  <c:v>83</c:v>
                </c:pt>
                <c:pt idx="22">
                  <c:v>62</c:v>
                </c:pt>
                <c:pt idx="23">
                  <c:v>78</c:v>
                </c:pt>
                <c:pt idx="24">
                  <c:v>80</c:v>
                </c:pt>
                <c:pt idx="25">
                  <c:v>60</c:v>
                </c:pt>
                <c:pt idx="26">
                  <c:v>76</c:v>
                </c:pt>
                <c:pt idx="27">
                  <c:v>66</c:v>
                </c:pt>
                <c:pt idx="28">
                  <c:v>56</c:v>
                </c:pt>
                <c:pt idx="29">
                  <c:v>75</c:v>
                </c:pt>
                <c:pt idx="30">
                  <c:v>71</c:v>
                </c:pt>
                <c:pt idx="31">
                  <c:v>58</c:v>
                </c:pt>
                <c:pt idx="32">
                  <c:v>66</c:v>
                </c:pt>
                <c:pt idx="33">
                  <c:v>74</c:v>
                </c:pt>
                <c:pt idx="34">
                  <c:v>71</c:v>
                </c:pt>
                <c:pt idx="35">
                  <c:v>70</c:v>
                </c:pt>
                <c:pt idx="36">
                  <c:v>64</c:v>
                </c:pt>
                <c:pt idx="37">
                  <c:v>78</c:v>
                </c:pt>
                <c:pt idx="38">
                  <c:v>68</c:v>
                </c:pt>
                <c:pt idx="39">
                  <c:v>73</c:v>
                </c:pt>
                <c:pt idx="40">
                  <c:v>59</c:v>
                </c:pt>
                <c:pt idx="41">
                  <c:v>67</c:v>
                </c:pt>
                <c:pt idx="42">
                  <c:v>86</c:v>
                </c:pt>
                <c:pt idx="43">
                  <c:v>75</c:v>
                </c:pt>
                <c:pt idx="44">
                  <c:v>54</c:v>
                </c:pt>
                <c:pt idx="4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B7-E64F-8AC0-970A2FD54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351184"/>
        <c:axId val="1297079952"/>
      </c:barChart>
      <c:catAx>
        <c:axId val="13003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079952"/>
        <c:crosses val="autoZero"/>
        <c:auto val="1"/>
        <c:lblAlgn val="ctr"/>
        <c:lblOffset val="100"/>
        <c:noMultiLvlLbl val="0"/>
      </c:catAx>
      <c:valAx>
        <c:axId val="129707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35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Charts2!$A$17</c:f>
              <c:strCache>
                <c:ptCount val="1"/>
                <c:pt idx="0">
                  <c:v>HMG COA REDUCTASE INHIBITORS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1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0436038672377988E-3"/>
                  <c:y val="-0.21236220206392367"/>
                </c:manualLayout>
              </c:layout>
              <c:numFmt formatCode="General" sourceLinked="0"/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Charts2!$B$17:$AD$17</c:f>
              <c:numCache>
                <c:formatCode>General</c:formatCode>
                <c:ptCount val="29"/>
                <c:pt idx="0">
                  <c:v>63</c:v>
                </c:pt>
                <c:pt idx="1">
                  <c:v>79</c:v>
                </c:pt>
                <c:pt idx="2">
                  <c:v>62</c:v>
                </c:pt>
                <c:pt idx="3">
                  <c:v>72</c:v>
                </c:pt>
                <c:pt idx="4">
                  <c:v>69</c:v>
                </c:pt>
                <c:pt idx="5">
                  <c:v>56</c:v>
                </c:pt>
                <c:pt idx="6">
                  <c:v>0</c:v>
                </c:pt>
                <c:pt idx="7">
                  <c:v>44</c:v>
                </c:pt>
                <c:pt idx="8">
                  <c:v>64</c:v>
                </c:pt>
                <c:pt idx="9">
                  <c:v>61</c:v>
                </c:pt>
                <c:pt idx="10">
                  <c:v>70</c:v>
                </c:pt>
                <c:pt idx="11">
                  <c:v>59</c:v>
                </c:pt>
                <c:pt idx="12">
                  <c:v>75</c:v>
                </c:pt>
                <c:pt idx="13">
                  <c:v>51</c:v>
                </c:pt>
                <c:pt idx="14">
                  <c:v>52</c:v>
                </c:pt>
                <c:pt idx="15">
                  <c:v>56</c:v>
                </c:pt>
                <c:pt idx="16">
                  <c:v>64</c:v>
                </c:pt>
                <c:pt idx="17">
                  <c:v>67</c:v>
                </c:pt>
                <c:pt idx="18">
                  <c:v>69</c:v>
                </c:pt>
                <c:pt idx="19">
                  <c:v>68</c:v>
                </c:pt>
                <c:pt idx="20">
                  <c:v>70</c:v>
                </c:pt>
                <c:pt idx="21">
                  <c:v>74</c:v>
                </c:pt>
                <c:pt idx="22">
                  <c:v>78</c:v>
                </c:pt>
                <c:pt idx="23">
                  <c:v>78</c:v>
                </c:pt>
                <c:pt idx="24">
                  <c:v>63</c:v>
                </c:pt>
                <c:pt idx="25">
                  <c:v>69</c:v>
                </c:pt>
                <c:pt idx="26">
                  <c:v>71</c:v>
                </c:pt>
                <c:pt idx="27">
                  <c:v>57</c:v>
                </c:pt>
                <c:pt idx="28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7-5C47-AA3F-DD0E65C953F1}"/>
            </c:ext>
          </c:extLst>
        </c:ser>
        <c:ser>
          <c:idx val="1"/>
          <c:order val="1"/>
          <c:tx>
            <c:strRef>
              <c:f>Charts2!$A$18</c:f>
              <c:strCache>
                <c:ptCount val="1"/>
                <c:pt idx="0">
                  <c:v>H2-RECEPTOR ANTAGONISTS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769702971255269E-3"/>
                  <c:y val="-0.22908663464496637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Charts2!$B$18:$AD$18</c:f>
              <c:numCache>
                <c:formatCode>General</c:formatCode>
                <c:ptCount val="29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0</c:v>
                </c:pt>
                <c:pt idx="7">
                  <c:v>4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8</c:v>
                </c:pt>
                <c:pt idx="12">
                  <c:v>13</c:v>
                </c:pt>
                <c:pt idx="13">
                  <c:v>4</c:v>
                </c:pt>
                <c:pt idx="14">
                  <c:v>9</c:v>
                </c:pt>
                <c:pt idx="15">
                  <c:v>7</c:v>
                </c:pt>
                <c:pt idx="16">
                  <c:v>8</c:v>
                </c:pt>
                <c:pt idx="17">
                  <c:v>10</c:v>
                </c:pt>
                <c:pt idx="18">
                  <c:v>9</c:v>
                </c:pt>
                <c:pt idx="19">
                  <c:v>11</c:v>
                </c:pt>
                <c:pt idx="20">
                  <c:v>7</c:v>
                </c:pt>
                <c:pt idx="21">
                  <c:v>10</c:v>
                </c:pt>
                <c:pt idx="22">
                  <c:v>5</c:v>
                </c:pt>
                <c:pt idx="23">
                  <c:v>8</c:v>
                </c:pt>
                <c:pt idx="24">
                  <c:v>12</c:v>
                </c:pt>
                <c:pt idx="25">
                  <c:v>9</c:v>
                </c:pt>
                <c:pt idx="26">
                  <c:v>8</c:v>
                </c:pt>
                <c:pt idx="27">
                  <c:v>15</c:v>
                </c:pt>
                <c:pt idx="2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77-5C47-AA3F-DD0E65C953F1}"/>
            </c:ext>
          </c:extLst>
        </c:ser>
        <c:ser>
          <c:idx val="3"/>
          <c:order val="2"/>
          <c:tx>
            <c:strRef>
              <c:f>Charts2!$A$20</c:f>
              <c:strCache>
                <c:ptCount val="1"/>
                <c:pt idx="0">
                  <c:v>PROTON PUMP INHIBITORS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20985840335006E-3"/>
                  <c:y val="-0.19360265468312921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Charts2!$B$20:$AD$20</c:f>
              <c:numCache>
                <c:formatCode>General</c:formatCode>
                <c:ptCount val="29"/>
                <c:pt idx="0">
                  <c:v>56</c:v>
                </c:pt>
                <c:pt idx="1">
                  <c:v>63</c:v>
                </c:pt>
                <c:pt idx="2">
                  <c:v>63</c:v>
                </c:pt>
                <c:pt idx="3">
                  <c:v>72</c:v>
                </c:pt>
                <c:pt idx="4">
                  <c:v>66</c:v>
                </c:pt>
                <c:pt idx="5">
                  <c:v>47</c:v>
                </c:pt>
                <c:pt idx="6">
                  <c:v>0</c:v>
                </c:pt>
                <c:pt idx="7">
                  <c:v>44</c:v>
                </c:pt>
                <c:pt idx="8">
                  <c:v>59</c:v>
                </c:pt>
                <c:pt idx="9">
                  <c:v>50</c:v>
                </c:pt>
                <c:pt idx="10">
                  <c:v>72</c:v>
                </c:pt>
                <c:pt idx="11">
                  <c:v>48</c:v>
                </c:pt>
                <c:pt idx="12">
                  <c:v>55</c:v>
                </c:pt>
                <c:pt idx="13">
                  <c:v>54</c:v>
                </c:pt>
                <c:pt idx="14">
                  <c:v>52</c:v>
                </c:pt>
                <c:pt idx="15">
                  <c:v>54</c:v>
                </c:pt>
                <c:pt idx="16">
                  <c:v>65</c:v>
                </c:pt>
                <c:pt idx="17">
                  <c:v>51</c:v>
                </c:pt>
                <c:pt idx="18">
                  <c:v>47</c:v>
                </c:pt>
                <c:pt idx="19">
                  <c:v>61</c:v>
                </c:pt>
                <c:pt idx="20">
                  <c:v>61</c:v>
                </c:pt>
                <c:pt idx="21">
                  <c:v>57</c:v>
                </c:pt>
                <c:pt idx="22">
                  <c:v>52</c:v>
                </c:pt>
                <c:pt idx="23">
                  <c:v>55</c:v>
                </c:pt>
                <c:pt idx="24">
                  <c:v>61</c:v>
                </c:pt>
                <c:pt idx="25">
                  <c:v>49</c:v>
                </c:pt>
                <c:pt idx="26">
                  <c:v>49</c:v>
                </c:pt>
                <c:pt idx="27">
                  <c:v>46</c:v>
                </c:pt>
                <c:pt idx="28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77-5C47-AA3F-DD0E65C95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432640"/>
        <c:axId val="639396976"/>
      </c:barChart>
      <c:catAx>
        <c:axId val="6394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6976"/>
        <c:crosses val="autoZero"/>
        <c:auto val="1"/>
        <c:lblAlgn val="ctr"/>
        <c:lblOffset val="100"/>
        <c:noMultiLvlLbl val="0"/>
      </c:catAx>
      <c:valAx>
        <c:axId val="6393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4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November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Charts2!$A$31</c:f>
              <c:strCache>
                <c:ptCount val="1"/>
                <c:pt idx="0">
                  <c:v>HMG COA REDUCTASE INHIBITORS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1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0450443476192748E-3"/>
                  <c:y val="-0.23541388262714344"/>
                </c:manualLayout>
              </c:layout>
              <c:numFmt formatCode="General" sourceLinked="0"/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Charts2!$B$31:$AD$31</c:f>
              <c:numCache>
                <c:formatCode>General</c:formatCode>
                <c:ptCount val="29"/>
                <c:pt idx="0">
                  <c:v>92</c:v>
                </c:pt>
                <c:pt idx="1">
                  <c:v>90</c:v>
                </c:pt>
                <c:pt idx="2">
                  <c:v>102</c:v>
                </c:pt>
                <c:pt idx="3">
                  <c:v>87</c:v>
                </c:pt>
                <c:pt idx="4">
                  <c:v>98</c:v>
                </c:pt>
                <c:pt idx="5">
                  <c:v>82</c:v>
                </c:pt>
                <c:pt idx="6">
                  <c:v>0</c:v>
                </c:pt>
                <c:pt idx="7">
                  <c:v>61</c:v>
                </c:pt>
                <c:pt idx="8">
                  <c:v>80</c:v>
                </c:pt>
                <c:pt idx="9">
                  <c:v>75</c:v>
                </c:pt>
                <c:pt idx="10">
                  <c:v>81</c:v>
                </c:pt>
                <c:pt idx="11">
                  <c:v>81</c:v>
                </c:pt>
                <c:pt idx="12">
                  <c:v>62</c:v>
                </c:pt>
                <c:pt idx="13">
                  <c:v>80</c:v>
                </c:pt>
                <c:pt idx="14">
                  <c:v>97</c:v>
                </c:pt>
                <c:pt idx="15">
                  <c:v>101</c:v>
                </c:pt>
                <c:pt idx="16">
                  <c:v>81</c:v>
                </c:pt>
                <c:pt idx="17">
                  <c:v>91</c:v>
                </c:pt>
                <c:pt idx="18">
                  <c:v>80</c:v>
                </c:pt>
                <c:pt idx="19">
                  <c:v>72</c:v>
                </c:pt>
                <c:pt idx="20">
                  <c:v>84</c:v>
                </c:pt>
                <c:pt idx="21">
                  <c:v>97</c:v>
                </c:pt>
                <c:pt idx="22">
                  <c:v>98</c:v>
                </c:pt>
                <c:pt idx="23">
                  <c:v>94</c:v>
                </c:pt>
                <c:pt idx="24">
                  <c:v>88</c:v>
                </c:pt>
                <c:pt idx="25">
                  <c:v>86</c:v>
                </c:pt>
                <c:pt idx="26">
                  <c:v>98</c:v>
                </c:pt>
                <c:pt idx="27">
                  <c:v>74</c:v>
                </c:pt>
                <c:pt idx="2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1-634A-B216-282D2C7B56FE}"/>
            </c:ext>
          </c:extLst>
        </c:ser>
        <c:ser>
          <c:idx val="1"/>
          <c:order val="1"/>
          <c:tx>
            <c:strRef>
              <c:f>Charts2!$A$32</c:f>
              <c:strCache>
                <c:ptCount val="1"/>
                <c:pt idx="0">
                  <c:v>H2-RECEPTOR ANTAGONISTS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7488944018983923E-3"/>
                  <c:y val="-0.20819158441852051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Charts2!$B$32:$AD$32</c:f>
              <c:numCache>
                <c:formatCode>General</c:formatCode>
                <c:ptCount val="29"/>
                <c:pt idx="0">
                  <c:v>16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14</c:v>
                </c:pt>
                <c:pt idx="5">
                  <c:v>9</c:v>
                </c:pt>
                <c:pt idx="6">
                  <c:v>0</c:v>
                </c:pt>
                <c:pt idx="7">
                  <c:v>19</c:v>
                </c:pt>
                <c:pt idx="8">
                  <c:v>15</c:v>
                </c:pt>
                <c:pt idx="9">
                  <c:v>8</c:v>
                </c:pt>
                <c:pt idx="10">
                  <c:v>11</c:v>
                </c:pt>
                <c:pt idx="11">
                  <c:v>14</c:v>
                </c:pt>
                <c:pt idx="12">
                  <c:v>19</c:v>
                </c:pt>
                <c:pt idx="13">
                  <c:v>12</c:v>
                </c:pt>
                <c:pt idx="14">
                  <c:v>13</c:v>
                </c:pt>
                <c:pt idx="15">
                  <c:v>10</c:v>
                </c:pt>
                <c:pt idx="16">
                  <c:v>16</c:v>
                </c:pt>
                <c:pt idx="17">
                  <c:v>17</c:v>
                </c:pt>
                <c:pt idx="18">
                  <c:v>14</c:v>
                </c:pt>
                <c:pt idx="19">
                  <c:v>13</c:v>
                </c:pt>
                <c:pt idx="20">
                  <c:v>16</c:v>
                </c:pt>
                <c:pt idx="21">
                  <c:v>20</c:v>
                </c:pt>
                <c:pt idx="22">
                  <c:v>22</c:v>
                </c:pt>
                <c:pt idx="23">
                  <c:v>17</c:v>
                </c:pt>
                <c:pt idx="24">
                  <c:v>12</c:v>
                </c:pt>
                <c:pt idx="25">
                  <c:v>23</c:v>
                </c:pt>
                <c:pt idx="26">
                  <c:v>14</c:v>
                </c:pt>
                <c:pt idx="27">
                  <c:v>11</c:v>
                </c:pt>
                <c:pt idx="2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91-634A-B216-282D2C7B56FE}"/>
            </c:ext>
          </c:extLst>
        </c:ser>
        <c:ser>
          <c:idx val="3"/>
          <c:order val="2"/>
          <c:tx>
            <c:strRef>
              <c:f>Charts2!$A$34</c:f>
              <c:strCache>
                <c:ptCount val="1"/>
                <c:pt idx="0">
                  <c:v>PROTON PUMP INHIBITORS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818250458418726E-3"/>
                  <c:y val="-0.22267702516731919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Charts2!$B$34:$AD$34</c:f>
              <c:numCache>
                <c:formatCode>General</c:formatCode>
                <c:ptCount val="29"/>
                <c:pt idx="0">
                  <c:v>86</c:v>
                </c:pt>
                <c:pt idx="1">
                  <c:v>70</c:v>
                </c:pt>
                <c:pt idx="2">
                  <c:v>64</c:v>
                </c:pt>
                <c:pt idx="3">
                  <c:v>75</c:v>
                </c:pt>
                <c:pt idx="4">
                  <c:v>68</c:v>
                </c:pt>
                <c:pt idx="5">
                  <c:v>59</c:v>
                </c:pt>
                <c:pt idx="6">
                  <c:v>0</c:v>
                </c:pt>
                <c:pt idx="7">
                  <c:v>57</c:v>
                </c:pt>
                <c:pt idx="8">
                  <c:v>68</c:v>
                </c:pt>
                <c:pt idx="9">
                  <c:v>55</c:v>
                </c:pt>
                <c:pt idx="10">
                  <c:v>66</c:v>
                </c:pt>
                <c:pt idx="11">
                  <c:v>67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67</c:v>
                </c:pt>
                <c:pt idx="17">
                  <c:v>78</c:v>
                </c:pt>
                <c:pt idx="18">
                  <c:v>44</c:v>
                </c:pt>
                <c:pt idx="19">
                  <c:v>70</c:v>
                </c:pt>
                <c:pt idx="20">
                  <c:v>56</c:v>
                </c:pt>
                <c:pt idx="21">
                  <c:v>50</c:v>
                </c:pt>
                <c:pt idx="22">
                  <c:v>60</c:v>
                </c:pt>
                <c:pt idx="23">
                  <c:v>66</c:v>
                </c:pt>
                <c:pt idx="24">
                  <c:v>57</c:v>
                </c:pt>
                <c:pt idx="25">
                  <c:v>62</c:v>
                </c:pt>
                <c:pt idx="26">
                  <c:v>60</c:v>
                </c:pt>
                <c:pt idx="27">
                  <c:v>63</c:v>
                </c:pt>
                <c:pt idx="2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91-634A-B216-282D2C7B5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922096"/>
        <c:axId val="752942768"/>
      </c:barChart>
      <c:catAx>
        <c:axId val="63992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42768"/>
        <c:crosses val="autoZero"/>
        <c:auto val="1"/>
        <c:lblAlgn val="ctr"/>
        <c:lblOffset val="100"/>
        <c:noMultiLvlLbl val="0"/>
      </c:catAx>
      <c:valAx>
        <c:axId val="7529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2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Charts1!$A$17</c:f>
              <c:strCache>
                <c:ptCount val="1"/>
                <c:pt idx="0">
                  <c:v>HMG COA REDUCTASE INHIBITORS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1"/>
                </a:solidFill>
                <a:prstDash val="sysDot"/>
                <a:headEnd type="none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799430262813442E-3"/>
                  <c:y val="-0.22506152185331682"/>
                </c:manualLayout>
              </c:layout>
              <c:numFmt formatCode="General" sourceLinked="0"/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Charts1!$B$17:$AU$17</c:f>
              <c:numCache>
                <c:formatCode>General</c:formatCode>
                <c:ptCount val="46"/>
                <c:pt idx="0">
                  <c:v>59</c:v>
                </c:pt>
                <c:pt idx="1">
                  <c:v>58</c:v>
                </c:pt>
                <c:pt idx="2">
                  <c:v>61</c:v>
                </c:pt>
                <c:pt idx="3">
                  <c:v>59</c:v>
                </c:pt>
                <c:pt idx="4">
                  <c:v>64</c:v>
                </c:pt>
                <c:pt idx="5">
                  <c:v>68</c:v>
                </c:pt>
                <c:pt idx="6">
                  <c:v>54</c:v>
                </c:pt>
                <c:pt idx="7">
                  <c:v>45</c:v>
                </c:pt>
                <c:pt idx="8">
                  <c:v>70</c:v>
                </c:pt>
                <c:pt idx="9">
                  <c:v>63</c:v>
                </c:pt>
                <c:pt idx="10">
                  <c:v>49</c:v>
                </c:pt>
                <c:pt idx="11">
                  <c:v>58</c:v>
                </c:pt>
                <c:pt idx="12">
                  <c:v>68</c:v>
                </c:pt>
                <c:pt idx="13">
                  <c:v>62</c:v>
                </c:pt>
                <c:pt idx="14">
                  <c:v>92</c:v>
                </c:pt>
                <c:pt idx="15">
                  <c:v>46</c:v>
                </c:pt>
                <c:pt idx="16">
                  <c:v>57</c:v>
                </c:pt>
                <c:pt idx="17">
                  <c:v>67</c:v>
                </c:pt>
                <c:pt idx="18">
                  <c:v>91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  <c:pt idx="22">
                  <c:v>69</c:v>
                </c:pt>
                <c:pt idx="23">
                  <c:v>73</c:v>
                </c:pt>
                <c:pt idx="24">
                  <c:v>54</c:v>
                </c:pt>
                <c:pt idx="25">
                  <c:v>65</c:v>
                </c:pt>
                <c:pt idx="26">
                  <c:v>64</c:v>
                </c:pt>
                <c:pt idx="27">
                  <c:v>61</c:v>
                </c:pt>
                <c:pt idx="28">
                  <c:v>70</c:v>
                </c:pt>
                <c:pt idx="29">
                  <c:v>62</c:v>
                </c:pt>
                <c:pt idx="30">
                  <c:v>55</c:v>
                </c:pt>
                <c:pt idx="31">
                  <c:v>74</c:v>
                </c:pt>
                <c:pt idx="32">
                  <c:v>62</c:v>
                </c:pt>
                <c:pt idx="33">
                  <c:v>53</c:v>
                </c:pt>
                <c:pt idx="34">
                  <c:v>55</c:v>
                </c:pt>
                <c:pt idx="35">
                  <c:v>45</c:v>
                </c:pt>
                <c:pt idx="36">
                  <c:v>81</c:v>
                </c:pt>
                <c:pt idx="37">
                  <c:v>58</c:v>
                </c:pt>
                <c:pt idx="38">
                  <c:v>71</c:v>
                </c:pt>
                <c:pt idx="39">
                  <c:v>71</c:v>
                </c:pt>
                <c:pt idx="40">
                  <c:v>56</c:v>
                </c:pt>
                <c:pt idx="41">
                  <c:v>82</c:v>
                </c:pt>
                <c:pt idx="42">
                  <c:v>67</c:v>
                </c:pt>
                <c:pt idx="43">
                  <c:v>58</c:v>
                </c:pt>
                <c:pt idx="44">
                  <c:v>58</c:v>
                </c:pt>
                <c:pt idx="45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B-6E44-BCD3-13F65312F153}"/>
            </c:ext>
          </c:extLst>
        </c:ser>
        <c:ser>
          <c:idx val="1"/>
          <c:order val="1"/>
          <c:tx>
            <c:strRef>
              <c:f>Charts1!$A$18</c:f>
              <c:strCache>
                <c:ptCount val="1"/>
                <c:pt idx="0">
                  <c:v>H2-RECEPTOR ANTAGONISTS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182866551346016E-3"/>
                  <c:y val="-0.2175023475282254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Charts1!$B$18:$AU$18</c:f>
              <c:numCache>
                <c:formatCode>General</c:formatCode>
                <c:ptCount val="46"/>
                <c:pt idx="0">
                  <c:v>4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6</c:v>
                </c:pt>
                <c:pt idx="7">
                  <c:v>9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10</c:v>
                </c:pt>
                <c:pt idx="18">
                  <c:v>7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8</c:v>
                </c:pt>
                <c:pt idx="23">
                  <c:v>4</c:v>
                </c:pt>
                <c:pt idx="24">
                  <c:v>4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8</c:v>
                </c:pt>
                <c:pt idx="29">
                  <c:v>3</c:v>
                </c:pt>
                <c:pt idx="30">
                  <c:v>11</c:v>
                </c:pt>
                <c:pt idx="31">
                  <c:v>8</c:v>
                </c:pt>
                <c:pt idx="32">
                  <c:v>6</c:v>
                </c:pt>
                <c:pt idx="33">
                  <c:v>5</c:v>
                </c:pt>
                <c:pt idx="34">
                  <c:v>7</c:v>
                </c:pt>
                <c:pt idx="35">
                  <c:v>1</c:v>
                </c:pt>
                <c:pt idx="36">
                  <c:v>7</c:v>
                </c:pt>
                <c:pt idx="37">
                  <c:v>1</c:v>
                </c:pt>
                <c:pt idx="38">
                  <c:v>8</c:v>
                </c:pt>
                <c:pt idx="39">
                  <c:v>9</c:v>
                </c:pt>
                <c:pt idx="40">
                  <c:v>6</c:v>
                </c:pt>
                <c:pt idx="41">
                  <c:v>7</c:v>
                </c:pt>
                <c:pt idx="42">
                  <c:v>6</c:v>
                </c:pt>
                <c:pt idx="43">
                  <c:v>10</c:v>
                </c:pt>
                <c:pt idx="44">
                  <c:v>9</c:v>
                </c:pt>
                <c:pt idx="4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AB-6E44-BCD3-13F65312F153}"/>
            </c:ext>
          </c:extLst>
        </c:ser>
        <c:ser>
          <c:idx val="3"/>
          <c:order val="2"/>
          <c:tx>
            <c:strRef>
              <c:f>Charts1!$A$20</c:f>
              <c:strCache>
                <c:ptCount val="1"/>
                <c:pt idx="0">
                  <c:v>PROTON PUMP INHIBITORS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7583802468805382E-4"/>
                  <c:y val="-0.16467470320058736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Charts1!$B$20:$AU$20</c:f>
              <c:numCache>
                <c:formatCode>General</c:formatCode>
                <c:ptCount val="46"/>
                <c:pt idx="0">
                  <c:v>68</c:v>
                </c:pt>
                <c:pt idx="1">
                  <c:v>72</c:v>
                </c:pt>
                <c:pt idx="2">
                  <c:v>63</c:v>
                </c:pt>
                <c:pt idx="3">
                  <c:v>65</c:v>
                </c:pt>
                <c:pt idx="4">
                  <c:v>61</c:v>
                </c:pt>
                <c:pt idx="5">
                  <c:v>65</c:v>
                </c:pt>
                <c:pt idx="6">
                  <c:v>61</c:v>
                </c:pt>
                <c:pt idx="7">
                  <c:v>58</c:v>
                </c:pt>
                <c:pt idx="8">
                  <c:v>64</c:v>
                </c:pt>
                <c:pt idx="9">
                  <c:v>68</c:v>
                </c:pt>
                <c:pt idx="10">
                  <c:v>75</c:v>
                </c:pt>
                <c:pt idx="11">
                  <c:v>55</c:v>
                </c:pt>
                <c:pt idx="12">
                  <c:v>75</c:v>
                </c:pt>
                <c:pt idx="13">
                  <c:v>71</c:v>
                </c:pt>
                <c:pt idx="14">
                  <c:v>75</c:v>
                </c:pt>
                <c:pt idx="15">
                  <c:v>56</c:v>
                </c:pt>
                <c:pt idx="16">
                  <c:v>55</c:v>
                </c:pt>
                <c:pt idx="17">
                  <c:v>73</c:v>
                </c:pt>
                <c:pt idx="18">
                  <c:v>80</c:v>
                </c:pt>
                <c:pt idx="19">
                  <c:v>64</c:v>
                </c:pt>
                <c:pt idx="20">
                  <c:v>56</c:v>
                </c:pt>
                <c:pt idx="21">
                  <c:v>56</c:v>
                </c:pt>
                <c:pt idx="22">
                  <c:v>55</c:v>
                </c:pt>
                <c:pt idx="23">
                  <c:v>64</c:v>
                </c:pt>
                <c:pt idx="24">
                  <c:v>63</c:v>
                </c:pt>
                <c:pt idx="25">
                  <c:v>72</c:v>
                </c:pt>
                <c:pt idx="26">
                  <c:v>67</c:v>
                </c:pt>
                <c:pt idx="27">
                  <c:v>62</c:v>
                </c:pt>
                <c:pt idx="28">
                  <c:v>76</c:v>
                </c:pt>
                <c:pt idx="29">
                  <c:v>72</c:v>
                </c:pt>
                <c:pt idx="30">
                  <c:v>62</c:v>
                </c:pt>
                <c:pt idx="31">
                  <c:v>71</c:v>
                </c:pt>
                <c:pt idx="32">
                  <c:v>71</c:v>
                </c:pt>
                <c:pt idx="33">
                  <c:v>74</c:v>
                </c:pt>
                <c:pt idx="34">
                  <c:v>62</c:v>
                </c:pt>
                <c:pt idx="35">
                  <c:v>65</c:v>
                </c:pt>
                <c:pt idx="36">
                  <c:v>63</c:v>
                </c:pt>
                <c:pt idx="37">
                  <c:v>65</c:v>
                </c:pt>
                <c:pt idx="38">
                  <c:v>53</c:v>
                </c:pt>
                <c:pt idx="39">
                  <c:v>62</c:v>
                </c:pt>
                <c:pt idx="40">
                  <c:v>62</c:v>
                </c:pt>
                <c:pt idx="41">
                  <c:v>69</c:v>
                </c:pt>
                <c:pt idx="42">
                  <c:v>76</c:v>
                </c:pt>
                <c:pt idx="43">
                  <c:v>68</c:v>
                </c:pt>
                <c:pt idx="44">
                  <c:v>56</c:v>
                </c:pt>
                <c:pt idx="4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AB-6E44-BCD3-13F65312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270048"/>
        <c:axId val="1294272384"/>
      </c:barChart>
      <c:catAx>
        <c:axId val="12942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272384"/>
        <c:crosses val="autoZero"/>
        <c:auto val="1"/>
        <c:lblAlgn val="ctr"/>
        <c:lblOffset val="100"/>
        <c:noMultiLvlLbl val="0"/>
      </c:catAx>
      <c:valAx>
        <c:axId val="12942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27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November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Charts1!$A$31</c:f>
              <c:strCache>
                <c:ptCount val="1"/>
                <c:pt idx="0">
                  <c:v>HMG COA REDUCTASE INHIBITORS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1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629349555980376E-3"/>
                  <c:y val="-0.22576210204303182"/>
                </c:manualLayout>
              </c:layout>
              <c:numFmt formatCode="General" sourceLinked="0"/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Charts1!$B$31:$AU$31</c:f>
              <c:numCache>
                <c:formatCode>General</c:formatCode>
                <c:ptCount val="46"/>
                <c:pt idx="0">
                  <c:v>82</c:v>
                </c:pt>
                <c:pt idx="1">
                  <c:v>87</c:v>
                </c:pt>
                <c:pt idx="2">
                  <c:v>95</c:v>
                </c:pt>
                <c:pt idx="3">
                  <c:v>77</c:v>
                </c:pt>
                <c:pt idx="4">
                  <c:v>82</c:v>
                </c:pt>
                <c:pt idx="5">
                  <c:v>76</c:v>
                </c:pt>
                <c:pt idx="6">
                  <c:v>88</c:v>
                </c:pt>
                <c:pt idx="7">
                  <c:v>82</c:v>
                </c:pt>
                <c:pt idx="8">
                  <c:v>80</c:v>
                </c:pt>
                <c:pt idx="9">
                  <c:v>84</c:v>
                </c:pt>
                <c:pt idx="10">
                  <c:v>101</c:v>
                </c:pt>
                <c:pt idx="11">
                  <c:v>102</c:v>
                </c:pt>
                <c:pt idx="12">
                  <c:v>89</c:v>
                </c:pt>
                <c:pt idx="13">
                  <c:v>95</c:v>
                </c:pt>
                <c:pt idx="14">
                  <c:v>88</c:v>
                </c:pt>
                <c:pt idx="15">
                  <c:v>97</c:v>
                </c:pt>
                <c:pt idx="16">
                  <c:v>93</c:v>
                </c:pt>
                <c:pt idx="17">
                  <c:v>82</c:v>
                </c:pt>
                <c:pt idx="18">
                  <c:v>93</c:v>
                </c:pt>
                <c:pt idx="19">
                  <c:v>109</c:v>
                </c:pt>
                <c:pt idx="20">
                  <c:v>86</c:v>
                </c:pt>
                <c:pt idx="21">
                  <c:v>88</c:v>
                </c:pt>
                <c:pt idx="22">
                  <c:v>85</c:v>
                </c:pt>
                <c:pt idx="23">
                  <c:v>108</c:v>
                </c:pt>
                <c:pt idx="24">
                  <c:v>108</c:v>
                </c:pt>
                <c:pt idx="25">
                  <c:v>74</c:v>
                </c:pt>
                <c:pt idx="26">
                  <c:v>102</c:v>
                </c:pt>
                <c:pt idx="27">
                  <c:v>95</c:v>
                </c:pt>
                <c:pt idx="28">
                  <c:v>95</c:v>
                </c:pt>
                <c:pt idx="29">
                  <c:v>93</c:v>
                </c:pt>
                <c:pt idx="30">
                  <c:v>80</c:v>
                </c:pt>
                <c:pt idx="31">
                  <c:v>92</c:v>
                </c:pt>
                <c:pt idx="32">
                  <c:v>95</c:v>
                </c:pt>
                <c:pt idx="33">
                  <c:v>89</c:v>
                </c:pt>
                <c:pt idx="34">
                  <c:v>96</c:v>
                </c:pt>
                <c:pt idx="35">
                  <c:v>106</c:v>
                </c:pt>
                <c:pt idx="36">
                  <c:v>85</c:v>
                </c:pt>
                <c:pt idx="37">
                  <c:v>87</c:v>
                </c:pt>
                <c:pt idx="38">
                  <c:v>78</c:v>
                </c:pt>
                <c:pt idx="39">
                  <c:v>110</c:v>
                </c:pt>
                <c:pt idx="40">
                  <c:v>69</c:v>
                </c:pt>
                <c:pt idx="41">
                  <c:v>92</c:v>
                </c:pt>
                <c:pt idx="42">
                  <c:v>99</c:v>
                </c:pt>
                <c:pt idx="43">
                  <c:v>89</c:v>
                </c:pt>
                <c:pt idx="44">
                  <c:v>89</c:v>
                </c:pt>
                <c:pt idx="4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BE-164D-9768-DF3A2B20ECEA}"/>
            </c:ext>
          </c:extLst>
        </c:ser>
        <c:ser>
          <c:idx val="1"/>
          <c:order val="1"/>
          <c:tx>
            <c:strRef>
              <c:f>Charts1!$A$32</c:f>
              <c:strCache>
                <c:ptCount val="1"/>
                <c:pt idx="0">
                  <c:v>H2-RECEPTOR ANTAGONISTS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2287268241274777E-3"/>
                  <c:y val="-0.21247610175378234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Charts1!$B$32:$AU$32</c:f>
              <c:numCache>
                <c:formatCode>General</c:formatCode>
                <c:ptCount val="46"/>
                <c:pt idx="0">
                  <c:v>10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12</c:v>
                </c:pt>
                <c:pt idx="5">
                  <c:v>8</c:v>
                </c:pt>
                <c:pt idx="6">
                  <c:v>13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13</c:v>
                </c:pt>
                <c:pt idx="15">
                  <c:v>14</c:v>
                </c:pt>
                <c:pt idx="16">
                  <c:v>18</c:v>
                </c:pt>
                <c:pt idx="17">
                  <c:v>14</c:v>
                </c:pt>
                <c:pt idx="18">
                  <c:v>17</c:v>
                </c:pt>
                <c:pt idx="19">
                  <c:v>17</c:v>
                </c:pt>
                <c:pt idx="20">
                  <c:v>8</c:v>
                </c:pt>
                <c:pt idx="21">
                  <c:v>23</c:v>
                </c:pt>
                <c:pt idx="22">
                  <c:v>9</c:v>
                </c:pt>
                <c:pt idx="23">
                  <c:v>14</c:v>
                </c:pt>
                <c:pt idx="24">
                  <c:v>12</c:v>
                </c:pt>
                <c:pt idx="25">
                  <c:v>10</c:v>
                </c:pt>
                <c:pt idx="26">
                  <c:v>26</c:v>
                </c:pt>
                <c:pt idx="27">
                  <c:v>9</c:v>
                </c:pt>
                <c:pt idx="28">
                  <c:v>8</c:v>
                </c:pt>
                <c:pt idx="29">
                  <c:v>12</c:v>
                </c:pt>
                <c:pt idx="30">
                  <c:v>14</c:v>
                </c:pt>
                <c:pt idx="31">
                  <c:v>12</c:v>
                </c:pt>
                <c:pt idx="32">
                  <c:v>18</c:v>
                </c:pt>
                <c:pt idx="33">
                  <c:v>13</c:v>
                </c:pt>
                <c:pt idx="34">
                  <c:v>17</c:v>
                </c:pt>
                <c:pt idx="35">
                  <c:v>13</c:v>
                </c:pt>
                <c:pt idx="36">
                  <c:v>14</c:v>
                </c:pt>
                <c:pt idx="37">
                  <c:v>17</c:v>
                </c:pt>
                <c:pt idx="38">
                  <c:v>8</c:v>
                </c:pt>
                <c:pt idx="39">
                  <c:v>10</c:v>
                </c:pt>
                <c:pt idx="40">
                  <c:v>14</c:v>
                </c:pt>
                <c:pt idx="41">
                  <c:v>11</c:v>
                </c:pt>
                <c:pt idx="42">
                  <c:v>15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BE-164D-9768-DF3A2B20ECEA}"/>
            </c:ext>
          </c:extLst>
        </c:ser>
        <c:ser>
          <c:idx val="3"/>
          <c:order val="2"/>
          <c:tx>
            <c:strRef>
              <c:f>Charts1!$A$34</c:f>
              <c:strCache>
                <c:ptCount val="1"/>
                <c:pt idx="0">
                  <c:v>PROTON PUMP INHIBITORS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7521315325593922E-3"/>
                  <c:y val="-0.19868788846248389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Charts1!$B$34:$AU$34</c:f>
              <c:numCache>
                <c:formatCode>General</c:formatCode>
                <c:ptCount val="46"/>
                <c:pt idx="0">
                  <c:v>83</c:v>
                </c:pt>
                <c:pt idx="1">
                  <c:v>56</c:v>
                </c:pt>
                <c:pt idx="2">
                  <c:v>57</c:v>
                </c:pt>
                <c:pt idx="3">
                  <c:v>64</c:v>
                </c:pt>
                <c:pt idx="4">
                  <c:v>78</c:v>
                </c:pt>
                <c:pt idx="5">
                  <c:v>57</c:v>
                </c:pt>
                <c:pt idx="6">
                  <c:v>66</c:v>
                </c:pt>
                <c:pt idx="7">
                  <c:v>60</c:v>
                </c:pt>
                <c:pt idx="8">
                  <c:v>69</c:v>
                </c:pt>
                <c:pt idx="9">
                  <c:v>68</c:v>
                </c:pt>
                <c:pt idx="10">
                  <c:v>74</c:v>
                </c:pt>
                <c:pt idx="11">
                  <c:v>61</c:v>
                </c:pt>
                <c:pt idx="12">
                  <c:v>71</c:v>
                </c:pt>
                <c:pt idx="13">
                  <c:v>67</c:v>
                </c:pt>
                <c:pt idx="14">
                  <c:v>68</c:v>
                </c:pt>
                <c:pt idx="15">
                  <c:v>60</c:v>
                </c:pt>
                <c:pt idx="16">
                  <c:v>72</c:v>
                </c:pt>
                <c:pt idx="17">
                  <c:v>76</c:v>
                </c:pt>
                <c:pt idx="18">
                  <c:v>70</c:v>
                </c:pt>
                <c:pt idx="19">
                  <c:v>59</c:v>
                </c:pt>
                <c:pt idx="20">
                  <c:v>70</c:v>
                </c:pt>
                <c:pt idx="21">
                  <c:v>83</c:v>
                </c:pt>
                <c:pt idx="22">
                  <c:v>62</c:v>
                </c:pt>
                <c:pt idx="23">
                  <c:v>78</c:v>
                </c:pt>
                <c:pt idx="24">
                  <c:v>80</c:v>
                </c:pt>
                <c:pt idx="25">
                  <c:v>60</c:v>
                </c:pt>
                <c:pt idx="26">
                  <c:v>76</c:v>
                </c:pt>
                <c:pt idx="27">
                  <c:v>66</c:v>
                </c:pt>
                <c:pt idx="28">
                  <c:v>56</c:v>
                </c:pt>
                <c:pt idx="29">
                  <c:v>75</c:v>
                </c:pt>
                <c:pt idx="30">
                  <c:v>71</c:v>
                </c:pt>
                <c:pt idx="31">
                  <c:v>58</c:v>
                </c:pt>
                <c:pt idx="32">
                  <c:v>66</c:v>
                </c:pt>
                <c:pt idx="33">
                  <c:v>74</c:v>
                </c:pt>
                <c:pt idx="34">
                  <c:v>71</c:v>
                </c:pt>
                <c:pt idx="35">
                  <c:v>70</c:v>
                </c:pt>
                <c:pt idx="36">
                  <c:v>64</c:v>
                </c:pt>
                <c:pt idx="37">
                  <c:v>78</c:v>
                </c:pt>
                <c:pt idx="38">
                  <c:v>68</c:v>
                </c:pt>
                <c:pt idx="39">
                  <c:v>73</c:v>
                </c:pt>
                <c:pt idx="40">
                  <c:v>59</c:v>
                </c:pt>
                <c:pt idx="41">
                  <c:v>67</c:v>
                </c:pt>
                <c:pt idx="42">
                  <c:v>86</c:v>
                </c:pt>
                <c:pt idx="43">
                  <c:v>75</c:v>
                </c:pt>
                <c:pt idx="44">
                  <c:v>54</c:v>
                </c:pt>
                <c:pt idx="4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BE-164D-9768-DF3A2B20E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351184"/>
        <c:axId val="1297079952"/>
      </c:barChart>
      <c:catAx>
        <c:axId val="13003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079952"/>
        <c:crosses val="autoZero"/>
        <c:auto val="1"/>
        <c:lblAlgn val="ctr"/>
        <c:lblOffset val="100"/>
        <c:noMultiLvlLbl val="0"/>
      </c:catAx>
      <c:valAx>
        <c:axId val="129707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35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Charts2!$A$17</c:f>
              <c:strCache>
                <c:ptCount val="1"/>
                <c:pt idx="0">
                  <c:v>HMG COA REDUCTASE INHIBITORS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1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0436038672377988E-3"/>
                  <c:y val="-0.21236220206392367"/>
                </c:manualLayout>
              </c:layout>
              <c:numFmt formatCode="General" sourceLinked="0"/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Charts2!$B$17:$AD$17</c:f>
              <c:numCache>
                <c:formatCode>General</c:formatCode>
                <c:ptCount val="29"/>
                <c:pt idx="0">
                  <c:v>63</c:v>
                </c:pt>
                <c:pt idx="1">
                  <c:v>79</c:v>
                </c:pt>
                <c:pt idx="2">
                  <c:v>62</c:v>
                </c:pt>
                <c:pt idx="3">
                  <c:v>72</c:v>
                </c:pt>
                <c:pt idx="4">
                  <c:v>69</c:v>
                </c:pt>
                <c:pt idx="5">
                  <c:v>56</c:v>
                </c:pt>
                <c:pt idx="6">
                  <c:v>0</c:v>
                </c:pt>
                <c:pt idx="7">
                  <c:v>44</c:v>
                </c:pt>
                <c:pt idx="8">
                  <c:v>64</c:v>
                </c:pt>
                <c:pt idx="9">
                  <c:v>61</c:v>
                </c:pt>
                <c:pt idx="10">
                  <c:v>70</c:v>
                </c:pt>
                <c:pt idx="11">
                  <c:v>59</c:v>
                </c:pt>
                <c:pt idx="12">
                  <c:v>75</c:v>
                </c:pt>
                <c:pt idx="13">
                  <c:v>51</c:v>
                </c:pt>
                <c:pt idx="14">
                  <c:v>52</c:v>
                </c:pt>
                <c:pt idx="15">
                  <c:v>56</c:v>
                </c:pt>
                <c:pt idx="16">
                  <c:v>64</c:v>
                </c:pt>
                <c:pt idx="17">
                  <c:v>67</c:v>
                </c:pt>
                <c:pt idx="18">
                  <c:v>69</c:v>
                </c:pt>
                <c:pt idx="19">
                  <c:v>68</c:v>
                </c:pt>
                <c:pt idx="20">
                  <c:v>70</c:v>
                </c:pt>
                <c:pt idx="21">
                  <c:v>74</c:v>
                </c:pt>
                <c:pt idx="22">
                  <c:v>78</c:v>
                </c:pt>
                <c:pt idx="23">
                  <c:v>78</c:v>
                </c:pt>
                <c:pt idx="24">
                  <c:v>63</c:v>
                </c:pt>
                <c:pt idx="25">
                  <c:v>69</c:v>
                </c:pt>
                <c:pt idx="26">
                  <c:v>71</c:v>
                </c:pt>
                <c:pt idx="27">
                  <c:v>57</c:v>
                </c:pt>
                <c:pt idx="28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7-9742-BB38-EBFBFD49678F}"/>
            </c:ext>
          </c:extLst>
        </c:ser>
        <c:ser>
          <c:idx val="1"/>
          <c:order val="1"/>
          <c:tx>
            <c:strRef>
              <c:f>Charts2!$A$18</c:f>
              <c:strCache>
                <c:ptCount val="1"/>
                <c:pt idx="0">
                  <c:v>H2-RECEPTOR ANTAGONISTS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769702971255269E-3"/>
                  <c:y val="-0.22908663464496637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Charts2!$B$18:$AD$18</c:f>
              <c:numCache>
                <c:formatCode>General</c:formatCode>
                <c:ptCount val="29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0</c:v>
                </c:pt>
                <c:pt idx="7">
                  <c:v>4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8</c:v>
                </c:pt>
                <c:pt idx="12">
                  <c:v>13</c:v>
                </c:pt>
                <c:pt idx="13">
                  <c:v>4</c:v>
                </c:pt>
                <c:pt idx="14">
                  <c:v>9</c:v>
                </c:pt>
                <c:pt idx="15">
                  <c:v>7</c:v>
                </c:pt>
                <c:pt idx="16">
                  <c:v>8</c:v>
                </c:pt>
                <c:pt idx="17">
                  <c:v>10</c:v>
                </c:pt>
                <c:pt idx="18">
                  <c:v>9</c:v>
                </c:pt>
                <c:pt idx="19">
                  <c:v>11</c:v>
                </c:pt>
                <c:pt idx="20">
                  <c:v>7</c:v>
                </c:pt>
                <c:pt idx="21">
                  <c:v>10</c:v>
                </c:pt>
                <c:pt idx="22">
                  <c:v>5</c:v>
                </c:pt>
                <c:pt idx="23">
                  <c:v>8</c:v>
                </c:pt>
                <c:pt idx="24">
                  <c:v>12</c:v>
                </c:pt>
                <c:pt idx="25">
                  <c:v>9</c:v>
                </c:pt>
                <c:pt idx="26">
                  <c:v>8</c:v>
                </c:pt>
                <c:pt idx="27">
                  <c:v>15</c:v>
                </c:pt>
                <c:pt idx="2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C7-9742-BB38-EBFBFD49678F}"/>
            </c:ext>
          </c:extLst>
        </c:ser>
        <c:ser>
          <c:idx val="3"/>
          <c:order val="2"/>
          <c:tx>
            <c:strRef>
              <c:f>Charts2!$A$20</c:f>
              <c:strCache>
                <c:ptCount val="1"/>
                <c:pt idx="0">
                  <c:v>PROTON PUMP INHIBITORS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20985840335006E-3"/>
                  <c:y val="-0.19360265468312921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Charts2!$B$20:$AD$20</c:f>
              <c:numCache>
                <c:formatCode>General</c:formatCode>
                <c:ptCount val="29"/>
                <c:pt idx="0">
                  <c:v>56</c:v>
                </c:pt>
                <c:pt idx="1">
                  <c:v>63</c:v>
                </c:pt>
                <c:pt idx="2">
                  <c:v>63</c:v>
                </c:pt>
                <c:pt idx="3">
                  <c:v>72</c:v>
                </c:pt>
                <c:pt idx="4">
                  <c:v>66</c:v>
                </c:pt>
                <c:pt idx="5">
                  <c:v>47</c:v>
                </c:pt>
                <c:pt idx="6">
                  <c:v>0</c:v>
                </c:pt>
                <c:pt idx="7">
                  <c:v>44</c:v>
                </c:pt>
                <c:pt idx="8">
                  <c:v>59</c:v>
                </c:pt>
                <c:pt idx="9">
                  <c:v>50</c:v>
                </c:pt>
                <c:pt idx="10">
                  <c:v>72</c:v>
                </c:pt>
                <c:pt idx="11">
                  <c:v>48</c:v>
                </c:pt>
                <c:pt idx="12">
                  <c:v>55</c:v>
                </c:pt>
                <c:pt idx="13">
                  <c:v>54</c:v>
                </c:pt>
                <c:pt idx="14">
                  <c:v>52</c:v>
                </c:pt>
                <c:pt idx="15">
                  <c:v>54</c:v>
                </c:pt>
                <c:pt idx="16">
                  <c:v>65</c:v>
                </c:pt>
                <c:pt idx="17">
                  <c:v>51</c:v>
                </c:pt>
                <c:pt idx="18">
                  <c:v>47</c:v>
                </c:pt>
                <c:pt idx="19">
                  <c:v>61</c:v>
                </c:pt>
                <c:pt idx="20">
                  <c:v>61</c:v>
                </c:pt>
                <c:pt idx="21">
                  <c:v>57</c:v>
                </c:pt>
                <c:pt idx="22">
                  <c:v>52</c:v>
                </c:pt>
                <c:pt idx="23">
                  <c:v>55</c:v>
                </c:pt>
                <c:pt idx="24">
                  <c:v>61</c:v>
                </c:pt>
                <c:pt idx="25">
                  <c:v>49</c:v>
                </c:pt>
                <c:pt idx="26">
                  <c:v>49</c:v>
                </c:pt>
                <c:pt idx="27">
                  <c:v>46</c:v>
                </c:pt>
                <c:pt idx="28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C7-9742-BB38-EBFBFD496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432640"/>
        <c:axId val="639396976"/>
      </c:barChart>
      <c:catAx>
        <c:axId val="6394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6976"/>
        <c:crosses val="autoZero"/>
        <c:auto val="1"/>
        <c:lblAlgn val="ctr"/>
        <c:lblOffset val="100"/>
        <c:noMultiLvlLbl val="0"/>
      </c:catAx>
      <c:valAx>
        <c:axId val="6393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4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November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Charts2!$A$31</c:f>
              <c:strCache>
                <c:ptCount val="1"/>
                <c:pt idx="0">
                  <c:v>HMG COA REDUCTASE INHIBITORS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1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0450443476192748E-3"/>
                  <c:y val="-0.23541388262714344"/>
                </c:manualLayout>
              </c:layout>
              <c:numFmt formatCode="General" sourceLinked="0"/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Charts2!$B$31:$AD$31</c:f>
              <c:numCache>
                <c:formatCode>General</c:formatCode>
                <c:ptCount val="29"/>
                <c:pt idx="0">
                  <c:v>92</c:v>
                </c:pt>
                <c:pt idx="1">
                  <c:v>90</c:v>
                </c:pt>
                <c:pt idx="2">
                  <c:v>102</c:v>
                </c:pt>
                <c:pt idx="3">
                  <c:v>87</c:v>
                </c:pt>
                <c:pt idx="4">
                  <c:v>98</c:v>
                </c:pt>
                <c:pt idx="5">
                  <c:v>82</c:v>
                </c:pt>
                <c:pt idx="6">
                  <c:v>0</c:v>
                </c:pt>
                <c:pt idx="7">
                  <c:v>61</c:v>
                </c:pt>
                <c:pt idx="8">
                  <c:v>80</c:v>
                </c:pt>
                <c:pt idx="9">
                  <c:v>75</c:v>
                </c:pt>
                <c:pt idx="10">
                  <c:v>81</c:v>
                </c:pt>
                <c:pt idx="11">
                  <c:v>81</c:v>
                </c:pt>
                <c:pt idx="12">
                  <c:v>62</c:v>
                </c:pt>
                <c:pt idx="13">
                  <c:v>80</c:v>
                </c:pt>
                <c:pt idx="14">
                  <c:v>97</c:v>
                </c:pt>
                <c:pt idx="15">
                  <c:v>101</c:v>
                </c:pt>
                <c:pt idx="16">
                  <c:v>81</c:v>
                </c:pt>
                <c:pt idx="17">
                  <c:v>91</c:v>
                </c:pt>
                <c:pt idx="18">
                  <c:v>80</c:v>
                </c:pt>
                <c:pt idx="19">
                  <c:v>72</c:v>
                </c:pt>
                <c:pt idx="20">
                  <c:v>84</c:v>
                </c:pt>
                <c:pt idx="21">
                  <c:v>97</c:v>
                </c:pt>
                <c:pt idx="22">
                  <c:v>98</c:v>
                </c:pt>
                <c:pt idx="23">
                  <c:v>94</c:v>
                </c:pt>
                <c:pt idx="24">
                  <c:v>88</c:v>
                </c:pt>
                <c:pt idx="25">
                  <c:v>86</c:v>
                </c:pt>
                <c:pt idx="26">
                  <c:v>98</c:v>
                </c:pt>
                <c:pt idx="27">
                  <c:v>74</c:v>
                </c:pt>
                <c:pt idx="2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1-1A49-989D-27562E47FABC}"/>
            </c:ext>
          </c:extLst>
        </c:ser>
        <c:ser>
          <c:idx val="1"/>
          <c:order val="1"/>
          <c:tx>
            <c:strRef>
              <c:f>Charts2!$A$32</c:f>
              <c:strCache>
                <c:ptCount val="1"/>
                <c:pt idx="0">
                  <c:v>H2-RECEPTOR ANTAGONISTS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7488944018983923E-3"/>
                  <c:y val="-0.20819158441852051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Charts2!$B$32:$AD$32</c:f>
              <c:numCache>
                <c:formatCode>General</c:formatCode>
                <c:ptCount val="29"/>
                <c:pt idx="0">
                  <c:v>16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14</c:v>
                </c:pt>
                <c:pt idx="5">
                  <c:v>9</c:v>
                </c:pt>
                <c:pt idx="6">
                  <c:v>0</c:v>
                </c:pt>
                <c:pt idx="7">
                  <c:v>19</c:v>
                </c:pt>
                <c:pt idx="8">
                  <c:v>15</c:v>
                </c:pt>
                <c:pt idx="9">
                  <c:v>8</c:v>
                </c:pt>
                <c:pt idx="10">
                  <c:v>11</c:v>
                </c:pt>
                <c:pt idx="11">
                  <c:v>14</c:v>
                </c:pt>
                <c:pt idx="12">
                  <c:v>19</c:v>
                </c:pt>
                <c:pt idx="13">
                  <c:v>12</c:v>
                </c:pt>
                <c:pt idx="14">
                  <c:v>13</c:v>
                </c:pt>
                <c:pt idx="15">
                  <c:v>10</c:v>
                </c:pt>
                <c:pt idx="16">
                  <c:v>16</c:v>
                </c:pt>
                <c:pt idx="17">
                  <c:v>17</c:v>
                </c:pt>
                <c:pt idx="18">
                  <c:v>14</c:v>
                </c:pt>
                <c:pt idx="19">
                  <c:v>13</c:v>
                </c:pt>
                <c:pt idx="20">
                  <c:v>16</c:v>
                </c:pt>
                <c:pt idx="21">
                  <c:v>20</c:v>
                </c:pt>
                <c:pt idx="22">
                  <c:v>22</c:v>
                </c:pt>
                <c:pt idx="23">
                  <c:v>17</c:v>
                </c:pt>
                <c:pt idx="24">
                  <c:v>12</c:v>
                </c:pt>
                <c:pt idx="25">
                  <c:v>23</c:v>
                </c:pt>
                <c:pt idx="26">
                  <c:v>14</c:v>
                </c:pt>
                <c:pt idx="27">
                  <c:v>11</c:v>
                </c:pt>
                <c:pt idx="2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21-1A49-989D-27562E47FABC}"/>
            </c:ext>
          </c:extLst>
        </c:ser>
        <c:ser>
          <c:idx val="3"/>
          <c:order val="2"/>
          <c:tx>
            <c:strRef>
              <c:f>Charts2!$A$34</c:f>
              <c:strCache>
                <c:ptCount val="1"/>
                <c:pt idx="0">
                  <c:v>PROTON PUMP INHIBITORS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818250458418726E-3"/>
                  <c:y val="-0.22267702516731919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Charts2!$B$34:$AD$34</c:f>
              <c:numCache>
                <c:formatCode>General</c:formatCode>
                <c:ptCount val="29"/>
                <c:pt idx="0">
                  <c:v>86</c:v>
                </c:pt>
                <c:pt idx="1">
                  <c:v>70</c:v>
                </c:pt>
                <c:pt idx="2">
                  <c:v>64</c:v>
                </c:pt>
                <c:pt idx="3">
                  <c:v>75</c:v>
                </c:pt>
                <c:pt idx="4">
                  <c:v>68</c:v>
                </c:pt>
                <c:pt idx="5">
                  <c:v>59</c:v>
                </c:pt>
                <c:pt idx="6">
                  <c:v>0</c:v>
                </c:pt>
                <c:pt idx="7">
                  <c:v>57</c:v>
                </c:pt>
                <c:pt idx="8">
                  <c:v>68</c:v>
                </c:pt>
                <c:pt idx="9">
                  <c:v>55</c:v>
                </c:pt>
                <c:pt idx="10">
                  <c:v>66</c:v>
                </c:pt>
                <c:pt idx="11">
                  <c:v>67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67</c:v>
                </c:pt>
                <c:pt idx="17">
                  <c:v>78</c:v>
                </c:pt>
                <c:pt idx="18">
                  <c:v>44</c:v>
                </c:pt>
                <c:pt idx="19">
                  <c:v>70</c:v>
                </c:pt>
                <c:pt idx="20">
                  <c:v>56</c:v>
                </c:pt>
                <c:pt idx="21">
                  <c:v>50</c:v>
                </c:pt>
                <c:pt idx="22">
                  <c:v>60</c:v>
                </c:pt>
                <c:pt idx="23">
                  <c:v>66</c:v>
                </c:pt>
                <c:pt idx="24">
                  <c:v>57</c:v>
                </c:pt>
                <c:pt idx="25">
                  <c:v>62</c:v>
                </c:pt>
                <c:pt idx="26">
                  <c:v>60</c:v>
                </c:pt>
                <c:pt idx="27">
                  <c:v>63</c:v>
                </c:pt>
                <c:pt idx="2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21-1A49-989D-27562E47F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922096"/>
        <c:axId val="752942768"/>
      </c:barChart>
      <c:catAx>
        <c:axId val="63992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42768"/>
        <c:crosses val="autoZero"/>
        <c:auto val="1"/>
        <c:lblAlgn val="ctr"/>
        <c:lblOffset val="100"/>
        <c:noMultiLvlLbl val="0"/>
      </c:catAx>
      <c:valAx>
        <c:axId val="7529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2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302469</xdr:colOff>
      <xdr:row>42</xdr:row>
      <xdr:rowOff>85420</xdr:rowOff>
    </xdr:from>
    <xdr:to>
      <xdr:col>21</xdr:col>
      <xdr:colOff>340497</xdr:colOff>
      <xdr:row>56</xdr:row>
      <xdr:rowOff>158391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ABC440-BC0B-DA36-18E5-F66230EB2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66720</xdr:colOff>
      <xdr:row>42</xdr:row>
      <xdr:rowOff>82457</xdr:rowOff>
    </xdr:from>
    <xdr:to>
      <xdr:col>33</xdr:col>
      <xdr:colOff>405387</xdr:colOff>
      <xdr:row>56</xdr:row>
      <xdr:rowOff>158657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8141FC-8DDE-0489-0C23-1965394DA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</xdr:colOff>
      <xdr:row>41</xdr:row>
      <xdr:rowOff>169334</xdr:rowOff>
    </xdr:from>
    <xdr:to>
      <xdr:col>14</xdr:col>
      <xdr:colOff>364067</xdr:colOff>
      <xdr:row>56</xdr:row>
      <xdr:rowOff>118534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8103F8-0414-CCF1-8AFF-F28150C25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242455</xdr:colOff>
      <xdr:row>41</xdr:row>
      <xdr:rowOff>146627</xdr:rowOff>
    </xdr:from>
    <xdr:to>
      <xdr:col>27</xdr:col>
      <xdr:colOff>115455</xdr:colOff>
      <xdr:row>55</xdr:row>
      <xdr:rowOff>142009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7243DC-E8DE-CADA-14EF-448E44EA2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2963</xdr:rowOff>
    </xdr:from>
    <xdr:to>
      <xdr:col>6</xdr:col>
      <xdr:colOff>579895</xdr:colOff>
      <xdr:row>52</xdr:row>
      <xdr:rowOff>7453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0AD68A-33C7-9F44-97EA-3ACA72B5C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327284</xdr:colOff>
      <xdr:row>37</xdr:row>
      <xdr:rowOff>0</xdr:rowOff>
    </xdr:from>
    <xdr:to>
      <xdr:col>12</xdr:col>
      <xdr:colOff>771785</xdr:colOff>
      <xdr:row>52</xdr:row>
      <xdr:rowOff>7719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48BA61-83DB-504C-A583-205C27BEC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37</xdr:row>
      <xdr:rowOff>22707</xdr:rowOff>
    </xdr:from>
    <xdr:to>
      <xdr:col>19</xdr:col>
      <xdr:colOff>410634</xdr:colOff>
      <xdr:row>52</xdr:row>
      <xdr:rowOff>162407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205E21-AF59-7F43-82E2-3C57D5F7B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327122</xdr:colOff>
      <xdr:row>37</xdr:row>
      <xdr:rowOff>0</xdr:rowOff>
    </xdr:from>
    <xdr:to>
      <xdr:col>25</xdr:col>
      <xdr:colOff>822422</xdr:colOff>
      <xdr:row>51</xdr:row>
      <xdr:rowOff>173182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80D107-EEF5-844B-A51A-43F4D7FEE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ker DeBruyne" refreshedDate="45356.430209953702" createdVersion="8" refreshedVersion="8" minRefreshableVersion="3" recordCount="3134" xr:uid="{AF7C6F10-839E-D848-A818-CF0A3704C7A7}">
  <cacheSource type="worksheet">
    <worksheetSource name="Pre"/>
  </cacheSource>
  <cacheFields count="53">
    <cacheField name="DOCTOR" numFmtId="0">
      <sharedItems count="16">
        <s v="A"/>
        <s v="B"/>
        <s v="C"/>
        <s v="E"/>
        <s v="F"/>
        <s v="G"/>
        <s v="H"/>
        <s v="I"/>
        <s v="J"/>
        <s v="K"/>
        <s v="L"/>
        <s v="M"/>
        <s v="N"/>
        <s v="O"/>
        <s v="P"/>
        <s v="Q"/>
      </sharedItems>
    </cacheField>
    <cacheField name="GROUPING" numFmtId="0">
      <sharedItems count="2">
        <s v="Jan"/>
        <s v="Nov"/>
      </sharedItems>
    </cacheField>
    <cacheField name="STUDY ID" numFmtId="0">
      <sharedItems containsSemiMixedTypes="0" containsString="0" containsNumber="1" containsInteger="1" minValue="5" maxValue="33880"/>
    </cacheField>
    <cacheField name="Sex" numFmtId="0">
      <sharedItems count="2">
        <s v="F"/>
        <s v="M"/>
      </sharedItems>
    </cacheField>
    <cacheField name="CATEGORY" numFmtId="0">
      <sharedItems count="10">
        <s v="HMG COA REDUCTASE INHIBITORS"/>
        <s v="H2-RECEPTOR ANTAGONISTS"/>
        <s v="PROSTAGLANDINS"/>
        <s v="PROTON PUMP INHIBITORS"/>
        <s v="OTHER DRUGS FOR PEPTIC ULCER AND GASTRO-OESOPHAGEAL REFLUX DISEASE (GORD)"/>
        <s v="NICOTINIC ACID AND DERIVATIVES"/>
        <s v="OTHER LIPID MODIFYING AGENTS"/>
        <s v="OTHER DRUGS FOR FUNCTIONAL BOWEL DISORDERS"/>
        <s v="FIBRATES"/>
        <s v="BILE ACID SEQUESTRANTS"/>
      </sharedItems>
    </cacheField>
    <cacheField name="DRUG" numFmtId="0">
      <sharedItems/>
    </cacheField>
    <cacheField name="1" numFmtId="0">
      <sharedItems containsString="0" containsBlank="1" containsNumber="1" containsInteger="1" minValue="1" maxValue="7"/>
    </cacheField>
    <cacheField name="2" numFmtId="0">
      <sharedItems containsString="0" containsBlank="1" containsNumber="1" containsInteger="1" minValue="1" maxValue="7"/>
    </cacheField>
    <cacheField name="3" numFmtId="0">
      <sharedItems containsString="0" containsBlank="1" containsNumber="1" containsInteger="1" minValue="1" maxValue="7"/>
    </cacheField>
    <cacheField name="4" numFmtId="0">
      <sharedItems containsString="0" containsBlank="1" containsNumber="1" containsInteger="1" minValue="1" maxValue="7"/>
    </cacheField>
    <cacheField name="5" numFmtId="0">
      <sharedItems containsString="0" containsBlank="1" containsNumber="1" containsInteger="1" minValue="1" maxValue="7"/>
    </cacheField>
    <cacheField name="6" numFmtId="0">
      <sharedItems containsString="0" containsBlank="1" containsNumber="1" containsInteger="1" minValue="1" maxValue="7"/>
    </cacheField>
    <cacheField name="7" numFmtId="0">
      <sharedItems containsString="0" containsBlank="1" containsNumber="1" containsInteger="1" minValue="1" maxValue="7"/>
    </cacheField>
    <cacheField name="8" numFmtId="0">
      <sharedItems containsString="0" containsBlank="1" containsNumber="1" containsInteger="1" minValue="1" maxValue="7"/>
    </cacheField>
    <cacheField name="9" numFmtId="0">
      <sharedItems containsString="0" containsBlank="1" containsNumber="1" containsInteger="1" minValue="1" maxValue="7"/>
    </cacheField>
    <cacheField name="10" numFmtId="0">
      <sharedItems containsString="0" containsBlank="1" containsNumber="1" containsInteger="1" minValue="1" maxValue="7"/>
    </cacheField>
    <cacheField name="11" numFmtId="0">
      <sharedItems containsString="0" containsBlank="1" containsNumber="1" containsInteger="1" minValue="1" maxValue="7"/>
    </cacheField>
    <cacheField name="12" numFmtId="0">
      <sharedItems containsString="0" containsBlank="1" containsNumber="1" containsInteger="1" minValue="1" maxValue="7"/>
    </cacheField>
    <cacheField name="13" numFmtId="0">
      <sharedItems containsString="0" containsBlank="1" containsNumber="1" containsInteger="1" minValue="1" maxValue="7"/>
    </cacheField>
    <cacheField name="14" numFmtId="0">
      <sharedItems containsString="0" containsBlank="1" containsNumber="1" containsInteger="1" minValue="1" maxValue="7"/>
    </cacheField>
    <cacheField name="15" numFmtId="0">
      <sharedItems containsString="0" containsBlank="1" containsNumber="1" containsInteger="1" minValue="1" maxValue="7"/>
    </cacheField>
    <cacheField name="16" numFmtId="0">
      <sharedItems containsString="0" containsBlank="1" containsNumber="1" containsInteger="1" minValue="1" maxValue="7"/>
    </cacheField>
    <cacheField name="17" numFmtId="0">
      <sharedItems containsString="0" containsBlank="1" containsNumber="1" containsInteger="1" minValue="1" maxValue="7"/>
    </cacheField>
    <cacheField name="18" numFmtId="0">
      <sharedItems containsString="0" containsBlank="1" containsNumber="1" containsInteger="1" minValue="1" maxValue="7"/>
    </cacheField>
    <cacheField name="19" numFmtId="0">
      <sharedItems containsString="0" containsBlank="1" containsNumber="1" containsInteger="1" minValue="1" maxValue="7"/>
    </cacheField>
    <cacheField name="20" numFmtId="0">
      <sharedItems containsString="0" containsBlank="1" containsNumber="1" containsInteger="1" minValue="1" maxValue="7"/>
    </cacheField>
    <cacheField name="21" numFmtId="0">
      <sharedItems containsString="0" containsBlank="1" containsNumber="1" containsInteger="1" minValue="1" maxValue="7"/>
    </cacheField>
    <cacheField name="22" numFmtId="0">
      <sharedItems containsString="0" containsBlank="1" containsNumber="1" containsInteger="1" minValue="1" maxValue="7"/>
    </cacheField>
    <cacheField name="23" numFmtId="0">
      <sharedItems containsString="0" containsBlank="1" containsNumber="1" containsInteger="1" minValue="1" maxValue="7"/>
    </cacheField>
    <cacheField name="24" numFmtId="0">
      <sharedItems containsString="0" containsBlank="1" containsNumber="1" containsInteger="1" minValue="1" maxValue="7"/>
    </cacheField>
    <cacheField name="25" numFmtId="0">
      <sharedItems containsString="0" containsBlank="1" containsNumber="1" containsInteger="1" minValue="1" maxValue="7"/>
    </cacheField>
    <cacheField name="26" numFmtId="0">
      <sharedItems containsString="0" containsBlank="1" containsNumber="1" containsInteger="1" minValue="1" maxValue="7"/>
    </cacheField>
    <cacheField name="27" numFmtId="0">
      <sharedItems containsString="0" containsBlank="1" containsNumber="1" containsInteger="1" minValue="1" maxValue="7"/>
    </cacheField>
    <cacheField name="28" numFmtId="0">
      <sharedItems containsString="0" containsBlank="1" containsNumber="1" containsInteger="1" minValue="1" maxValue="7"/>
    </cacheField>
    <cacheField name="29" numFmtId="0">
      <sharedItems containsString="0" containsBlank="1" containsNumber="1" containsInteger="1" minValue="1" maxValue="7"/>
    </cacheField>
    <cacheField name="30" numFmtId="0">
      <sharedItems containsString="0" containsBlank="1" containsNumber="1" containsInteger="1" minValue="1" maxValue="7"/>
    </cacheField>
    <cacheField name="31" numFmtId="0">
      <sharedItems containsString="0" containsBlank="1" containsNumber="1" containsInteger="1" minValue="1" maxValue="7"/>
    </cacheField>
    <cacheField name="32" numFmtId="0">
      <sharedItems containsString="0" containsBlank="1" containsNumber="1" containsInteger="1" minValue="1" maxValue="7"/>
    </cacheField>
    <cacheField name="33" numFmtId="0">
      <sharedItems containsString="0" containsBlank="1" containsNumber="1" containsInteger="1" minValue="1" maxValue="7"/>
    </cacheField>
    <cacheField name="34" numFmtId="0">
      <sharedItems containsString="0" containsBlank="1" containsNumber="1" containsInteger="1" minValue="1" maxValue="7"/>
    </cacheField>
    <cacheField name="35" numFmtId="0">
      <sharedItems containsString="0" containsBlank="1" containsNumber="1" containsInteger="1" minValue="1" maxValue="7"/>
    </cacheField>
    <cacheField name="36" numFmtId="0">
      <sharedItems containsString="0" containsBlank="1" containsNumber="1" containsInteger="1" minValue="1" maxValue="6"/>
    </cacheField>
    <cacheField name="37" numFmtId="0">
      <sharedItems containsString="0" containsBlank="1" containsNumber="1" containsInteger="1" minValue="1" maxValue="7"/>
    </cacheField>
    <cacheField name="38" numFmtId="0">
      <sharedItems containsString="0" containsBlank="1" containsNumber="1" containsInteger="1" minValue="1" maxValue="7"/>
    </cacheField>
    <cacheField name="39" numFmtId="0">
      <sharedItems containsString="0" containsBlank="1" containsNumber="1" containsInteger="1" minValue="1" maxValue="4"/>
    </cacheField>
    <cacheField name="40" numFmtId="0">
      <sharedItems containsString="0" containsBlank="1" containsNumber="1" containsInteger="1" minValue="1" maxValue="5"/>
    </cacheField>
    <cacheField name="41" numFmtId="0">
      <sharedItems containsString="0" containsBlank="1" containsNumber="1" containsInteger="1" minValue="1" maxValue="6"/>
    </cacheField>
    <cacheField name="42" numFmtId="0">
      <sharedItems containsString="0" containsBlank="1" containsNumber="1" containsInteger="1" minValue="1" maxValue="7"/>
    </cacheField>
    <cacheField name="43" numFmtId="0">
      <sharedItems containsString="0" containsBlank="1" containsNumber="1" containsInteger="1" minValue="1" maxValue="6"/>
    </cacheField>
    <cacheField name="44" numFmtId="0">
      <sharedItems containsString="0" containsBlank="1" containsNumber="1" containsInteger="1" minValue="1" maxValue="7"/>
    </cacheField>
    <cacheField name="45" numFmtId="0">
      <sharedItems containsString="0" containsBlank="1" containsNumber="1" containsInteger="1" minValue="1" maxValue="7"/>
    </cacheField>
    <cacheField name="46" numFmtId="0">
      <sharedItems containsString="0" containsBlank="1" containsNumber="1" containsInteger="1" minValue="1" maxValue="7"/>
    </cacheField>
    <cacheField name="SCRIPTS" numFmtId="0">
      <sharedItems containsSemiMixedTypes="0" containsString="0" containsNumber="1" containsInteger="1" minValue="0" maxValue="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ker DeBruyne" refreshedDate="45356.437837268517" createdVersion="8" refreshedVersion="8" minRefreshableVersion="3" recordCount="3134" xr:uid="{2C61A561-4B39-AF46-B323-AF79FA226E66}">
  <cacheSource type="worksheet">
    <worksheetSource name="Post"/>
  </cacheSource>
  <cacheFields count="36">
    <cacheField name="DOCTOR" numFmtId="0">
      <sharedItems count="16">
        <s v="A"/>
        <s v="B"/>
        <s v="C"/>
        <s v="E"/>
        <s v="F"/>
        <s v="G"/>
        <s v="H"/>
        <s v="I"/>
        <s v="J"/>
        <s v="K"/>
        <s v="L"/>
        <s v="M"/>
        <s v="N"/>
        <s v="O"/>
        <s v="P"/>
        <s v="Q"/>
      </sharedItems>
    </cacheField>
    <cacheField name="GROUPING" numFmtId="0">
      <sharedItems count="2">
        <s v="Jan"/>
        <s v="Nov"/>
      </sharedItems>
    </cacheField>
    <cacheField name="STUDY ID" numFmtId="0">
      <sharedItems containsSemiMixedTypes="0" containsString="0" containsNumber="1" containsInteger="1" minValue="5" maxValue="33880"/>
    </cacheField>
    <cacheField name="SEX" numFmtId="0">
      <sharedItems count="2">
        <s v="F"/>
        <s v="M"/>
      </sharedItems>
    </cacheField>
    <cacheField name="CATEGORY" numFmtId="0">
      <sharedItems count="10">
        <s v="HMG COA REDUCTASE INHIBITORS"/>
        <s v="H2-RECEPTOR ANTAGONISTS"/>
        <s v="PROSTAGLANDINS"/>
        <s v="PROTON PUMP INHIBITORS"/>
        <s v="OTHER DRUGS FOR PEPTIC ULCER AND GASTRO-OESOPHAGEAL REFLUX DISEASE (GORD)"/>
        <s v="NICOTINIC ACID AND DERIVATIVES"/>
        <s v="OTHER LIPID MODIFYING AGENTS"/>
        <s v="OTHER DRUGS FOR FUNCTIONAL BOWEL DISORDERS"/>
        <s v="FIBRATES"/>
        <s v="BILE ACID SEQUESTRANTS"/>
      </sharedItems>
    </cacheField>
    <cacheField name="DRUG" numFmtId="0">
      <sharedItems/>
    </cacheField>
    <cacheField name="47" numFmtId="0">
      <sharedItems containsString="0" containsBlank="1" containsNumber="1" containsInteger="1" minValue="1" maxValue="7"/>
    </cacheField>
    <cacheField name="48" numFmtId="0">
      <sharedItems containsString="0" containsBlank="1" containsNumber="1" containsInteger="1" minValue="1" maxValue="7"/>
    </cacheField>
    <cacheField name="49" numFmtId="0">
      <sharedItems containsString="0" containsBlank="1" containsNumber="1" containsInteger="1" minValue="1" maxValue="7"/>
    </cacheField>
    <cacheField name="50" numFmtId="0">
      <sharedItems containsString="0" containsBlank="1" containsNumber="1" containsInteger="1" minValue="1" maxValue="7"/>
    </cacheField>
    <cacheField name="51" numFmtId="0">
      <sharedItems containsString="0" containsBlank="1" containsNumber="1" containsInteger="1" minValue="1" maxValue="6"/>
    </cacheField>
    <cacheField name="52" numFmtId="0">
      <sharedItems containsString="0" containsBlank="1" containsNumber="1" containsInteger="1" minValue="1" maxValue="3"/>
    </cacheField>
    <cacheField name="53" numFmtId="0">
      <sharedItems containsNonDate="0" containsString="0" containsBlank="1"/>
    </cacheField>
    <cacheField name="54" numFmtId="0">
      <sharedItems containsString="0" containsBlank="1" containsNumber="1" containsInteger="1" minValue="1" maxValue="7"/>
    </cacheField>
    <cacheField name="55" numFmtId="0">
      <sharedItems containsString="0" containsBlank="1" containsNumber="1" containsInteger="1" minValue="1" maxValue="6"/>
    </cacheField>
    <cacheField name="56" numFmtId="0">
      <sharedItems containsString="0" containsBlank="1" containsNumber="1" containsInteger="1" minValue="1" maxValue="7"/>
    </cacheField>
    <cacheField name="57" numFmtId="0">
      <sharedItems containsString="0" containsBlank="1" containsNumber="1" containsInteger="1" minValue="1" maxValue="7"/>
    </cacheField>
    <cacheField name="58" numFmtId="0">
      <sharedItems containsString="0" containsBlank="1" containsNumber="1" containsInteger="1" minValue="1" maxValue="6"/>
    </cacheField>
    <cacheField name="59" numFmtId="0">
      <sharedItems containsString="0" containsBlank="1" containsNumber="1" containsInteger="1" minValue="1" maxValue="7"/>
    </cacheField>
    <cacheField name="60" numFmtId="0">
      <sharedItems containsString="0" containsBlank="1" containsNumber="1" containsInteger="1" minValue="1" maxValue="7"/>
    </cacheField>
    <cacheField name="61" numFmtId="0">
      <sharedItems containsString="0" containsBlank="1" containsNumber="1" containsInteger="1" minValue="1" maxValue="7"/>
    </cacheField>
    <cacheField name="62" numFmtId="0">
      <sharedItems containsString="0" containsBlank="1" containsNumber="1" containsInteger="1" minValue="1" maxValue="6"/>
    </cacheField>
    <cacheField name="63" numFmtId="0">
      <sharedItems containsString="0" containsBlank="1" containsNumber="1" containsInteger="1" minValue="1" maxValue="7"/>
    </cacheField>
    <cacheField name="64" numFmtId="0">
      <sharedItems containsString="0" containsBlank="1" containsNumber="1" containsInteger="1" minValue="1" maxValue="7"/>
    </cacheField>
    <cacheField name="65" numFmtId="0">
      <sharedItems containsString="0" containsBlank="1" containsNumber="1" containsInteger="1" minValue="1" maxValue="7"/>
    </cacheField>
    <cacheField name="66" numFmtId="0">
      <sharedItems containsString="0" containsBlank="1" containsNumber="1" containsInteger="1" minValue="1" maxValue="7"/>
    </cacheField>
    <cacheField name="67" numFmtId="0">
      <sharedItems containsString="0" containsBlank="1" containsNumber="1" containsInteger="1" minValue="1" maxValue="7"/>
    </cacheField>
    <cacheField name="68" numFmtId="0">
      <sharedItems containsString="0" containsBlank="1" containsNumber="1" containsInteger="1" minValue="1" maxValue="7"/>
    </cacheField>
    <cacheField name="69" numFmtId="0">
      <sharedItems containsString="0" containsBlank="1" containsNumber="1" containsInteger="1" minValue="1" maxValue="7"/>
    </cacheField>
    <cacheField name="70" numFmtId="0">
      <sharedItems containsString="0" containsBlank="1" containsNumber="1" containsInteger="1" minValue="1" maxValue="7"/>
    </cacheField>
    <cacheField name="71" numFmtId="0">
      <sharedItems containsString="0" containsBlank="1" containsNumber="1" containsInteger="1" minValue="1" maxValue="6"/>
    </cacheField>
    <cacheField name="72" numFmtId="0">
      <sharedItems containsString="0" containsBlank="1" containsNumber="1" containsInteger="1" minValue="1" maxValue="7"/>
    </cacheField>
    <cacheField name="73" numFmtId="0">
      <sharedItems containsString="0" containsBlank="1" containsNumber="1" containsInteger="1" minValue="1" maxValue="6"/>
    </cacheField>
    <cacheField name="74" numFmtId="0">
      <sharedItems containsString="0" containsBlank="1" containsNumber="1" containsInteger="1" minValue="1" maxValue="7"/>
    </cacheField>
    <cacheField name="75" numFmtId="0">
      <sharedItems containsString="0" containsBlank="1" containsNumber="1" containsInteger="1" minValue="1" maxValue="4"/>
    </cacheField>
    <cacheField name="SCRIPTS" numFmtId="0">
      <sharedItems containsSemiMixedTypes="0" containsString="0" containsNumber="1" containsInteger="1" minValue="0" maxValue="1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4">
  <r>
    <x v="0"/>
    <x v="0"/>
    <n v="4013"/>
    <x v="0"/>
    <x v="0"/>
    <s v="ROSUVASTATIN CALCIUM"/>
    <m/>
    <m/>
    <n v="1"/>
    <m/>
    <m/>
    <m/>
    <n v="1"/>
    <m/>
    <m/>
    <n v="1"/>
    <m/>
    <m/>
    <m/>
    <m/>
    <n v="1"/>
    <m/>
    <m/>
    <m/>
    <n v="2"/>
    <m/>
    <m/>
    <m/>
    <m/>
    <n v="1"/>
    <m/>
    <m/>
    <m/>
    <n v="1"/>
    <m/>
    <m/>
    <m/>
    <m/>
    <n v="1"/>
    <m/>
    <m/>
    <m/>
    <n v="1"/>
    <m/>
    <m/>
    <m/>
    <n v="1"/>
    <m/>
    <m/>
    <m/>
    <m/>
    <n v="1"/>
    <n v="12"/>
  </r>
  <r>
    <x v="0"/>
    <x v="0"/>
    <n v="10234"/>
    <x v="0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3"/>
  </r>
  <r>
    <x v="0"/>
    <x v="0"/>
    <n v="11755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n v="2"/>
  </r>
  <r>
    <x v="0"/>
    <x v="0"/>
    <n v="13352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4169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</r>
  <r>
    <x v="0"/>
    <x v="0"/>
    <n v="14274"/>
    <x v="0"/>
    <x v="4"/>
    <s v="SUCRALFATE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511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5469"/>
    <x v="0"/>
    <x v="0"/>
    <s v="ROSUVASTATIN CALCIUM"/>
    <m/>
    <m/>
    <m/>
    <m/>
    <m/>
    <m/>
    <m/>
    <m/>
    <m/>
    <m/>
    <m/>
    <m/>
    <m/>
    <m/>
    <n v="2"/>
    <m/>
    <m/>
    <m/>
    <n v="1"/>
    <m/>
    <m/>
    <m/>
    <m/>
    <n v="1"/>
    <m/>
    <m/>
    <m/>
    <n v="1"/>
    <m/>
    <m/>
    <m/>
    <m/>
    <n v="1"/>
    <m/>
    <m/>
    <m/>
    <m/>
    <n v="1"/>
    <m/>
    <m/>
    <n v="1"/>
    <m/>
    <m/>
    <m/>
    <m/>
    <m/>
    <n v="8"/>
  </r>
  <r>
    <x v="0"/>
    <x v="0"/>
    <n v="17706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8578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802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84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1263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1461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23618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0"/>
    <x v="0"/>
    <n v="3189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3272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57"/>
    <x v="1"/>
    <x v="3"/>
    <s v="RABEPRAZOLE SODIUM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n v="3"/>
  </r>
  <r>
    <x v="0"/>
    <x v="0"/>
    <n v="2352"/>
    <x v="1"/>
    <x v="0"/>
    <s v="ROSU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0"/>
    <x v="0"/>
    <n v="2665"/>
    <x v="1"/>
    <x v="0"/>
    <s v="ATORVASTATIN CALC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0"/>
    <x v="0"/>
    <n v="4135"/>
    <x v="1"/>
    <x v="0"/>
    <s v="ATORVASTATIN CALCIUM"/>
    <m/>
    <m/>
    <m/>
    <m/>
    <m/>
    <n v="1"/>
    <m/>
    <m/>
    <m/>
    <m/>
    <m/>
    <m/>
    <m/>
    <m/>
    <m/>
    <m/>
    <n v="1"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n v="5"/>
  </r>
  <r>
    <x v="0"/>
    <x v="0"/>
    <n v="5954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n v="3"/>
  </r>
  <r>
    <x v="0"/>
    <x v="0"/>
    <n v="773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791"/>
    <x v="1"/>
    <x v="0"/>
    <s v="ATORVASTATIN CALCIUM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0"/>
    <x v="0"/>
    <n v="10789"/>
    <x v="1"/>
    <x v="0"/>
    <s v="ROSUVASTATIN CALCIUM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3"/>
  </r>
  <r>
    <x v="0"/>
    <x v="0"/>
    <n v="10789"/>
    <x v="1"/>
    <x v="6"/>
    <s v="EZETIMIBE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3"/>
  </r>
  <r>
    <x v="0"/>
    <x v="0"/>
    <n v="10952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0"/>
    <x v="0"/>
    <n v="1304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0"/>
    <x v="0"/>
    <n v="1419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4190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8729"/>
    <x v="1"/>
    <x v="0"/>
    <s v="SIMVASTATIN"/>
    <m/>
    <n v="1"/>
    <m/>
    <m/>
    <m/>
    <n v="1"/>
    <m/>
    <m/>
    <m/>
    <m/>
    <n v="1"/>
    <m/>
    <m/>
    <m/>
    <m/>
    <n v="1"/>
    <n v="1"/>
    <m/>
    <m/>
    <m/>
    <m/>
    <n v="1"/>
    <m/>
    <m/>
    <n v="1"/>
    <m/>
    <m/>
    <m/>
    <m/>
    <n v="1"/>
    <m/>
    <n v="1"/>
    <m/>
    <m/>
    <m/>
    <n v="1"/>
    <m/>
    <m/>
    <m/>
    <m/>
    <n v="1"/>
    <m/>
    <m/>
    <m/>
    <n v="1"/>
    <m/>
    <n v="12"/>
  </r>
  <r>
    <x v="0"/>
    <x v="0"/>
    <n v="22592"/>
    <x v="1"/>
    <x v="3"/>
    <s v="RABEPRAZOLE SODIUM"/>
    <m/>
    <n v="2"/>
    <n v="1"/>
    <n v="1"/>
    <n v="2"/>
    <n v="1"/>
    <n v="1"/>
    <n v="1"/>
    <n v="1"/>
    <n v="1"/>
    <n v="1"/>
    <n v="1"/>
    <n v="2"/>
    <n v="1"/>
    <n v="2"/>
    <n v="1"/>
    <n v="1"/>
    <n v="1"/>
    <n v="1"/>
    <n v="1"/>
    <n v="1"/>
    <n v="1"/>
    <n v="2"/>
    <m/>
    <m/>
    <m/>
    <m/>
    <m/>
    <m/>
    <m/>
    <m/>
    <m/>
    <m/>
    <m/>
    <m/>
    <m/>
    <m/>
    <m/>
    <m/>
    <m/>
    <m/>
    <m/>
    <m/>
    <m/>
    <m/>
    <m/>
    <n v="27"/>
  </r>
  <r>
    <x v="0"/>
    <x v="0"/>
    <n v="2779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n v="2"/>
  </r>
  <r>
    <x v="0"/>
    <x v="0"/>
    <n v="30342"/>
    <x v="1"/>
    <x v="1"/>
    <s v="RANITIDINE HCL"/>
    <m/>
    <m/>
    <n v="1"/>
    <m/>
    <m/>
    <m/>
    <m/>
    <m/>
    <m/>
    <m/>
    <m/>
    <m/>
    <m/>
    <m/>
    <m/>
    <n v="1"/>
    <m/>
    <m/>
    <m/>
    <m/>
    <m/>
    <m/>
    <n v="2"/>
    <n v="1"/>
    <n v="1"/>
    <m/>
    <n v="1"/>
    <n v="2"/>
    <n v="1"/>
    <m/>
    <n v="2"/>
    <m/>
    <m/>
    <m/>
    <n v="1"/>
    <m/>
    <m/>
    <m/>
    <m/>
    <n v="1"/>
    <m/>
    <m/>
    <m/>
    <m/>
    <m/>
    <m/>
    <n v="14"/>
  </r>
  <r>
    <x v="0"/>
    <x v="0"/>
    <n v="3034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0"/>
    <x v="0"/>
    <n v="33280"/>
    <x v="1"/>
    <x v="1"/>
    <s v="RANITIDINE HCL"/>
    <m/>
    <n v="1"/>
    <m/>
    <m/>
    <m/>
    <m/>
    <n v="2"/>
    <m/>
    <m/>
    <n v="1"/>
    <m/>
    <m/>
    <m/>
    <m/>
    <n v="1"/>
    <m/>
    <m/>
    <n v="1"/>
    <n v="1"/>
    <m/>
    <m/>
    <m/>
    <m/>
    <n v="1"/>
    <m/>
    <m/>
    <m/>
    <n v="1"/>
    <m/>
    <m/>
    <m/>
    <m/>
    <n v="1"/>
    <m/>
    <m/>
    <m/>
    <n v="1"/>
    <m/>
    <m/>
    <m/>
    <m/>
    <m/>
    <m/>
    <m/>
    <m/>
    <m/>
    <n v="11"/>
  </r>
  <r>
    <x v="0"/>
    <x v="0"/>
    <n v="3328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m/>
    <m/>
    <m/>
    <m/>
    <n v="1"/>
    <n v="4"/>
  </r>
  <r>
    <x v="0"/>
    <x v="0"/>
    <n v="969"/>
    <x v="0"/>
    <x v="3"/>
    <s v="RABEPRAZOLE SODIUM"/>
    <n v="1"/>
    <n v="1"/>
    <n v="1"/>
    <n v="1"/>
    <n v="1"/>
    <m/>
    <m/>
    <n v="2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45"/>
  </r>
  <r>
    <x v="0"/>
    <x v="0"/>
    <n v="975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n v="4"/>
  </r>
  <r>
    <x v="0"/>
    <x v="0"/>
    <n v="1950"/>
    <x v="0"/>
    <x v="0"/>
    <s v="ATOR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0"/>
    <x v="0"/>
    <n v="2258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2524"/>
    <x v="0"/>
    <x v="3"/>
    <s v="RABEPRAZOLE SOD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0"/>
    <x v="0"/>
    <n v="2931"/>
    <x v="0"/>
    <x v="0"/>
    <s v="ATORVASTATIN CALC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0"/>
    <x v="0"/>
    <n v="4062"/>
    <x v="0"/>
    <x v="0"/>
    <s v="SIMVASTATIN"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3"/>
  </r>
  <r>
    <x v="0"/>
    <x v="0"/>
    <n v="4137"/>
    <x v="0"/>
    <x v="1"/>
    <s v="RANITIDINE HCL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0"/>
    <x v="0"/>
    <n v="4235"/>
    <x v="0"/>
    <x v="3"/>
    <s v="RABEPRAZOLE SODIUM"/>
    <n v="1"/>
    <m/>
    <m/>
    <m/>
    <m/>
    <m/>
    <m/>
    <m/>
    <n v="1"/>
    <m/>
    <m/>
    <m/>
    <m/>
    <m/>
    <m/>
    <m/>
    <m/>
    <n v="1"/>
    <m/>
    <m/>
    <m/>
    <m/>
    <m/>
    <m/>
    <m/>
    <m/>
    <m/>
    <n v="1"/>
    <m/>
    <m/>
    <m/>
    <m/>
    <m/>
    <m/>
    <n v="1"/>
    <m/>
    <m/>
    <m/>
    <m/>
    <m/>
    <m/>
    <m/>
    <m/>
    <m/>
    <m/>
    <m/>
    <n v="5"/>
  </r>
  <r>
    <x v="0"/>
    <x v="0"/>
    <n v="4296"/>
    <x v="0"/>
    <x v="3"/>
    <s v="RABEPRAZOLE SODIUM"/>
    <m/>
    <m/>
    <m/>
    <m/>
    <m/>
    <m/>
    <m/>
    <m/>
    <m/>
    <m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2"/>
    <m/>
    <m/>
    <m/>
    <n v="9"/>
  </r>
  <r>
    <x v="0"/>
    <x v="0"/>
    <n v="6308"/>
    <x v="0"/>
    <x v="0"/>
    <s v="ROSUVASTATIN CALCIUM"/>
    <m/>
    <m/>
    <m/>
    <m/>
    <m/>
    <m/>
    <n v="1"/>
    <m/>
    <n v="1"/>
    <m/>
    <m/>
    <m/>
    <m/>
    <n v="1"/>
    <m/>
    <m/>
    <m/>
    <m/>
    <n v="1"/>
    <m/>
    <m/>
    <m/>
    <m/>
    <n v="1"/>
    <m/>
    <m/>
    <m/>
    <m/>
    <n v="1"/>
    <m/>
    <m/>
    <m/>
    <n v="1"/>
    <m/>
    <m/>
    <m/>
    <m/>
    <m/>
    <n v="1"/>
    <m/>
    <m/>
    <m/>
    <n v="1"/>
    <m/>
    <m/>
    <m/>
    <n v="9"/>
  </r>
  <r>
    <x v="0"/>
    <x v="0"/>
    <n v="6802"/>
    <x v="0"/>
    <x v="0"/>
    <s v="ROSUVASTATIN CALCIUM"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4"/>
    <m/>
    <m/>
    <m/>
    <m/>
    <n v="8"/>
  </r>
  <r>
    <x v="0"/>
    <x v="0"/>
    <n v="7495"/>
    <x v="0"/>
    <x v="0"/>
    <s v="ROSUVASTATIN CALCIUM"/>
    <m/>
    <n v="1"/>
    <m/>
    <m/>
    <m/>
    <m/>
    <n v="1"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0"/>
    <x v="0"/>
    <n v="9111"/>
    <x v="0"/>
    <x v="0"/>
    <s v="PRAVASTATIN SODIUM"/>
    <n v="1"/>
    <n v="1"/>
    <n v="1"/>
    <n v="1"/>
    <n v="1"/>
    <n v="1"/>
    <n v="1"/>
    <m/>
    <n v="1"/>
    <n v="2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</r>
  <r>
    <x v="0"/>
    <x v="0"/>
    <n v="9952"/>
    <x v="0"/>
    <x v="3"/>
    <s v="PANTO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9952"/>
    <x v="0"/>
    <x v="3"/>
    <s v="RABEPRAZOLE SODIUM"/>
    <m/>
    <n v="4"/>
    <m/>
    <n v="2"/>
    <m/>
    <m/>
    <n v="1"/>
    <m/>
    <m/>
    <n v="1"/>
    <m/>
    <m/>
    <m/>
    <m/>
    <n v="1"/>
    <m/>
    <m/>
    <m/>
    <n v="1"/>
    <m/>
    <m/>
    <m/>
    <m/>
    <n v="2"/>
    <m/>
    <m/>
    <m/>
    <n v="1"/>
    <m/>
    <m/>
    <m/>
    <n v="1"/>
    <n v="1"/>
    <m/>
    <m/>
    <m/>
    <n v="1"/>
    <m/>
    <m/>
    <m/>
    <n v="1"/>
    <n v="1"/>
    <m/>
    <m/>
    <m/>
    <n v="1"/>
    <n v="19"/>
  </r>
  <r>
    <x v="0"/>
    <x v="0"/>
    <n v="10090"/>
    <x v="0"/>
    <x v="4"/>
    <s v="SUCRALFATE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0090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077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0790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079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n v="2"/>
  </r>
  <r>
    <x v="0"/>
    <x v="0"/>
    <n v="10983"/>
    <x v="0"/>
    <x v="3"/>
    <s v="OMEPRAZOLE"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n v="11"/>
  </r>
  <r>
    <x v="0"/>
    <x v="0"/>
    <n v="12497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2497"/>
    <x v="0"/>
    <x v="3"/>
    <s v="PANTOPRAZOLE SODIUM"/>
    <n v="2"/>
    <m/>
    <m/>
    <m/>
    <n v="1"/>
    <m/>
    <m/>
    <m/>
    <n v="2"/>
    <m/>
    <m/>
    <m/>
    <m/>
    <n v="2"/>
    <n v="1"/>
    <n v="1"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n v="16"/>
  </r>
  <r>
    <x v="0"/>
    <x v="0"/>
    <n v="1334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n v="2"/>
  </r>
  <r>
    <x v="0"/>
    <x v="0"/>
    <n v="13345"/>
    <x v="0"/>
    <x v="3"/>
    <s v="PANTOPRAZOLE SODIUM"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n v="1"/>
    <m/>
    <n v="1"/>
    <m/>
    <m/>
    <m/>
    <m/>
    <m/>
    <m/>
    <m/>
    <m/>
    <m/>
    <m/>
    <m/>
    <m/>
    <n v="4"/>
  </r>
  <r>
    <x v="0"/>
    <x v="0"/>
    <n v="13672"/>
    <x v="0"/>
    <x v="7"/>
    <s v="PINAVERIUM BROMIDE"/>
    <m/>
    <m/>
    <m/>
    <n v="1"/>
    <m/>
    <m/>
    <m/>
    <m/>
    <m/>
    <m/>
    <n v="1"/>
    <m/>
    <m/>
    <m/>
    <m/>
    <n v="1"/>
    <m/>
    <m/>
    <m/>
    <m/>
    <n v="1"/>
    <m/>
    <m/>
    <m/>
    <n v="1"/>
    <m/>
    <m/>
    <m/>
    <m/>
    <m/>
    <m/>
    <n v="1"/>
    <m/>
    <n v="2"/>
    <m/>
    <n v="1"/>
    <n v="1"/>
    <m/>
    <m/>
    <m/>
    <n v="1"/>
    <m/>
    <m/>
    <m/>
    <m/>
    <m/>
    <n v="11"/>
  </r>
  <r>
    <x v="0"/>
    <x v="0"/>
    <n v="13672"/>
    <x v="0"/>
    <x v="4"/>
    <s v="SUCRALFATE"/>
    <m/>
    <m/>
    <n v="1"/>
    <m/>
    <m/>
    <m/>
    <n v="1"/>
    <m/>
    <m/>
    <n v="1"/>
    <m/>
    <n v="1"/>
    <m/>
    <m/>
    <n v="1"/>
    <m/>
    <n v="1"/>
    <n v="1"/>
    <m/>
    <n v="1"/>
    <m/>
    <m/>
    <m/>
    <m/>
    <m/>
    <m/>
    <n v="1"/>
    <m/>
    <m/>
    <m/>
    <m/>
    <m/>
    <m/>
    <n v="1"/>
    <m/>
    <m/>
    <m/>
    <m/>
    <m/>
    <m/>
    <m/>
    <n v="1"/>
    <m/>
    <m/>
    <m/>
    <m/>
    <n v="11"/>
  </r>
  <r>
    <x v="0"/>
    <x v="0"/>
    <n v="13672"/>
    <x v="0"/>
    <x v="3"/>
    <s v="OMEPRAZOLE MAGNESIUM"/>
    <n v="1"/>
    <m/>
    <m/>
    <n v="3"/>
    <m/>
    <m/>
    <m/>
    <m/>
    <m/>
    <n v="1"/>
    <m/>
    <m/>
    <m/>
    <m/>
    <n v="1"/>
    <n v="1"/>
    <m/>
    <m/>
    <m/>
    <m/>
    <m/>
    <n v="1"/>
    <m/>
    <m/>
    <m/>
    <m/>
    <n v="1"/>
    <m/>
    <m/>
    <m/>
    <n v="1"/>
    <m/>
    <m/>
    <n v="2"/>
    <m/>
    <m/>
    <n v="1"/>
    <m/>
    <m/>
    <m/>
    <m/>
    <m/>
    <m/>
    <n v="1"/>
    <m/>
    <m/>
    <n v="14"/>
  </r>
  <r>
    <x v="0"/>
    <x v="0"/>
    <n v="14521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4526"/>
    <x v="0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4526"/>
    <x v="0"/>
    <x v="0"/>
    <s v="SIMVASTATIN"/>
    <n v="1"/>
    <n v="1"/>
    <n v="1"/>
    <n v="3"/>
    <n v="2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n v="1"/>
    <m/>
    <m/>
    <m/>
    <n v="42"/>
  </r>
  <r>
    <x v="0"/>
    <x v="0"/>
    <n v="1471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5286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3"/>
  </r>
  <r>
    <x v="0"/>
    <x v="0"/>
    <n v="1528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7464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772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0"/>
    <x v="0"/>
    <n v="29130"/>
    <x v="0"/>
    <x v="0"/>
    <s v="ROSUVASTATIN CALCIUM"/>
    <m/>
    <m/>
    <m/>
    <m/>
    <m/>
    <m/>
    <m/>
    <m/>
    <m/>
    <m/>
    <n v="1"/>
    <m/>
    <m/>
    <m/>
    <m/>
    <n v="1"/>
    <m/>
    <m/>
    <m/>
    <m/>
    <m/>
    <m/>
    <n v="1"/>
    <m/>
    <m/>
    <m/>
    <m/>
    <n v="1"/>
    <m/>
    <m/>
    <m/>
    <m/>
    <n v="1"/>
    <m/>
    <n v="1"/>
    <m/>
    <m/>
    <m/>
    <m/>
    <m/>
    <m/>
    <m/>
    <m/>
    <m/>
    <m/>
    <m/>
    <n v="6"/>
  </r>
  <r>
    <x v="0"/>
    <x v="0"/>
    <n v="31836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595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</r>
  <r>
    <x v="0"/>
    <x v="0"/>
    <n v="1913"/>
    <x v="1"/>
    <x v="0"/>
    <s v="ROSUVASTATIN CALCIUM"/>
    <m/>
    <m/>
    <n v="1"/>
    <m/>
    <m/>
    <m/>
    <m/>
    <m/>
    <m/>
    <m/>
    <n v="2"/>
    <m/>
    <m/>
    <m/>
    <m/>
    <m/>
    <m/>
    <m/>
    <n v="1"/>
    <m/>
    <m/>
    <m/>
    <m/>
    <n v="2"/>
    <m/>
    <m/>
    <m/>
    <m/>
    <n v="2"/>
    <m/>
    <m/>
    <m/>
    <m/>
    <n v="2"/>
    <m/>
    <m/>
    <n v="2"/>
    <m/>
    <m/>
    <m/>
    <m/>
    <n v="1"/>
    <m/>
    <m/>
    <m/>
    <n v="1"/>
    <n v="14"/>
  </r>
  <r>
    <x v="0"/>
    <x v="0"/>
    <n v="2034"/>
    <x v="1"/>
    <x v="3"/>
    <s v="PANTOPRAZOLE MAGNESIUM"/>
    <m/>
    <m/>
    <n v="1"/>
    <m/>
    <m/>
    <m/>
    <m/>
    <m/>
    <n v="1"/>
    <m/>
    <m/>
    <m/>
    <m/>
    <m/>
    <n v="1"/>
    <m/>
    <m/>
    <n v="1"/>
    <m/>
    <m/>
    <m/>
    <m/>
    <m/>
    <m/>
    <m/>
    <m/>
    <n v="1"/>
    <m/>
    <n v="1"/>
    <m/>
    <m/>
    <m/>
    <m/>
    <m/>
    <m/>
    <m/>
    <m/>
    <m/>
    <m/>
    <m/>
    <m/>
    <n v="1"/>
    <m/>
    <m/>
    <m/>
    <m/>
    <n v="7"/>
  </r>
  <r>
    <x v="0"/>
    <x v="0"/>
    <n v="2374"/>
    <x v="1"/>
    <x v="0"/>
    <s v="ROSUVASTATIN CALCIUM"/>
    <m/>
    <m/>
    <m/>
    <m/>
    <m/>
    <n v="1"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0"/>
    <x v="0"/>
    <n v="2734"/>
    <x v="1"/>
    <x v="3"/>
    <s v="RABEPRAZOLE SOD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3042"/>
    <x v="1"/>
    <x v="0"/>
    <s v="LOVASTATIN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3042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042"/>
    <x v="1"/>
    <x v="5"/>
    <s v="NIACIN"/>
    <m/>
    <m/>
    <m/>
    <m/>
    <m/>
    <m/>
    <m/>
    <m/>
    <m/>
    <m/>
    <n v="1"/>
    <m/>
    <m/>
    <m/>
    <m/>
    <n v="2"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n v="5"/>
  </r>
  <r>
    <x v="0"/>
    <x v="0"/>
    <n v="3258"/>
    <x v="1"/>
    <x v="0"/>
    <s v="ROSUVASTATIN CALCIUM"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n v="1"/>
    <m/>
    <m/>
    <m/>
    <m/>
    <m/>
    <n v="1"/>
    <m/>
    <m/>
    <m/>
    <n v="1"/>
    <m/>
    <m/>
    <m/>
    <n v="9"/>
  </r>
  <r>
    <x v="0"/>
    <x v="0"/>
    <n v="3258"/>
    <x v="1"/>
    <x v="3"/>
    <s v="RABEPRAZOLE SODIUM"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n v="1"/>
    <m/>
    <m/>
    <m/>
    <m/>
    <m/>
    <n v="1"/>
    <m/>
    <m/>
    <m/>
    <n v="1"/>
    <m/>
    <m/>
    <m/>
    <n v="9"/>
  </r>
  <r>
    <x v="0"/>
    <x v="0"/>
    <n v="5217"/>
    <x v="1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m/>
    <m/>
    <m/>
    <m/>
    <m/>
    <m/>
    <m/>
    <n v="5"/>
  </r>
  <r>
    <x v="0"/>
    <x v="0"/>
    <n v="5217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n v="1"/>
    <m/>
    <m/>
    <m/>
    <n v="1"/>
    <m/>
    <m/>
    <n v="4"/>
  </r>
  <r>
    <x v="0"/>
    <x v="0"/>
    <n v="5297"/>
    <x v="1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5510"/>
    <x v="1"/>
    <x v="1"/>
    <s v="RANITIDINE HCL"/>
    <m/>
    <m/>
    <m/>
    <m/>
    <m/>
    <m/>
    <m/>
    <m/>
    <m/>
    <m/>
    <m/>
    <m/>
    <m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6"/>
  </r>
  <r>
    <x v="0"/>
    <x v="0"/>
    <n v="5920"/>
    <x v="1"/>
    <x v="0"/>
    <s v="ROSUVASTATIN CALCIUM"/>
    <m/>
    <m/>
    <m/>
    <n v="1"/>
    <m/>
    <m/>
    <n v="2"/>
    <m/>
    <n v="2"/>
    <m/>
    <m/>
    <m/>
    <m/>
    <n v="2"/>
    <m/>
    <m/>
    <m/>
    <m/>
    <n v="2"/>
    <m/>
    <m/>
    <m/>
    <m/>
    <n v="2"/>
    <m/>
    <m/>
    <m/>
    <m/>
    <n v="2"/>
    <m/>
    <m/>
    <m/>
    <n v="2"/>
    <m/>
    <m/>
    <m/>
    <m/>
    <m/>
    <n v="2"/>
    <m/>
    <m/>
    <m/>
    <n v="2"/>
    <m/>
    <m/>
    <m/>
    <n v="19"/>
  </r>
  <r>
    <x v="0"/>
    <x v="0"/>
    <n v="6036"/>
    <x v="1"/>
    <x v="0"/>
    <s v="ATORVASTATIN CALCIUM"/>
    <m/>
    <n v="1"/>
    <m/>
    <n v="1"/>
    <m/>
    <m/>
    <n v="1"/>
    <m/>
    <m/>
    <n v="1"/>
    <m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1"/>
    <n v="1"/>
    <m/>
    <m/>
    <m/>
    <n v="1"/>
    <n v="13"/>
  </r>
  <r>
    <x v="0"/>
    <x v="0"/>
    <n v="6036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6249"/>
    <x v="1"/>
    <x v="0"/>
    <s v="ROSUVASTATIN CALCIUM"/>
    <m/>
    <m/>
    <m/>
    <m/>
    <m/>
    <m/>
    <m/>
    <m/>
    <m/>
    <m/>
    <m/>
    <m/>
    <m/>
    <n v="1"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n v="3"/>
  </r>
  <r>
    <x v="0"/>
    <x v="0"/>
    <n v="6249"/>
    <x v="1"/>
    <x v="3"/>
    <s v="ESOMEPRAZOLE MAGNESIUM"/>
    <n v="2"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</r>
  <r>
    <x v="0"/>
    <x v="0"/>
    <n v="6249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7021"/>
    <x v="1"/>
    <x v="0"/>
    <s v="ROSUVASTATIN CALCIUM"/>
    <m/>
    <m/>
    <m/>
    <m/>
    <n v="1"/>
    <m/>
    <m/>
    <m/>
    <m/>
    <m/>
    <m/>
    <m/>
    <n v="1"/>
    <m/>
    <n v="1"/>
    <m/>
    <m/>
    <m/>
    <n v="1"/>
    <m/>
    <n v="1"/>
    <n v="1"/>
    <m/>
    <m/>
    <n v="1"/>
    <n v="1"/>
    <m/>
    <m/>
    <n v="1"/>
    <m/>
    <m/>
    <m/>
    <n v="1"/>
    <m/>
    <m/>
    <m/>
    <n v="1"/>
    <m/>
    <m/>
    <n v="1"/>
    <m/>
    <m/>
    <m/>
    <n v="1"/>
    <m/>
    <m/>
    <n v="13"/>
  </r>
  <r>
    <x v="0"/>
    <x v="0"/>
    <n v="7351"/>
    <x v="1"/>
    <x v="0"/>
    <s v="SIMVASTATIN"/>
    <n v="1"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0"/>
    <x v="0"/>
    <n v="800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8100"/>
    <x v="1"/>
    <x v="0"/>
    <s v="ATORVASTATIN CALCIUM"/>
    <n v="1"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0"/>
    <x v="0"/>
    <n v="8497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8497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0110"/>
    <x v="1"/>
    <x v="1"/>
    <s v="RANITIDINE HCL"/>
    <m/>
    <m/>
    <m/>
    <n v="1"/>
    <m/>
    <m/>
    <m/>
    <n v="1"/>
    <m/>
    <m/>
    <m/>
    <m/>
    <n v="1"/>
    <m/>
    <m/>
    <m/>
    <m/>
    <n v="1"/>
    <n v="1"/>
    <m/>
    <m/>
    <m/>
    <n v="1"/>
    <m/>
    <m/>
    <m/>
    <m/>
    <m/>
    <m/>
    <m/>
    <m/>
    <m/>
    <m/>
    <m/>
    <m/>
    <m/>
    <m/>
    <m/>
    <m/>
    <m/>
    <m/>
    <m/>
    <m/>
    <m/>
    <m/>
    <m/>
    <n v="6"/>
  </r>
  <r>
    <x v="0"/>
    <x v="0"/>
    <n v="10110"/>
    <x v="1"/>
    <x v="0"/>
    <s v="ATORVASTATIN CALCIUM"/>
    <m/>
    <m/>
    <m/>
    <n v="1"/>
    <m/>
    <m/>
    <m/>
    <n v="1"/>
    <m/>
    <m/>
    <m/>
    <m/>
    <n v="1"/>
    <m/>
    <m/>
    <m/>
    <m/>
    <n v="1"/>
    <n v="1"/>
    <m/>
    <m/>
    <m/>
    <n v="1"/>
    <m/>
    <m/>
    <m/>
    <m/>
    <m/>
    <m/>
    <m/>
    <m/>
    <m/>
    <m/>
    <m/>
    <m/>
    <m/>
    <m/>
    <m/>
    <m/>
    <m/>
    <m/>
    <m/>
    <m/>
    <m/>
    <m/>
    <m/>
    <n v="6"/>
  </r>
  <r>
    <x v="0"/>
    <x v="0"/>
    <n v="10110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n v="1"/>
    <m/>
    <n v="1"/>
    <n v="2"/>
    <m/>
    <m/>
    <m/>
    <n v="1"/>
    <n v="1"/>
    <n v="1"/>
    <n v="1"/>
    <n v="1"/>
    <n v="1"/>
    <n v="1"/>
    <m/>
    <m/>
    <m/>
    <m/>
    <m/>
    <m/>
    <m/>
    <n v="11"/>
  </r>
  <r>
    <x v="0"/>
    <x v="0"/>
    <n v="11938"/>
    <x v="1"/>
    <x v="0"/>
    <s v="SIMVASTATIN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0"/>
    <x v="0"/>
    <n v="13514"/>
    <x v="1"/>
    <x v="3"/>
    <s v="ESOMEPRAZOLE MAGNES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n v="3"/>
  </r>
  <r>
    <x v="0"/>
    <x v="0"/>
    <n v="13589"/>
    <x v="1"/>
    <x v="0"/>
    <s v="ROSUVASTATIN CALCIUM"/>
    <m/>
    <m/>
    <m/>
    <m/>
    <n v="1"/>
    <m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m/>
    <m/>
    <m/>
    <n v="1"/>
    <m/>
    <m/>
    <n v="1"/>
    <m/>
    <m/>
    <m/>
    <m/>
    <n v="1"/>
    <m/>
    <n v="10"/>
  </r>
  <r>
    <x v="0"/>
    <x v="0"/>
    <n v="14378"/>
    <x v="1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5751"/>
    <x v="1"/>
    <x v="3"/>
    <s v="OMEPRAZOLE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0"/>
    <x v="0"/>
    <n v="1592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0"/>
    <x v="0"/>
    <n v="16032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6032"/>
    <x v="1"/>
    <x v="3"/>
    <s v="RABEPRAZOLE SODIUM"/>
    <m/>
    <m/>
    <m/>
    <m/>
    <m/>
    <m/>
    <m/>
    <n v="1"/>
    <m/>
    <m/>
    <m/>
    <n v="1"/>
    <m/>
    <m/>
    <m/>
    <m/>
    <n v="2"/>
    <m/>
    <m/>
    <m/>
    <m/>
    <n v="1"/>
    <m/>
    <m/>
    <n v="1"/>
    <m/>
    <m/>
    <m/>
    <m/>
    <n v="1"/>
    <m/>
    <m/>
    <m/>
    <m/>
    <n v="2"/>
    <m/>
    <m/>
    <m/>
    <n v="1"/>
    <m/>
    <m/>
    <m/>
    <n v="1"/>
    <m/>
    <m/>
    <n v="1"/>
    <n v="12"/>
  </r>
  <r>
    <x v="0"/>
    <x v="0"/>
    <n v="17238"/>
    <x v="1"/>
    <x v="3"/>
    <s v="ESOMEPRAZOLE MAGNESIUM"/>
    <m/>
    <m/>
    <m/>
    <m/>
    <n v="1"/>
    <m/>
    <m/>
    <m/>
    <m/>
    <m/>
    <m/>
    <m/>
    <m/>
    <n v="1"/>
    <m/>
    <m/>
    <m/>
    <m/>
    <m/>
    <m/>
    <m/>
    <m/>
    <n v="1"/>
    <m/>
    <m/>
    <m/>
    <m/>
    <m/>
    <n v="1"/>
    <m/>
    <m/>
    <n v="1"/>
    <m/>
    <n v="1"/>
    <m/>
    <m/>
    <m/>
    <m/>
    <n v="1"/>
    <m/>
    <m/>
    <m/>
    <n v="1"/>
    <m/>
    <m/>
    <m/>
    <n v="8"/>
  </r>
  <r>
    <x v="0"/>
    <x v="0"/>
    <n v="17499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812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817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8324"/>
    <x v="1"/>
    <x v="0"/>
    <s v="ROSUVASTATIN CALCIUM"/>
    <m/>
    <m/>
    <m/>
    <m/>
    <m/>
    <m/>
    <m/>
    <m/>
    <m/>
    <m/>
    <n v="1"/>
    <m/>
    <m/>
    <n v="1"/>
    <m/>
    <m/>
    <m/>
    <m/>
    <n v="1"/>
    <m/>
    <m/>
    <m/>
    <m/>
    <n v="1"/>
    <m/>
    <m/>
    <m/>
    <m/>
    <n v="1"/>
    <m/>
    <m/>
    <m/>
    <n v="1"/>
    <m/>
    <m/>
    <m/>
    <m/>
    <m/>
    <n v="1"/>
    <m/>
    <m/>
    <m/>
    <n v="1"/>
    <m/>
    <m/>
    <m/>
    <n v="8"/>
  </r>
  <r>
    <x v="0"/>
    <x v="0"/>
    <n v="18664"/>
    <x v="1"/>
    <x v="3"/>
    <s v="RABEPRAZOLE SODIUM"/>
    <m/>
    <m/>
    <m/>
    <n v="1"/>
    <m/>
    <m/>
    <m/>
    <n v="1"/>
    <m/>
    <m/>
    <n v="1"/>
    <n v="1"/>
    <m/>
    <m/>
    <m/>
    <n v="1"/>
    <m/>
    <m/>
    <n v="1"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2"/>
  </r>
  <r>
    <x v="0"/>
    <x v="0"/>
    <n v="18682"/>
    <x v="1"/>
    <x v="0"/>
    <s v="ROSUVASTATIN CALCIUM"/>
    <n v="1"/>
    <n v="1"/>
    <n v="1"/>
    <n v="1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m/>
    <n v="13"/>
  </r>
  <r>
    <x v="0"/>
    <x v="0"/>
    <n v="20458"/>
    <x v="1"/>
    <x v="0"/>
    <s v="SIMVASTATIN"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1"/>
    <m/>
    <m/>
    <m/>
    <n v="5"/>
  </r>
  <r>
    <x v="0"/>
    <x v="0"/>
    <n v="20458"/>
    <x v="1"/>
    <x v="3"/>
    <s v="RABEPRAZOLE SODIUM"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1"/>
    <m/>
    <m/>
    <m/>
    <n v="5"/>
  </r>
  <r>
    <x v="0"/>
    <x v="0"/>
    <n v="2145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0"/>
    <x v="0"/>
    <n v="22368"/>
    <x v="1"/>
    <x v="1"/>
    <s v="RANITIDINE HCL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2519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0"/>
    <x v="0"/>
    <n v="114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  <m/>
    <m/>
    <m/>
    <m/>
    <m/>
    <m/>
    <m/>
    <m/>
    <m/>
    <m/>
    <m/>
    <m/>
    <m/>
    <m/>
    <m/>
    <n v="3"/>
  </r>
  <r>
    <x v="0"/>
    <x v="0"/>
    <n v="1360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0"/>
    <x v="0"/>
    <n v="13606"/>
    <x v="0"/>
    <x v="3"/>
    <s v="PANTOPRAZOLE SODIUM"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n v="3"/>
  </r>
  <r>
    <x v="0"/>
    <x v="0"/>
    <n v="22808"/>
    <x v="0"/>
    <x v="3"/>
    <s v="RABEPRAZOLE SOD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31355"/>
    <x v="0"/>
    <x v="3"/>
    <s v="RABE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45"/>
  </r>
  <r>
    <x v="0"/>
    <x v="0"/>
    <n v="3042"/>
    <x v="1"/>
    <x v="1"/>
    <s v="FAMOTIDINE"/>
    <m/>
    <m/>
    <m/>
    <m/>
    <m/>
    <m/>
    <m/>
    <m/>
    <m/>
    <m/>
    <n v="1"/>
    <m/>
    <m/>
    <m/>
    <m/>
    <n v="1"/>
    <m/>
    <m/>
    <m/>
    <m/>
    <n v="1"/>
    <m/>
    <m/>
    <m/>
    <m/>
    <n v="1"/>
    <m/>
    <m/>
    <n v="1"/>
    <m/>
    <m/>
    <m/>
    <m/>
    <n v="1"/>
    <m/>
    <m/>
    <m/>
    <m/>
    <m/>
    <m/>
    <m/>
    <m/>
    <m/>
    <m/>
    <m/>
    <m/>
    <n v="6"/>
  </r>
  <r>
    <x v="0"/>
    <x v="0"/>
    <n v="3042"/>
    <x v="1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04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1"/>
    <m/>
    <m/>
    <m/>
    <n v="1"/>
    <m/>
    <m/>
    <m/>
    <n v="1"/>
    <m/>
    <n v="5"/>
  </r>
  <r>
    <x v="0"/>
    <x v="0"/>
    <n v="189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2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4062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0"/>
    <x v="0"/>
    <n v="7021"/>
    <x v="1"/>
    <x v="3"/>
    <s v="RABEPRAZOLE SODIUM"/>
    <m/>
    <m/>
    <m/>
    <m/>
    <n v="1"/>
    <m/>
    <m/>
    <m/>
    <m/>
    <m/>
    <m/>
    <m/>
    <n v="1"/>
    <m/>
    <n v="1"/>
    <m/>
    <m/>
    <m/>
    <n v="1"/>
    <m/>
    <n v="1"/>
    <n v="1"/>
    <m/>
    <m/>
    <n v="1"/>
    <n v="1"/>
    <m/>
    <m/>
    <n v="1"/>
    <m/>
    <m/>
    <m/>
    <n v="1"/>
    <m/>
    <m/>
    <m/>
    <n v="1"/>
    <m/>
    <m/>
    <n v="1"/>
    <m/>
    <m/>
    <m/>
    <n v="1"/>
    <m/>
    <m/>
    <n v="13"/>
  </r>
  <r>
    <x v="0"/>
    <x v="0"/>
    <n v="18682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8682"/>
    <x v="1"/>
    <x v="3"/>
    <s v="RABEPRAZOLE SODIUM"/>
    <n v="1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</r>
  <r>
    <x v="0"/>
    <x v="0"/>
    <n v="9111"/>
    <x v="0"/>
    <x v="3"/>
    <s v="PANTOPRAZOLE SODIUM"/>
    <n v="1"/>
    <n v="1"/>
    <n v="1"/>
    <n v="1"/>
    <n v="1"/>
    <n v="1"/>
    <n v="1"/>
    <m/>
    <n v="1"/>
    <n v="2"/>
    <n v="1"/>
    <n v="1"/>
    <n v="1"/>
    <n v="1"/>
    <n v="1"/>
    <n v="1"/>
    <n v="2"/>
    <n v="1"/>
    <n v="1"/>
    <n v="1"/>
    <m/>
    <m/>
    <m/>
    <n v="1"/>
    <m/>
    <m/>
    <m/>
    <m/>
    <n v="1"/>
    <n v="1"/>
    <m/>
    <m/>
    <n v="1"/>
    <m/>
    <m/>
    <m/>
    <m/>
    <m/>
    <n v="2"/>
    <m/>
    <m/>
    <m/>
    <m/>
    <m/>
    <m/>
    <m/>
    <n v="27"/>
  </r>
  <r>
    <x v="0"/>
    <x v="0"/>
    <n v="29130"/>
    <x v="0"/>
    <x v="1"/>
    <s v="RANITIDINE HCL"/>
    <m/>
    <m/>
    <m/>
    <m/>
    <m/>
    <m/>
    <m/>
    <m/>
    <m/>
    <m/>
    <m/>
    <m/>
    <m/>
    <m/>
    <m/>
    <n v="1"/>
    <m/>
    <m/>
    <m/>
    <m/>
    <m/>
    <m/>
    <n v="1"/>
    <m/>
    <m/>
    <m/>
    <m/>
    <n v="1"/>
    <m/>
    <m/>
    <m/>
    <m/>
    <n v="1"/>
    <m/>
    <n v="1"/>
    <m/>
    <m/>
    <m/>
    <m/>
    <m/>
    <m/>
    <m/>
    <m/>
    <m/>
    <m/>
    <m/>
    <n v="5"/>
  </r>
  <r>
    <x v="0"/>
    <x v="0"/>
    <n v="9110"/>
    <x v="1"/>
    <x v="1"/>
    <s v="RANITIDINE HCL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n v="5"/>
  </r>
  <r>
    <x v="0"/>
    <x v="0"/>
    <n v="9110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"/>
    <m/>
    <m/>
    <m/>
    <m/>
    <m/>
    <m/>
    <m/>
    <m/>
    <m/>
    <m/>
    <n v="3"/>
  </r>
  <r>
    <x v="0"/>
    <x v="0"/>
    <n v="911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n v="2"/>
  </r>
  <r>
    <x v="0"/>
    <x v="0"/>
    <n v="911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n v="2"/>
  </r>
  <r>
    <x v="0"/>
    <x v="0"/>
    <n v="4277"/>
    <x v="0"/>
    <x v="0"/>
    <s v="ATORVASTATIN CALCIUM"/>
    <m/>
    <n v="1"/>
    <m/>
    <m/>
    <m/>
    <m/>
    <n v="1"/>
    <m/>
    <m/>
    <n v="1"/>
    <m/>
    <m/>
    <m/>
    <m/>
    <n v="1"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n v="6"/>
  </r>
  <r>
    <x v="0"/>
    <x v="0"/>
    <n v="7080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0"/>
    <x v="0"/>
    <n v="8684"/>
    <x v="0"/>
    <x v="0"/>
    <s v="ATORVASTATIN CALCIUM"/>
    <m/>
    <n v="1"/>
    <m/>
    <m/>
    <m/>
    <m/>
    <n v="1"/>
    <m/>
    <m/>
    <n v="1"/>
    <m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m/>
    <n v="1"/>
    <n v="11"/>
  </r>
  <r>
    <x v="0"/>
    <x v="0"/>
    <n v="20630"/>
    <x v="0"/>
    <x v="0"/>
    <s v="SIMVASTATIN"/>
    <m/>
    <m/>
    <n v="1"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n v="6"/>
  </r>
  <r>
    <x v="0"/>
    <x v="0"/>
    <n v="535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535"/>
    <x v="1"/>
    <x v="0"/>
    <s v="SIMVASTATIN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97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76"/>
    <x v="1"/>
    <x v="0"/>
    <s v="ROSUVASTATIN CALCIUM"/>
    <n v="1"/>
    <m/>
    <m/>
    <n v="1"/>
    <n v="1"/>
    <m/>
    <m/>
    <m/>
    <n v="1"/>
    <m/>
    <m/>
    <m/>
    <n v="1"/>
    <m/>
    <m/>
    <m/>
    <n v="1"/>
    <m/>
    <m/>
    <m/>
    <n v="1"/>
    <m/>
    <m/>
    <n v="1"/>
    <n v="1"/>
    <m/>
    <m/>
    <m/>
    <n v="1"/>
    <m/>
    <m/>
    <m/>
    <n v="1"/>
    <m/>
    <m/>
    <m/>
    <n v="2"/>
    <n v="1"/>
    <m/>
    <m/>
    <m/>
    <n v="1"/>
    <m/>
    <m/>
    <m/>
    <n v="2"/>
    <n v="17"/>
  </r>
  <r>
    <x v="0"/>
    <x v="0"/>
    <n v="976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548"/>
    <x v="1"/>
    <x v="0"/>
    <s v="ROSUVASTATIN CALCIUM"/>
    <m/>
    <m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n v="10"/>
  </r>
  <r>
    <x v="0"/>
    <x v="0"/>
    <n v="1949"/>
    <x v="1"/>
    <x v="0"/>
    <s v="ATORVASTATIN CALCIUM"/>
    <m/>
    <m/>
    <n v="1"/>
    <m/>
    <m/>
    <n v="1"/>
    <m/>
    <m/>
    <n v="1"/>
    <m/>
    <m/>
    <m/>
    <n v="1"/>
    <m/>
    <m/>
    <m/>
    <n v="1"/>
    <m/>
    <n v="1"/>
    <m/>
    <m/>
    <n v="1"/>
    <m/>
    <m/>
    <m/>
    <n v="1"/>
    <m/>
    <m/>
    <m/>
    <n v="1"/>
    <m/>
    <n v="1"/>
    <m/>
    <m/>
    <n v="1"/>
    <m/>
    <m/>
    <m/>
    <n v="1"/>
    <m/>
    <m/>
    <m/>
    <n v="1"/>
    <m/>
    <n v="1"/>
    <m/>
    <n v="14"/>
  </r>
  <r>
    <x v="0"/>
    <x v="0"/>
    <n v="2273"/>
    <x v="1"/>
    <x v="0"/>
    <s v="ATORVASTATIN CALCIUM"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n v="4"/>
  </r>
  <r>
    <x v="0"/>
    <x v="0"/>
    <n v="617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8786"/>
    <x v="1"/>
    <x v="8"/>
    <s v="FENOFIBRATE, MICRONIZED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0"/>
    <x v="0"/>
    <n v="8786"/>
    <x v="1"/>
    <x v="0"/>
    <s v="ATORVASTATIN CALCIUM"/>
    <m/>
    <m/>
    <m/>
    <m/>
    <m/>
    <n v="1"/>
    <m/>
    <m/>
    <m/>
    <m/>
    <m/>
    <m/>
    <m/>
    <n v="1"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n v="1"/>
    <m/>
    <m/>
    <n v="6"/>
  </r>
  <r>
    <x v="0"/>
    <x v="0"/>
    <n v="9330"/>
    <x v="1"/>
    <x v="0"/>
    <s v="SIMVASTATIN"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0"/>
    <x v="0"/>
    <n v="9928"/>
    <x v="1"/>
    <x v="0"/>
    <s v="SIMVASTATIN"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0"/>
    <x v="0"/>
    <n v="9928"/>
    <x v="1"/>
    <x v="5"/>
    <s v="NIACIN"/>
    <m/>
    <m/>
    <m/>
    <m/>
    <m/>
    <m/>
    <m/>
    <m/>
    <m/>
    <n v="1"/>
    <m/>
    <m/>
    <m/>
    <n v="1"/>
    <m/>
    <m/>
    <n v="1"/>
    <m/>
    <m/>
    <m/>
    <m/>
    <n v="2"/>
    <m/>
    <m/>
    <m/>
    <n v="1"/>
    <m/>
    <m/>
    <m/>
    <m/>
    <n v="1"/>
    <m/>
    <m/>
    <m/>
    <m/>
    <n v="1"/>
    <m/>
    <m/>
    <m/>
    <m/>
    <m/>
    <m/>
    <m/>
    <m/>
    <m/>
    <m/>
    <n v="8"/>
  </r>
  <r>
    <x v="0"/>
    <x v="0"/>
    <n v="9935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3"/>
  </r>
  <r>
    <x v="0"/>
    <x v="0"/>
    <n v="11256"/>
    <x v="1"/>
    <x v="0"/>
    <s v="ATOR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0"/>
    <x v="0"/>
    <n v="11312"/>
    <x v="1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4"/>
  </r>
  <r>
    <x v="0"/>
    <x v="0"/>
    <n v="11977"/>
    <x v="1"/>
    <x v="0"/>
    <s v="ROSU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n v="4"/>
  </r>
  <r>
    <x v="0"/>
    <x v="0"/>
    <n v="12602"/>
    <x v="1"/>
    <x v="8"/>
    <s v="FENOFIBRATE, MICROCOATED"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n v="11"/>
  </r>
  <r>
    <x v="0"/>
    <x v="0"/>
    <n v="12602"/>
    <x v="1"/>
    <x v="0"/>
    <s v="ROSUVASTATIN CALCIUM"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m/>
    <m/>
    <m/>
    <m/>
    <m/>
    <m/>
    <n v="9"/>
  </r>
  <r>
    <x v="0"/>
    <x v="0"/>
    <n v="12602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1"/>
    <m/>
    <m/>
    <m/>
    <m/>
    <m/>
    <m/>
    <m/>
    <m/>
    <m/>
    <m/>
    <m/>
    <n v="3"/>
  </r>
  <r>
    <x v="0"/>
    <x v="0"/>
    <n v="13081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n v="2"/>
  </r>
  <r>
    <x v="0"/>
    <x v="0"/>
    <n v="15935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n v="1"/>
    <m/>
    <m/>
    <m/>
    <n v="4"/>
  </r>
  <r>
    <x v="0"/>
    <x v="0"/>
    <n v="2021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559"/>
    <x v="1"/>
    <x v="0"/>
    <s v="ROSUVASTATIN CALCIUM"/>
    <n v="1"/>
    <m/>
    <m/>
    <m/>
    <m/>
    <n v="1"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m/>
    <n v="1"/>
    <m/>
    <n v="11"/>
  </r>
  <r>
    <x v="0"/>
    <x v="0"/>
    <n v="20923"/>
    <x v="1"/>
    <x v="0"/>
    <s v="ATORVASTATIN CALCIUM"/>
    <m/>
    <m/>
    <m/>
    <n v="2"/>
    <m/>
    <m/>
    <m/>
    <m/>
    <m/>
    <m/>
    <n v="1"/>
    <m/>
    <m/>
    <n v="1"/>
    <m/>
    <m/>
    <m/>
    <m/>
    <m/>
    <m/>
    <m/>
    <m/>
    <m/>
    <m/>
    <m/>
    <m/>
    <m/>
    <m/>
    <m/>
    <n v="1"/>
    <m/>
    <n v="2"/>
    <m/>
    <m/>
    <m/>
    <m/>
    <m/>
    <m/>
    <m/>
    <m/>
    <m/>
    <n v="1"/>
    <m/>
    <m/>
    <m/>
    <m/>
    <n v="8"/>
  </r>
  <r>
    <x v="0"/>
    <x v="0"/>
    <n v="969"/>
    <x v="0"/>
    <x v="0"/>
    <s v="ATORVASTATIN CALCIUM"/>
    <m/>
    <m/>
    <m/>
    <m/>
    <m/>
    <m/>
    <m/>
    <m/>
    <m/>
    <m/>
    <m/>
    <m/>
    <m/>
    <m/>
    <m/>
    <m/>
    <m/>
    <m/>
    <m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0"/>
    <x v="0"/>
    <n v="1143"/>
    <x v="0"/>
    <x v="9"/>
    <s v="CHOLESTYRAMINE/ASPARTAME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0"/>
    <x v="0"/>
    <n v="4296"/>
    <x v="0"/>
    <x v="0"/>
    <s v="ATORVASTATIN CALCIUM"/>
    <m/>
    <m/>
    <m/>
    <m/>
    <m/>
    <m/>
    <m/>
    <m/>
    <m/>
    <n v="1"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n v="9"/>
  </r>
  <r>
    <x v="0"/>
    <x v="0"/>
    <n v="12497"/>
    <x v="0"/>
    <x v="0"/>
    <s v="ATORVASTATIN CALCIUM"/>
    <n v="1"/>
    <m/>
    <m/>
    <m/>
    <n v="1"/>
    <m/>
    <m/>
    <m/>
    <n v="1"/>
    <m/>
    <m/>
    <m/>
    <m/>
    <n v="1"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n v="6"/>
  </r>
  <r>
    <x v="0"/>
    <x v="0"/>
    <n v="31355"/>
    <x v="0"/>
    <x v="0"/>
    <s v="ATORVASTATIN CALC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45"/>
  </r>
  <r>
    <x v="0"/>
    <x v="0"/>
    <n v="33035"/>
    <x v="0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650"/>
    <x v="1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2"/>
  </r>
  <r>
    <x v="0"/>
    <x v="0"/>
    <n v="974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0"/>
    <x v="0"/>
    <n v="203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34"/>
    <x v="1"/>
    <x v="6"/>
    <s v="EZETIMIBE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594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n v="2"/>
  </r>
  <r>
    <x v="0"/>
    <x v="0"/>
    <n v="5947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0"/>
    <x v="0"/>
    <n v="6373"/>
    <x v="1"/>
    <x v="0"/>
    <s v="SIMVASTATIN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0"/>
    <x v="0"/>
    <n v="9656"/>
    <x v="1"/>
    <x v="0"/>
    <s v="ROSU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n v="4"/>
  </r>
  <r>
    <x v="0"/>
    <x v="0"/>
    <n v="12144"/>
    <x v="1"/>
    <x v="0"/>
    <s v="ATORVASTATIN CALCIUM"/>
    <m/>
    <m/>
    <n v="1"/>
    <m/>
    <m/>
    <m/>
    <m/>
    <n v="1"/>
    <m/>
    <m/>
    <m/>
    <m/>
    <n v="1"/>
    <m/>
    <m/>
    <m/>
    <n v="1"/>
    <m/>
    <n v="1"/>
    <m/>
    <m/>
    <m/>
    <m/>
    <n v="1"/>
    <m/>
    <m/>
    <m/>
    <m/>
    <n v="1"/>
    <m/>
    <m/>
    <m/>
    <m/>
    <n v="1"/>
    <m/>
    <m/>
    <m/>
    <m/>
    <n v="1"/>
    <m/>
    <m/>
    <m/>
    <n v="1"/>
    <m/>
    <m/>
    <m/>
    <n v="10"/>
  </r>
  <r>
    <x v="0"/>
    <x v="0"/>
    <n v="13514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3514"/>
    <x v="1"/>
    <x v="5"/>
    <s v="NIACIN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n v="4"/>
  </r>
  <r>
    <x v="0"/>
    <x v="0"/>
    <n v="18786"/>
    <x v="1"/>
    <x v="0"/>
    <s v="ROSUVASTATIN CALCIUM"/>
    <m/>
    <m/>
    <n v="1"/>
    <m/>
    <m/>
    <n v="1"/>
    <m/>
    <m/>
    <n v="1"/>
    <m/>
    <m/>
    <m/>
    <n v="1"/>
    <m/>
    <m/>
    <m/>
    <m/>
    <m/>
    <n v="1"/>
    <m/>
    <m/>
    <m/>
    <m/>
    <n v="1"/>
    <m/>
    <m/>
    <m/>
    <m/>
    <m/>
    <m/>
    <m/>
    <m/>
    <m/>
    <m/>
    <m/>
    <m/>
    <n v="1"/>
    <m/>
    <m/>
    <m/>
    <m/>
    <m/>
    <m/>
    <m/>
    <m/>
    <m/>
    <n v="7"/>
  </r>
  <r>
    <x v="1"/>
    <x v="0"/>
    <n v="864"/>
    <x v="0"/>
    <x v="8"/>
    <s v="FENOFIBRATE"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n v="4"/>
  </r>
  <r>
    <x v="1"/>
    <x v="0"/>
    <n v="864"/>
    <x v="0"/>
    <x v="8"/>
    <s v="FENOFIBRATE, MICRONIZED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1373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</r>
  <r>
    <x v="1"/>
    <x v="0"/>
    <n v="173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"/>
    <x v="0"/>
    <n v="1897"/>
    <x v="0"/>
    <x v="3"/>
    <s v="RABEPRAZOLE SODIUM"/>
    <n v="1"/>
    <n v="1"/>
    <n v="1"/>
    <n v="1"/>
    <n v="1"/>
    <m/>
    <n v="1"/>
    <n v="1"/>
    <n v="2"/>
    <n v="1"/>
    <n v="1"/>
    <n v="1"/>
    <n v="2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2"/>
    <n v="1"/>
    <n v="1"/>
    <n v="1"/>
    <n v="1"/>
    <n v="1"/>
    <n v="2"/>
    <n v="2"/>
    <n v="1"/>
    <n v="1"/>
    <n v="53"/>
  </r>
  <r>
    <x v="1"/>
    <x v="0"/>
    <n v="2377"/>
    <x v="0"/>
    <x v="3"/>
    <s v="RABEPRAZOLE SODIUM"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1"/>
    <x v="0"/>
    <n v="278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78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788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"/>
    <x v="0"/>
    <n v="3720"/>
    <x v="0"/>
    <x v="3"/>
    <s v="ESOMEPRAZOLE MAGNESIUM"/>
    <m/>
    <m/>
    <m/>
    <n v="1"/>
    <m/>
    <m/>
    <m/>
    <n v="1"/>
    <m/>
    <m/>
    <m/>
    <n v="1"/>
    <m/>
    <m/>
    <m/>
    <m/>
    <m/>
    <m/>
    <m/>
    <n v="1"/>
    <m/>
    <m/>
    <m/>
    <m/>
    <m/>
    <m/>
    <m/>
    <m/>
    <n v="1"/>
    <m/>
    <m/>
    <m/>
    <m/>
    <m/>
    <n v="1"/>
    <m/>
    <m/>
    <m/>
    <m/>
    <n v="1"/>
    <m/>
    <m/>
    <m/>
    <m/>
    <n v="1"/>
    <m/>
    <n v="8"/>
  </r>
  <r>
    <x v="1"/>
    <x v="0"/>
    <n v="5621"/>
    <x v="0"/>
    <x v="3"/>
    <s v="PANTOPRAZOLE MAGNES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605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6053"/>
    <x v="0"/>
    <x v="3"/>
    <s v="PANTO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"/>
    <x v="0"/>
    <n v="6458"/>
    <x v="0"/>
    <x v="3"/>
    <s v="OMEPRAZOLE MAGNES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6657"/>
    <x v="0"/>
    <x v="0"/>
    <s v="ATORVASTATIN CALCIUM"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m/>
    <n v="1"/>
    <m/>
    <m/>
    <m/>
    <m/>
    <n v="1"/>
    <m/>
    <m/>
    <m/>
    <m/>
    <n v="7"/>
  </r>
  <r>
    <x v="1"/>
    <x v="0"/>
    <n v="6657"/>
    <x v="0"/>
    <x v="3"/>
    <s v="RABEPRAZOLE SODIUM"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m/>
    <m/>
    <m/>
    <m/>
    <m/>
    <m/>
    <m/>
    <m/>
    <m/>
    <n v="1"/>
    <m/>
    <m/>
    <m/>
    <m/>
    <m/>
    <m/>
    <m/>
    <n v="7"/>
  </r>
  <r>
    <x v="1"/>
    <x v="0"/>
    <n v="7171"/>
    <x v="0"/>
    <x v="0"/>
    <s v="SIMVASTATIN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</r>
  <r>
    <x v="1"/>
    <x v="0"/>
    <n v="7502"/>
    <x v="0"/>
    <x v="0"/>
    <s v="SIMVASTATIN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n v="4"/>
  </r>
  <r>
    <x v="1"/>
    <x v="0"/>
    <n v="7654"/>
    <x v="0"/>
    <x v="3"/>
    <s v="PANTOPRAZOLE MAGNES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829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4791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1"/>
    <x v="0"/>
    <n v="15211"/>
    <x v="0"/>
    <x v="1"/>
    <s v="RANITIDINE HCL"/>
    <m/>
    <m/>
    <m/>
    <m/>
    <m/>
    <m/>
    <m/>
    <m/>
    <m/>
    <m/>
    <m/>
    <m/>
    <m/>
    <m/>
    <n v="1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"/>
    <x v="0"/>
    <n v="16954"/>
    <x v="0"/>
    <x v="0"/>
    <s v="SIMVASTATIN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"/>
    <x v="0"/>
    <n v="1756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775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7759"/>
    <x v="0"/>
    <x v="0"/>
    <s v="SIMVASTATIN"/>
    <m/>
    <m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"/>
    <x v="0"/>
    <n v="1833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971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0822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n v="3"/>
  </r>
  <r>
    <x v="1"/>
    <x v="0"/>
    <n v="2239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0512"/>
    <x v="0"/>
    <x v="0"/>
    <s v="SIMVASTATIN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3"/>
  </r>
  <r>
    <x v="1"/>
    <x v="0"/>
    <n v="30512"/>
    <x v="0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3065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065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2234"/>
    <x v="0"/>
    <x v="3"/>
    <s v="ESOMEPRAZOLE MAGNES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"/>
    <x v="0"/>
    <n v="32234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231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"/>
    <x v="0"/>
    <n v="32315"/>
    <x v="0"/>
    <x v="3"/>
    <s v="RABEPRAZOLE SODIUM"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4"/>
  </r>
  <r>
    <x v="1"/>
    <x v="0"/>
    <n v="32414"/>
    <x v="0"/>
    <x v="1"/>
    <s v="RANITIDINE HCL"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n v="1"/>
    <m/>
    <m/>
    <m/>
    <m/>
    <m/>
    <m/>
    <n v="4"/>
  </r>
  <r>
    <x v="1"/>
    <x v="0"/>
    <n v="3268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2683"/>
    <x v="0"/>
    <x v="3"/>
    <s v="RABEPRAZOLE SODIUM"/>
    <m/>
    <m/>
    <m/>
    <m/>
    <m/>
    <m/>
    <n v="1"/>
    <m/>
    <m/>
    <m/>
    <m/>
    <m/>
    <n v="1"/>
    <m/>
    <m/>
    <m/>
    <m/>
    <n v="1"/>
    <m/>
    <m/>
    <m/>
    <m/>
    <m/>
    <m/>
    <m/>
    <m/>
    <m/>
    <m/>
    <m/>
    <n v="1"/>
    <m/>
    <m/>
    <m/>
    <m/>
    <m/>
    <m/>
    <n v="1"/>
    <m/>
    <m/>
    <m/>
    <m/>
    <m/>
    <m/>
    <n v="1"/>
    <m/>
    <m/>
    <n v="6"/>
  </r>
  <r>
    <x v="1"/>
    <x v="0"/>
    <n v="32795"/>
    <x v="0"/>
    <x v="3"/>
    <s v="OMEPRAZOLE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n v="3"/>
  </r>
  <r>
    <x v="1"/>
    <x v="0"/>
    <n v="32795"/>
    <x v="0"/>
    <x v="3"/>
    <s v="OMEPRAZOLE MAGNESIUM"/>
    <n v="1"/>
    <m/>
    <m/>
    <m/>
    <m/>
    <m/>
    <n v="3"/>
    <m/>
    <n v="2"/>
    <m/>
    <m/>
    <m/>
    <m/>
    <m/>
    <n v="1"/>
    <m/>
    <m/>
    <m/>
    <m/>
    <n v="1"/>
    <m/>
    <m/>
    <m/>
    <n v="1"/>
    <m/>
    <m/>
    <m/>
    <m/>
    <n v="1"/>
    <m/>
    <m/>
    <m/>
    <m/>
    <n v="1"/>
    <m/>
    <m/>
    <m/>
    <m/>
    <m/>
    <m/>
    <m/>
    <m/>
    <m/>
    <m/>
    <m/>
    <m/>
    <n v="11"/>
  </r>
  <r>
    <x v="1"/>
    <x v="0"/>
    <n v="3283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3211"/>
    <x v="0"/>
    <x v="0"/>
    <s v="SIMVASTATIN"/>
    <m/>
    <m/>
    <m/>
    <n v="1"/>
    <n v="1"/>
    <m/>
    <n v="1"/>
    <m/>
    <n v="1"/>
    <m/>
    <n v="1"/>
    <m/>
    <n v="1"/>
    <m/>
    <n v="1"/>
    <m/>
    <m/>
    <n v="1"/>
    <n v="1"/>
    <m/>
    <n v="1"/>
    <m/>
    <n v="1"/>
    <m/>
    <n v="2"/>
    <n v="1"/>
    <n v="1"/>
    <n v="1"/>
    <n v="1"/>
    <m/>
    <n v="1"/>
    <m/>
    <n v="1"/>
    <m/>
    <n v="1"/>
    <m/>
    <n v="1"/>
    <m/>
    <m/>
    <n v="1"/>
    <m/>
    <n v="1"/>
    <n v="1"/>
    <m/>
    <n v="1"/>
    <m/>
    <n v="25"/>
  </r>
  <r>
    <x v="1"/>
    <x v="0"/>
    <n v="33211"/>
    <x v="0"/>
    <x v="3"/>
    <s v="PANTOPRAZOLE SODIUM"/>
    <m/>
    <m/>
    <m/>
    <n v="2"/>
    <n v="1"/>
    <m/>
    <m/>
    <n v="1"/>
    <n v="1"/>
    <m/>
    <n v="1"/>
    <m/>
    <m/>
    <n v="1"/>
    <n v="1"/>
    <m/>
    <m/>
    <n v="1"/>
    <n v="1"/>
    <m/>
    <n v="1"/>
    <m/>
    <n v="1"/>
    <m/>
    <n v="2"/>
    <n v="1"/>
    <m/>
    <n v="2"/>
    <m/>
    <n v="2"/>
    <n v="1"/>
    <m/>
    <n v="2"/>
    <m/>
    <n v="1"/>
    <m/>
    <n v="1"/>
    <m/>
    <m/>
    <n v="1"/>
    <m/>
    <n v="1"/>
    <n v="1"/>
    <m/>
    <n v="1"/>
    <m/>
    <n v="28"/>
  </r>
  <r>
    <x v="1"/>
    <x v="0"/>
    <n v="33730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1"/>
    <x v="0"/>
    <n v="33835"/>
    <x v="0"/>
    <x v="0"/>
    <s v="SIMVASTATIN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n v="4"/>
  </r>
  <r>
    <x v="1"/>
    <x v="0"/>
    <n v="33843"/>
    <x v="0"/>
    <x v="3"/>
    <s v="ESOMEPRAZOLE MAGNES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2429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5351"/>
    <x v="1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"/>
    <x v="0"/>
    <n v="8489"/>
    <x v="1"/>
    <x v="0"/>
    <s v="SIMVASTATIN"/>
    <n v="1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4"/>
  </r>
  <r>
    <x v="1"/>
    <x v="0"/>
    <n v="17844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9696"/>
    <x v="1"/>
    <x v="3"/>
    <s v="OMEPRAZOLE"/>
    <n v="1"/>
    <m/>
    <m/>
    <m/>
    <m/>
    <m/>
    <m/>
    <m/>
    <m/>
    <m/>
    <m/>
    <m/>
    <n v="1"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n v="4"/>
  </r>
  <r>
    <x v="1"/>
    <x v="0"/>
    <n v="2188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"/>
    <x v="0"/>
    <n v="2365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0597"/>
    <x v="1"/>
    <x v="3"/>
    <s v="RABEPRAZOLE SODIUM"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"/>
    <x v="0"/>
    <n v="31872"/>
    <x v="1"/>
    <x v="3"/>
    <s v="PANTOPRAZOLE SODIUM"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4"/>
  </r>
  <r>
    <x v="1"/>
    <x v="0"/>
    <n v="32378"/>
    <x v="1"/>
    <x v="3"/>
    <s v="PANTOPRAZOLE MAGNESIUM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"/>
    <x v="0"/>
    <n v="32498"/>
    <x v="1"/>
    <x v="0"/>
    <s v="ATORVASTATIN CALCIUM"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4"/>
  </r>
  <r>
    <x v="1"/>
    <x v="0"/>
    <n v="32670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56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564"/>
    <x v="0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</r>
  <r>
    <x v="1"/>
    <x v="0"/>
    <n v="844"/>
    <x v="0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458"/>
    <x v="0"/>
    <x v="3"/>
    <s v="PANTOPRAZOLE SODIUM"/>
    <n v="1"/>
    <m/>
    <m/>
    <m/>
    <m/>
    <n v="1"/>
    <m/>
    <m/>
    <m/>
    <n v="1"/>
    <m/>
    <m/>
    <n v="1"/>
    <m/>
    <m/>
    <m/>
    <n v="1"/>
    <m/>
    <m/>
    <n v="2"/>
    <m/>
    <m/>
    <m/>
    <m/>
    <m/>
    <m/>
    <n v="1"/>
    <m/>
    <m/>
    <m/>
    <m/>
    <m/>
    <m/>
    <n v="1"/>
    <m/>
    <m/>
    <m/>
    <m/>
    <m/>
    <n v="4"/>
    <m/>
    <m/>
    <m/>
    <m/>
    <m/>
    <m/>
    <n v="13"/>
  </r>
  <r>
    <x v="1"/>
    <x v="0"/>
    <n v="150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4033"/>
    <x v="0"/>
    <x v="3"/>
    <s v="OMEPRAZOLE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1"/>
    <x v="0"/>
    <n v="5093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n v="1"/>
    <n v="3"/>
  </r>
  <r>
    <x v="1"/>
    <x v="0"/>
    <n v="5093"/>
    <x v="0"/>
    <x v="3"/>
    <s v="PANTOPRAZOLE MAGNES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6625"/>
    <x v="0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n v="4"/>
  </r>
  <r>
    <x v="1"/>
    <x v="0"/>
    <n v="6626"/>
    <x v="0"/>
    <x v="3"/>
    <s v="ESOMEPRAZOLE MAGNESIUM"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2"/>
    <n v="1"/>
    <n v="25"/>
  </r>
  <r>
    <x v="1"/>
    <x v="0"/>
    <n v="6720"/>
    <x v="0"/>
    <x v="3"/>
    <s v="RABEPRAZOLE SODIUM"/>
    <n v="1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n v="5"/>
  </r>
  <r>
    <x v="1"/>
    <x v="0"/>
    <n v="6754"/>
    <x v="0"/>
    <x v="3"/>
    <s v="RABEPRAZOLE SOD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4"/>
  </r>
  <r>
    <x v="1"/>
    <x v="0"/>
    <n v="7023"/>
    <x v="0"/>
    <x v="3"/>
    <s v="RABEPRAZOLE SODIUM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4"/>
  </r>
  <r>
    <x v="1"/>
    <x v="0"/>
    <n v="7111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"/>
    <x v="0"/>
    <n v="8015"/>
    <x v="0"/>
    <x v="1"/>
    <s v="CIMETIDINE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1"/>
    <x v="0"/>
    <n v="11003"/>
    <x v="0"/>
    <x v="3"/>
    <s v="RABE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</r>
  <r>
    <x v="1"/>
    <x v="0"/>
    <n v="1253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3333"/>
    <x v="0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1"/>
    <x v="0"/>
    <n v="15715"/>
    <x v="0"/>
    <x v="3"/>
    <s v="PANTO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</r>
  <r>
    <x v="1"/>
    <x v="0"/>
    <n v="1690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"/>
    <x v="0"/>
    <n v="18094"/>
    <x v="0"/>
    <x v="1"/>
    <s v="RANITIDINE HCL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  <m/>
    <m/>
    <m/>
    <m/>
    <m/>
    <n v="5"/>
  </r>
  <r>
    <x v="1"/>
    <x v="0"/>
    <n v="18094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  <m/>
    <m/>
    <m/>
    <m/>
    <m/>
    <n v="3"/>
  </r>
  <r>
    <x v="1"/>
    <x v="0"/>
    <n v="1809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"/>
    <x v="0"/>
    <n v="2250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"/>
    <x v="0"/>
    <n v="30312"/>
    <x v="0"/>
    <x v="1"/>
    <s v="RANITIDINE HCL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"/>
    <x v="0"/>
    <n v="33615"/>
    <x v="0"/>
    <x v="3"/>
    <s v="PANTOPRAZOLE SODIUM"/>
    <m/>
    <m/>
    <m/>
    <m/>
    <m/>
    <m/>
    <m/>
    <m/>
    <m/>
    <m/>
    <m/>
    <m/>
    <m/>
    <m/>
    <m/>
    <m/>
    <m/>
    <n v="1"/>
    <m/>
    <m/>
    <n v="1"/>
    <m/>
    <n v="1"/>
    <m/>
    <m/>
    <n v="1"/>
    <m/>
    <m/>
    <m/>
    <m/>
    <m/>
    <m/>
    <m/>
    <m/>
    <m/>
    <m/>
    <m/>
    <n v="1"/>
    <m/>
    <m/>
    <m/>
    <m/>
    <n v="2"/>
    <m/>
    <m/>
    <n v="1"/>
    <n v="8"/>
  </r>
  <r>
    <x v="1"/>
    <x v="0"/>
    <n v="5660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1"/>
    <x v="0"/>
    <n v="5660"/>
    <x v="1"/>
    <x v="3"/>
    <s v="PANTOPRAZOLE SODIUM"/>
    <m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n v="1"/>
    <m/>
    <m/>
    <m/>
    <m/>
    <n v="1"/>
    <m/>
    <m/>
    <m/>
    <n v="1"/>
    <m/>
    <m/>
    <m/>
    <n v="7"/>
  </r>
  <r>
    <x v="1"/>
    <x v="0"/>
    <n v="7752"/>
    <x v="1"/>
    <x v="3"/>
    <s v="PANTOPRAZOLE MAGNES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1502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502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6562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1"/>
    <x v="0"/>
    <n v="3075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650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"/>
    <x v="0"/>
    <n v="6500"/>
    <x v="0"/>
    <x v="3"/>
    <s v="PANTOPRAZOLE SODIUM"/>
    <m/>
    <n v="1"/>
    <m/>
    <m/>
    <m/>
    <m/>
    <n v="1"/>
    <m/>
    <m/>
    <m/>
    <m/>
    <n v="1"/>
    <m/>
    <m/>
    <m/>
    <n v="1"/>
    <m/>
    <m/>
    <m/>
    <n v="1"/>
    <m/>
    <m/>
    <m/>
    <m/>
    <m/>
    <m/>
    <m/>
    <m/>
    <m/>
    <m/>
    <m/>
    <n v="1"/>
    <m/>
    <m/>
    <m/>
    <m/>
    <m/>
    <m/>
    <m/>
    <n v="1"/>
    <m/>
    <m/>
    <m/>
    <m/>
    <m/>
    <m/>
    <n v="7"/>
  </r>
  <r>
    <x v="1"/>
    <x v="0"/>
    <n v="17636"/>
    <x v="0"/>
    <x v="3"/>
    <s v="PANTOPRAZOLE MAGNES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n v="2"/>
  </r>
  <r>
    <x v="1"/>
    <x v="0"/>
    <n v="17636"/>
    <x v="0"/>
    <x v="3"/>
    <s v="PANTOPRAZOLE SOD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20715"/>
    <x v="0"/>
    <x v="3"/>
    <s v="RABEPRAZOLE SODIUM"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1"/>
    <x v="0"/>
    <n v="30458"/>
    <x v="1"/>
    <x v="3"/>
    <s v="OMEPRAZOLE"/>
    <n v="1"/>
    <m/>
    <m/>
    <m/>
    <m/>
    <m/>
    <m/>
    <n v="1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4"/>
  </r>
  <r>
    <x v="1"/>
    <x v="0"/>
    <n v="2945"/>
    <x v="0"/>
    <x v="3"/>
    <s v="RABEPRAZOLE SOD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1"/>
    <m/>
    <m/>
    <m/>
    <m/>
    <n v="4"/>
  </r>
  <r>
    <x v="1"/>
    <x v="0"/>
    <n v="17040"/>
    <x v="0"/>
    <x v="3"/>
    <s v="RABEPRAZOLE SODIUM"/>
    <m/>
    <m/>
    <m/>
    <m/>
    <m/>
    <m/>
    <m/>
    <m/>
    <n v="1"/>
    <m/>
    <m/>
    <m/>
    <m/>
    <m/>
    <m/>
    <m/>
    <m/>
    <m/>
    <m/>
    <n v="3"/>
    <m/>
    <m/>
    <m/>
    <m/>
    <m/>
    <m/>
    <m/>
    <m/>
    <n v="1"/>
    <m/>
    <m/>
    <m/>
    <m/>
    <m/>
    <m/>
    <m/>
    <m/>
    <m/>
    <m/>
    <m/>
    <n v="2"/>
    <m/>
    <m/>
    <m/>
    <m/>
    <m/>
    <n v="7"/>
  </r>
  <r>
    <x v="1"/>
    <x v="0"/>
    <n v="844"/>
    <x v="0"/>
    <x v="3"/>
    <s v="PANTOPRAZOLE MAGNESIUM"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"/>
    <x v="0"/>
    <n v="844"/>
    <x v="0"/>
    <x v="3"/>
    <s v="PANTOPRAZOLE SODIUM"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"/>
    <x v="0"/>
    <n v="1170"/>
    <x v="0"/>
    <x v="3"/>
    <s v="OMEPRAZOLE MAGNES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1001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6882"/>
    <x v="0"/>
    <x v="3"/>
    <s v="ESOMEPRAZOLE MAGNES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</r>
  <r>
    <x v="1"/>
    <x v="0"/>
    <n v="18084"/>
    <x v="0"/>
    <x v="3"/>
    <s v="OMEPRAZOLE MAGNESIUM"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1"/>
    <m/>
    <m/>
    <m/>
    <m/>
    <n v="1"/>
    <m/>
    <m/>
    <m/>
    <m/>
    <m/>
    <n v="5"/>
  </r>
  <r>
    <x v="1"/>
    <x v="0"/>
    <n v="629"/>
    <x v="0"/>
    <x v="0"/>
    <s v="SIMVASTATIN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901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901"/>
    <x v="0"/>
    <x v="0"/>
    <s v="SIMVASTATIN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2"/>
  </r>
  <r>
    <x v="1"/>
    <x v="0"/>
    <n v="4950"/>
    <x v="0"/>
    <x v="0"/>
    <s v="SIMVASTATIN"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1"/>
    <x v="0"/>
    <n v="8296"/>
    <x v="0"/>
    <x v="0"/>
    <s v="ATORVASTATIN CALC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1"/>
    <x v="0"/>
    <n v="9077"/>
    <x v="0"/>
    <x v="0"/>
    <s v="PRAVASTATIN SODIUM"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m/>
    <n v="1"/>
    <n v="1"/>
    <m/>
    <m/>
    <n v="1"/>
    <n v="23"/>
  </r>
  <r>
    <x v="1"/>
    <x v="0"/>
    <n v="20822"/>
    <x v="0"/>
    <x v="0"/>
    <s v="SIMVASTATIN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</r>
  <r>
    <x v="1"/>
    <x v="0"/>
    <n v="21553"/>
    <x v="0"/>
    <x v="0"/>
    <s v="ATORVASTATIN CALCIUM"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4"/>
  </r>
  <r>
    <x v="1"/>
    <x v="0"/>
    <n v="25113"/>
    <x v="0"/>
    <x v="0"/>
    <s v="SIMVASTATIN"/>
    <m/>
    <m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"/>
    <x v="0"/>
    <n v="32414"/>
    <x v="0"/>
    <x v="0"/>
    <s v="SIMVASTATIN"/>
    <m/>
    <m/>
    <m/>
    <m/>
    <m/>
    <m/>
    <m/>
    <m/>
    <m/>
    <m/>
    <m/>
    <n v="1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4"/>
  </r>
  <r>
    <x v="1"/>
    <x v="0"/>
    <n v="30652"/>
    <x v="1"/>
    <x v="0"/>
    <s v="ATORVASTATIN CALCIUM"/>
    <m/>
    <m/>
    <n v="4"/>
    <n v="2"/>
    <m/>
    <m/>
    <m/>
    <m/>
    <m/>
    <m/>
    <m/>
    <m/>
    <m/>
    <m/>
    <m/>
    <m/>
    <n v="2"/>
    <m/>
    <n v="1"/>
    <m/>
    <m/>
    <m/>
    <m/>
    <m/>
    <m/>
    <m/>
    <m/>
    <m/>
    <m/>
    <m/>
    <m/>
    <n v="2"/>
    <m/>
    <m/>
    <m/>
    <m/>
    <m/>
    <m/>
    <m/>
    <m/>
    <m/>
    <m/>
    <m/>
    <m/>
    <m/>
    <m/>
    <n v="11"/>
  </r>
  <r>
    <x v="1"/>
    <x v="0"/>
    <n v="32816"/>
    <x v="1"/>
    <x v="0"/>
    <s v="SIMVASTATIN"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4"/>
  </r>
  <r>
    <x v="1"/>
    <x v="0"/>
    <n v="564"/>
    <x v="0"/>
    <x v="8"/>
    <s v="FENOFIBRATE, MICRONIZED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m/>
    <m/>
    <n v="4"/>
  </r>
  <r>
    <x v="1"/>
    <x v="0"/>
    <n v="2945"/>
    <x v="0"/>
    <x v="0"/>
    <s v="SIMVASTATIN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1"/>
    <m/>
    <m/>
    <m/>
    <m/>
    <n v="4"/>
  </r>
  <r>
    <x v="1"/>
    <x v="0"/>
    <n v="6720"/>
    <x v="0"/>
    <x v="0"/>
    <s v="SIMVASTATIN"/>
    <n v="1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n v="5"/>
  </r>
  <r>
    <x v="1"/>
    <x v="0"/>
    <n v="6754"/>
    <x v="0"/>
    <x v="0"/>
    <s v="ATORVASTATIN CALC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"/>
    <x v="0"/>
    <n v="7023"/>
    <x v="0"/>
    <x v="0"/>
    <s v="FLUVASTATIN SODIUM"/>
    <m/>
    <m/>
    <n v="1"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5"/>
  </r>
  <r>
    <x v="1"/>
    <x v="0"/>
    <n v="10835"/>
    <x v="0"/>
    <x v="0"/>
    <s v="SIMVASTATIN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3"/>
  </r>
  <r>
    <x v="1"/>
    <x v="0"/>
    <n v="13333"/>
    <x v="0"/>
    <x v="0"/>
    <s v="ATOR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1"/>
    <x v="0"/>
    <n v="19934"/>
    <x v="0"/>
    <x v="0"/>
    <s v="SIMVASTATIN"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1"/>
    <x v="0"/>
    <n v="56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5025"/>
    <x v="1"/>
    <x v="0"/>
    <s v="ATORVASTATIN CALCIUM"/>
    <m/>
    <m/>
    <m/>
    <n v="2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</r>
  <r>
    <x v="2"/>
    <x v="0"/>
    <n v="2289"/>
    <x v="0"/>
    <x v="0"/>
    <s v="SIMVASTATIN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2"/>
    <x v="0"/>
    <n v="3221"/>
    <x v="0"/>
    <x v="0"/>
    <s v="ROSUVASTATIN CALCIUM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2"/>
    <x v="0"/>
    <n v="5088"/>
    <x v="0"/>
    <x v="3"/>
    <s v="RABEPRAZOLE SOD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n v="4"/>
  </r>
  <r>
    <x v="2"/>
    <x v="0"/>
    <n v="5624"/>
    <x v="0"/>
    <x v="3"/>
    <s v="OMEPRAZOLE"/>
    <m/>
    <m/>
    <m/>
    <m/>
    <n v="2"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2"/>
    <x v="0"/>
    <n v="6116"/>
    <x v="0"/>
    <x v="0"/>
    <s v="ATORVASTATIN CALCIUM"/>
    <m/>
    <m/>
    <m/>
    <m/>
    <m/>
    <m/>
    <m/>
    <m/>
    <n v="1"/>
    <m/>
    <m/>
    <m/>
    <n v="1"/>
    <m/>
    <m/>
    <m/>
    <m/>
    <n v="1"/>
    <m/>
    <m/>
    <m/>
    <m/>
    <n v="1"/>
    <m/>
    <m/>
    <m/>
    <m/>
    <m/>
    <m/>
    <m/>
    <m/>
    <m/>
    <n v="3"/>
    <m/>
    <m/>
    <m/>
    <n v="1"/>
    <m/>
    <m/>
    <m/>
    <n v="1"/>
    <m/>
    <m/>
    <n v="1"/>
    <n v="1"/>
    <m/>
    <n v="11"/>
  </r>
  <r>
    <x v="2"/>
    <x v="0"/>
    <n v="6401"/>
    <x v="0"/>
    <x v="0"/>
    <s v="ATORVASTATIN CALCIUM"/>
    <m/>
    <n v="2"/>
    <m/>
    <m/>
    <m/>
    <n v="1"/>
    <m/>
    <m/>
    <m/>
    <n v="2"/>
    <m/>
    <m/>
    <m/>
    <n v="1"/>
    <m/>
    <m/>
    <m/>
    <n v="1"/>
    <m/>
    <m/>
    <m/>
    <n v="1"/>
    <m/>
    <m/>
    <m/>
    <n v="2"/>
    <m/>
    <m/>
    <m/>
    <n v="2"/>
    <m/>
    <m/>
    <m/>
    <n v="1"/>
    <m/>
    <m/>
    <m/>
    <n v="1"/>
    <m/>
    <m/>
    <m/>
    <m/>
    <m/>
    <m/>
    <m/>
    <m/>
    <n v="14"/>
  </r>
  <r>
    <x v="2"/>
    <x v="0"/>
    <n v="6401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640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6401"/>
    <x v="0"/>
    <x v="3"/>
    <s v="RABEPRAZOLE SODIUM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</r>
  <r>
    <x v="2"/>
    <x v="0"/>
    <n v="7297"/>
    <x v="0"/>
    <x v="3"/>
    <s v="RABEPRAZOLE SODIUM"/>
    <n v="1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4"/>
  </r>
  <r>
    <x v="2"/>
    <x v="0"/>
    <n v="7833"/>
    <x v="0"/>
    <x v="3"/>
    <s v="PANTOPRAZOLE SODIUM"/>
    <m/>
    <n v="1"/>
    <m/>
    <m/>
    <m/>
    <m/>
    <m/>
    <m/>
    <m/>
    <m/>
    <m/>
    <m/>
    <m/>
    <m/>
    <m/>
    <n v="1"/>
    <m/>
    <m/>
    <m/>
    <m/>
    <m/>
    <m/>
    <m/>
    <m/>
    <n v="1"/>
    <m/>
    <m/>
    <m/>
    <n v="1"/>
    <m/>
    <m/>
    <m/>
    <m/>
    <m/>
    <m/>
    <m/>
    <m/>
    <m/>
    <m/>
    <m/>
    <m/>
    <n v="1"/>
    <m/>
    <m/>
    <m/>
    <m/>
    <n v="5"/>
  </r>
  <r>
    <x v="2"/>
    <x v="0"/>
    <n v="7894"/>
    <x v="0"/>
    <x v="0"/>
    <s v="ATORVASTATIN CALCIUM"/>
    <m/>
    <m/>
    <n v="2"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5"/>
  </r>
  <r>
    <x v="2"/>
    <x v="0"/>
    <n v="10071"/>
    <x v="0"/>
    <x v="0"/>
    <s v="ATORVASTATIN CALCIUM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n v="4"/>
  </r>
  <r>
    <x v="2"/>
    <x v="0"/>
    <n v="11014"/>
    <x v="0"/>
    <x v="0"/>
    <s v="ROSUVASTATIN CALCIUM"/>
    <m/>
    <n v="1"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5"/>
  </r>
  <r>
    <x v="2"/>
    <x v="0"/>
    <n v="13745"/>
    <x v="0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14181"/>
    <x v="0"/>
    <x v="0"/>
    <s v="ROSUVASTATIN CALCIUM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2"/>
    <x v="0"/>
    <n v="14290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</r>
  <r>
    <x v="2"/>
    <x v="0"/>
    <n v="1429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2"/>
    <x v="0"/>
    <n v="16030"/>
    <x v="0"/>
    <x v="3"/>
    <s v="PANTOPRAZOLE MAGNESIUM"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17630"/>
    <x v="0"/>
    <x v="0"/>
    <s v="ATORVASTATIN CALCIUM"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2"/>
    <x v="0"/>
    <n v="17630"/>
    <x v="0"/>
    <x v="3"/>
    <s v="OMEPRAZOLE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2"/>
    <x v="0"/>
    <n v="17630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2"/>
    <x v="0"/>
    <n v="19937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2"/>
    <x v="0"/>
    <n v="20039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2"/>
    <x v="0"/>
    <n v="2011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0937"/>
    <x v="0"/>
    <x v="3"/>
    <s v="RABEPRAZOLE SODIUM"/>
    <m/>
    <m/>
    <m/>
    <m/>
    <n v="2"/>
    <m/>
    <m/>
    <m/>
    <m/>
    <m/>
    <m/>
    <m/>
    <m/>
    <m/>
    <m/>
    <n v="1"/>
    <m/>
    <m/>
    <m/>
    <m/>
    <m/>
    <m/>
    <m/>
    <n v="1"/>
    <m/>
    <m/>
    <m/>
    <m/>
    <m/>
    <m/>
    <m/>
    <m/>
    <m/>
    <n v="1"/>
    <m/>
    <m/>
    <m/>
    <m/>
    <m/>
    <m/>
    <m/>
    <m/>
    <n v="2"/>
    <m/>
    <m/>
    <m/>
    <n v="7"/>
  </r>
  <r>
    <x v="2"/>
    <x v="0"/>
    <n v="22643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</r>
  <r>
    <x v="2"/>
    <x v="0"/>
    <n v="23470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465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1"/>
    <m/>
    <m/>
    <m/>
    <m/>
    <n v="3"/>
  </r>
  <r>
    <x v="2"/>
    <x v="0"/>
    <n v="2488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n v="1"/>
    <m/>
    <n v="3"/>
  </r>
  <r>
    <x v="2"/>
    <x v="0"/>
    <n v="24887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n v="2"/>
  </r>
  <r>
    <x v="2"/>
    <x v="0"/>
    <n v="2497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2"/>
    <x v="0"/>
    <n v="25026"/>
    <x v="0"/>
    <x v="3"/>
    <s v="PANTO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3"/>
  </r>
  <r>
    <x v="2"/>
    <x v="0"/>
    <n v="25122"/>
    <x v="0"/>
    <x v="3"/>
    <s v="OMEPRAZOLE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5156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318"/>
    <x v="0"/>
    <x v="3"/>
    <s v="OMEPRAZOLE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5436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</r>
  <r>
    <x v="2"/>
    <x v="0"/>
    <n v="25449"/>
    <x v="0"/>
    <x v="3"/>
    <s v="OMEPRAZOLE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5708"/>
    <x v="0"/>
    <x v="3"/>
    <s v="PANTOPRAZOLE SODIUM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26039"/>
    <x v="0"/>
    <x v="3"/>
    <s v="OMEPRAZOLE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2"/>
    <x v="0"/>
    <n v="26374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2"/>
    <x v="0"/>
    <n v="26468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6770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7063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2"/>
    <x v="0"/>
    <n v="27126"/>
    <x v="0"/>
    <x v="2"/>
    <s v="MISOPROSTOL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2"/>
    <x v="0"/>
    <n v="2737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9100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2"/>
    <x v="0"/>
    <n v="2922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5"/>
  </r>
  <r>
    <x v="2"/>
    <x v="0"/>
    <n v="2938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9503"/>
    <x v="0"/>
    <x v="3"/>
    <s v="ESOMEPRAZOLE MAGNESIUM"/>
    <m/>
    <n v="2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4"/>
    <m/>
    <m/>
    <m/>
    <m/>
    <n v="7"/>
  </r>
  <r>
    <x v="2"/>
    <x v="0"/>
    <n v="29911"/>
    <x v="0"/>
    <x v="2"/>
    <s v="MISOPROSTOL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2"/>
    <x v="0"/>
    <n v="3026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"/>
  </r>
  <r>
    <x v="2"/>
    <x v="0"/>
    <n v="30396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</r>
  <r>
    <x v="2"/>
    <x v="0"/>
    <n v="30481"/>
    <x v="0"/>
    <x v="0"/>
    <s v="ATORVASTATIN CALCIUM"/>
    <m/>
    <m/>
    <m/>
    <n v="1"/>
    <m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n v="1"/>
    <n v="5"/>
  </r>
  <r>
    <x v="2"/>
    <x v="0"/>
    <n v="30920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1443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</r>
  <r>
    <x v="2"/>
    <x v="0"/>
    <n v="31648"/>
    <x v="0"/>
    <x v="3"/>
    <s v="RABEPRAZOLE SODIUM"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</r>
  <r>
    <x v="2"/>
    <x v="0"/>
    <n v="33857"/>
    <x v="0"/>
    <x v="0"/>
    <s v="ROSUVASTATIN CALCIUM"/>
    <n v="1"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n v="1"/>
    <m/>
    <m/>
    <m/>
    <m/>
    <m/>
    <m/>
    <m/>
    <m/>
    <m/>
    <m/>
    <m/>
    <m/>
    <m/>
    <n v="1"/>
    <n v="5"/>
  </r>
  <r>
    <x v="2"/>
    <x v="0"/>
    <n v="881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2"/>
    <x v="0"/>
    <n v="1767"/>
    <x v="1"/>
    <x v="0"/>
    <s v="ATOR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3"/>
    <m/>
    <m/>
    <m/>
    <m/>
    <m/>
    <m/>
    <m/>
    <m/>
    <n v="7"/>
  </r>
  <r>
    <x v="2"/>
    <x v="0"/>
    <n v="6866"/>
    <x v="1"/>
    <x v="0"/>
    <s v="ATORVASTATIN CALCIUM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n v="4"/>
  </r>
  <r>
    <x v="2"/>
    <x v="0"/>
    <n v="7019"/>
    <x v="1"/>
    <x v="3"/>
    <s v="RABEPRAZOLE SODIUM"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n v="1"/>
    <m/>
    <m/>
    <m/>
    <m/>
    <m/>
    <m/>
    <n v="1"/>
    <m/>
    <m/>
    <m/>
    <n v="1"/>
    <m/>
    <m/>
    <m/>
    <m/>
    <n v="5"/>
  </r>
  <r>
    <x v="2"/>
    <x v="0"/>
    <n v="7832"/>
    <x v="1"/>
    <x v="0"/>
    <s v="SIMVASTATIN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10008"/>
    <x v="1"/>
    <x v="0"/>
    <s v="ROSUVASTATIN CALCIUM"/>
    <m/>
    <n v="1"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n v="5"/>
  </r>
  <r>
    <x v="2"/>
    <x v="0"/>
    <n v="11414"/>
    <x v="1"/>
    <x v="0"/>
    <s v="SIMVASTATIN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3"/>
  </r>
  <r>
    <x v="2"/>
    <x v="0"/>
    <n v="1572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2"/>
    <x v="0"/>
    <n v="19000"/>
    <x v="1"/>
    <x v="3"/>
    <s v="RABEPRAZOLE SODIUM"/>
    <n v="1"/>
    <n v="1"/>
    <n v="1"/>
    <n v="1"/>
    <n v="1"/>
    <n v="1"/>
    <n v="1"/>
    <n v="1"/>
    <n v="1"/>
    <n v="1"/>
    <n v="1"/>
    <n v="1"/>
    <n v="1"/>
    <n v="1"/>
    <n v="2"/>
    <m/>
    <n v="1"/>
    <n v="1"/>
    <n v="1"/>
    <n v="2"/>
    <m/>
    <n v="1"/>
    <n v="1"/>
    <n v="1"/>
    <n v="2"/>
    <m/>
    <n v="1"/>
    <n v="1"/>
    <n v="1"/>
    <n v="3"/>
    <m/>
    <n v="1"/>
    <n v="1"/>
    <n v="1"/>
    <n v="1"/>
    <n v="1"/>
    <n v="1"/>
    <n v="1"/>
    <n v="1"/>
    <n v="1"/>
    <n v="1"/>
    <n v="1"/>
    <n v="1"/>
    <n v="1"/>
    <n v="1"/>
    <n v="1"/>
    <n v="47"/>
  </r>
  <r>
    <x v="2"/>
    <x v="0"/>
    <n v="20121"/>
    <x v="1"/>
    <x v="0"/>
    <s v="AMLODIPINE/ATORVASTATIN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3"/>
  </r>
  <r>
    <x v="2"/>
    <x v="0"/>
    <n v="20121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0121"/>
    <x v="1"/>
    <x v="0"/>
    <s v="SIMVASTATIN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2"/>
    <x v="0"/>
    <n v="24627"/>
    <x v="1"/>
    <x v="6"/>
    <s v="EZETIMIBE"/>
    <m/>
    <m/>
    <n v="2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2"/>
    <x v="0"/>
    <n v="24814"/>
    <x v="1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2"/>
    <x v="0"/>
    <n v="24829"/>
    <x v="1"/>
    <x v="0"/>
    <s v="ATORVASTATIN CALC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4829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024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02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2"/>
    <x v="0"/>
    <n v="25319"/>
    <x v="1"/>
    <x v="1"/>
    <s v="RANITIDINE HCL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5435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7158"/>
    <x v="1"/>
    <x v="3"/>
    <s v="OMEPRAZOLE MAGNESIUM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2"/>
    <x v="0"/>
    <n v="27335"/>
    <x v="1"/>
    <x v="0"/>
    <s v="ATOR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2"/>
    <x v="0"/>
    <n v="2775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802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8359"/>
    <x v="1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3037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</r>
  <r>
    <x v="2"/>
    <x v="0"/>
    <n v="33483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2"/>
  </r>
  <r>
    <x v="2"/>
    <x v="0"/>
    <n v="1415"/>
    <x v="0"/>
    <x v="3"/>
    <s v="OMEPRAZOLE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n v="1"/>
    <m/>
    <m/>
    <m/>
    <m/>
    <m/>
    <m/>
    <n v="4"/>
  </r>
  <r>
    <x v="2"/>
    <x v="0"/>
    <n v="1415"/>
    <x v="0"/>
    <x v="3"/>
    <s v="OMEPRAZOLE MAGNESIUM"/>
    <m/>
    <m/>
    <m/>
    <m/>
    <m/>
    <m/>
    <m/>
    <m/>
    <m/>
    <m/>
    <m/>
    <m/>
    <n v="1"/>
    <m/>
    <m/>
    <m/>
    <m/>
    <m/>
    <m/>
    <n v="1"/>
    <m/>
    <n v="1"/>
    <m/>
    <m/>
    <m/>
    <m/>
    <m/>
    <m/>
    <m/>
    <m/>
    <m/>
    <m/>
    <m/>
    <m/>
    <n v="1"/>
    <m/>
    <m/>
    <m/>
    <m/>
    <n v="1"/>
    <m/>
    <m/>
    <m/>
    <m/>
    <m/>
    <m/>
    <n v="5"/>
  </r>
  <r>
    <x v="2"/>
    <x v="0"/>
    <n v="1617"/>
    <x v="0"/>
    <x v="3"/>
    <s v="OMEPRAZOLE"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n v="1"/>
    <m/>
    <m/>
    <m/>
    <m/>
    <m/>
    <m/>
    <m/>
    <n v="4"/>
    <m/>
    <m/>
    <m/>
    <m/>
    <n v="3"/>
    <m/>
    <m/>
    <m/>
    <n v="10"/>
  </r>
  <r>
    <x v="2"/>
    <x v="0"/>
    <n v="2338"/>
    <x v="0"/>
    <x v="3"/>
    <s v="OMEPRAZOLE MAGNES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2"/>
    <x v="0"/>
    <n v="3087"/>
    <x v="0"/>
    <x v="3"/>
    <s v="LANSOPRAZOLE"/>
    <n v="2"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n v="14"/>
  </r>
  <r>
    <x v="2"/>
    <x v="0"/>
    <n v="3228"/>
    <x v="0"/>
    <x v="3"/>
    <s v="PANTOPRAZOLE MAGNES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3228"/>
    <x v="0"/>
    <x v="3"/>
    <s v="PANTOPRAZOLE SOD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2"/>
    <x v="0"/>
    <n v="3233"/>
    <x v="0"/>
    <x v="3"/>
    <s v="RABEPRAZOLE SODIUM"/>
    <m/>
    <n v="2"/>
    <m/>
    <m/>
    <m/>
    <n v="1"/>
    <m/>
    <m/>
    <m/>
    <n v="1"/>
    <m/>
    <m/>
    <m/>
    <n v="1"/>
    <m/>
    <m/>
    <m/>
    <n v="2"/>
    <m/>
    <m/>
    <m/>
    <n v="1"/>
    <m/>
    <m/>
    <m/>
    <n v="1"/>
    <m/>
    <m/>
    <m/>
    <n v="1"/>
    <m/>
    <m/>
    <m/>
    <n v="1"/>
    <m/>
    <m/>
    <m/>
    <n v="1"/>
    <m/>
    <m/>
    <m/>
    <n v="1"/>
    <n v="2"/>
    <m/>
    <m/>
    <n v="1"/>
    <n v="16"/>
  </r>
  <r>
    <x v="2"/>
    <x v="0"/>
    <n v="3344"/>
    <x v="0"/>
    <x v="3"/>
    <s v="RABEPRAZOLE SODIUM"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</r>
  <r>
    <x v="2"/>
    <x v="0"/>
    <n v="443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2"/>
    <x v="0"/>
    <n v="443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n v="2"/>
  </r>
  <r>
    <x v="2"/>
    <x v="0"/>
    <n v="4486"/>
    <x v="0"/>
    <x v="0"/>
    <s v="ATOR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n v="4"/>
  </r>
  <r>
    <x v="2"/>
    <x v="0"/>
    <n v="4486"/>
    <x v="0"/>
    <x v="3"/>
    <s v="OMEPRAZOLE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n v="4"/>
  </r>
  <r>
    <x v="2"/>
    <x v="0"/>
    <n v="4589"/>
    <x v="0"/>
    <x v="3"/>
    <s v="OMEPRAZOLE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4589"/>
    <x v="0"/>
    <x v="3"/>
    <s v="OMEPRAZOLE MAGNESIUM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5760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6865"/>
    <x v="0"/>
    <x v="3"/>
    <s v="LANSOPRAZOLE"/>
    <m/>
    <m/>
    <m/>
    <m/>
    <m/>
    <m/>
    <m/>
    <m/>
    <m/>
    <n v="1"/>
    <m/>
    <m/>
    <m/>
    <m/>
    <m/>
    <m/>
    <m/>
    <m/>
    <m/>
    <m/>
    <n v="1"/>
    <m/>
    <m/>
    <n v="1"/>
    <m/>
    <m/>
    <m/>
    <m/>
    <m/>
    <m/>
    <m/>
    <m/>
    <m/>
    <m/>
    <m/>
    <m/>
    <m/>
    <n v="1"/>
    <m/>
    <m/>
    <m/>
    <m/>
    <n v="1"/>
    <m/>
    <m/>
    <m/>
    <n v="5"/>
  </r>
  <r>
    <x v="2"/>
    <x v="0"/>
    <n v="776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9121"/>
    <x v="0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10288"/>
    <x v="0"/>
    <x v="0"/>
    <s v="ATORVASTATIN CALCIUM"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10921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2"/>
    <x v="0"/>
    <n v="1102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2"/>
    <x v="0"/>
    <n v="11625"/>
    <x v="0"/>
    <x v="3"/>
    <s v="OMEPRAZOLE"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5"/>
  </r>
  <r>
    <x v="2"/>
    <x v="0"/>
    <n v="13423"/>
    <x v="0"/>
    <x v="3"/>
    <s v="OMEPRAZOLE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13423"/>
    <x v="0"/>
    <x v="3"/>
    <s v="OMEPRAZOLE MAGNES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16040"/>
    <x v="0"/>
    <x v="3"/>
    <s v="LANSOPRAZOLE"/>
    <m/>
    <m/>
    <m/>
    <m/>
    <n v="1"/>
    <m/>
    <m/>
    <m/>
    <n v="1"/>
    <m/>
    <n v="1"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5"/>
  </r>
  <r>
    <x v="2"/>
    <x v="0"/>
    <n v="16174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2"/>
    <x v="0"/>
    <n v="16174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479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2"/>
    <x v="0"/>
    <n v="24831"/>
    <x v="0"/>
    <x v="1"/>
    <s v="RANITIDINE HCL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5139"/>
    <x v="0"/>
    <x v="3"/>
    <s v="OME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9534"/>
    <x v="0"/>
    <x v="3"/>
    <s v="OMEPRAZOLE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9568"/>
    <x v="0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998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2"/>
    <x v="0"/>
    <n v="30185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2"/>
    <x v="0"/>
    <n v="31828"/>
    <x v="0"/>
    <x v="3"/>
    <s v="PANTOPRAZOLE SODIUM"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4"/>
  </r>
  <r>
    <x v="2"/>
    <x v="0"/>
    <n v="845"/>
    <x v="1"/>
    <x v="3"/>
    <s v="RABEPRAZOLE SODIUM"/>
    <n v="1"/>
    <m/>
    <m/>
    <n v="1"/>
    <m/>
    <m/>
    <m/>
    <n v="1"/>
    <m/>
    <m/>
    <m/>
    <n v="1"/>
    <m/>
    <m/>
    <n v="1"/>
    <m/>
    <m/>
    <n v="1"/>
    <m/>
    <m/>
    <n v="1"/>
    <m/>
    <m/>
    <m/>
    <n v="1"/>
    <m/>
    <m/>
    <n v="1"/>
    <m/>
    <m/>
    <m/>
    <n v="1"/>
    <n v="4"/>
    <m/>
    <m/>
    <n v="1"/>
    <m/>
    <m/>
    <m/>
    <m/>
    <m/>
    <n v="1"/>
    <m/>
    <m/>
    <m/>
    <m/>
    <n v="16"/>
  </r>
  <r>
    <x v="2"/>
    <x v="0"/>
    <n v="4424"/>
    <x v="1"/>
    <x v="3"/>
    <s v="PANTO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5463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n v="1"/>
    <m/>
    <m/>
    <m/>
    <m/>
    <m/>
    <m/>
    <m/>
    <m/>
    <n v="3"/>
  </r>
  <r>
    <x v="2"/>
    <x v="0"/>
    <n v="7893"/>
    <x v="1"/>
    <x v="0"/>
    <s v="PRAVASTATIN SODIUM"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5"/>
  </r>
  <r>
    <x v="2"/>
    <x v="0"/>
    <n v="8898"/>
    <x v="1"/>
    <x v="3"/>
    <s v="LANSOPRAZOLE"/>
    <n v="1"/>
    <m/>
    <m/>
    <n v="1"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n v="1"/>
    <m/>
    <m/>
    <m/>
    <m/>
    <m/>
    <m/>
    <m/>
    <m/>
    <n v="5"/>
  </r>
  <r>
    <x v="2"/>
    <x v="0"/>
    <n v="11214"/>
    <x v="1"/>
    <x v="0"/>
    <s v="ATORVASTATIN CALCIUM"/>
    <m/>
    <m/>
    <n v="3"/>
    <m/>
    <m/>
    <m/>
    <m/>
    <m/>
    <m/>
    <m/>
    <m/>
    <m/>
    <m/>
    <m/>
    <m/>
    <n v="1"/>
    <m/>
    <m/>
    <m/>
    <m/>
    <m/>
    <m/>
    <n v="1"/>
    <m/>
    <m/>
    <m/>
    <m/>
    <m/>
    <m/>
    <n v="1"/>
    <m/>
    <m/>
    <m/>
    <m/>
    <n v="1"/>
    <m/>
    <m/>
    <m/>
    <m/>
    <m/>
    <m/>
    <m/>
    <m/>
    <m/>
    <m/>
    <m/>
    <n v="7"/>
  </r>
  <r>
    <x v="2"/>
    <x v="0"/>
    <n v="12044"/>
    <x v="1"/>
    <x v="3"/>
    <s v="PANTOPRAZOLE SOD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2"/>
    <x v="0"/>
    <n v="14175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2"/>
    <x v="0"/>
    <n v="16141"/>
    <x v="1"/>
    <x v="3"/>
    <s v="LANSOPRAZOLE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1"/>
    <m/>
    <n v="1"/>
    <m/>
    <m/>
    <m/>
    <m/>
    <m/>
    <m/>
    <m/>
    <m/>
    <n v="4"/>
  </r>
  <r>
    <x v="2"/>
    <x v="0"/>
    <n v="18938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2"/>
    <x v="0"/>
    <n v="20257"/>
    <x v="1"/>
    <x v="3"/>
    <s v="OMEPRAZOLE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0315"/>
    <x v="1"/>
    <x v="3"/>
    <s v="RABEPRAZOLE SODIUM"/>
    <m/>
    <m/>
    <m/>
    <m/>
    <m/>
    <m/>
    <m/>
    <m/>
    <m/>
    <n v="2"/>
    <m/>
    <m/>
    <m/>
    <n v="1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5"/>
  </r>
  <r>
    <x v="2"/>
    <x v="0"/>
    <n v="21745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966"/>
    <x v="1"/>
    <x v="3"/>
    <s v="OMEPRAZOLE"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n v="1"/>
    <m/>
    <n v="7"/>
  </r>
  <r>
    <x v="2"/>
    <x v="0"/>
    <n v="26358"/>
    <x v="1"/>
    <x v="3"/>
    <s v="ESOMEPRAZOLE MAGNESIUM"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2"/>
    <x v="0"/>
    <n v="26358"/>
    <x v="1"/>
    <x v="3"/>
    <s v="OMEPRAZOLE"/>
    <m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</r>
  <r>
    <x v="2"/>
    <x v="0"/>
    <n v="2670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7297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n v="1"/>
    <m/>
    <m/>
    <m/>
    <m/>
    <n v="3"/>
  </r>
  <r>
    <x v="2"/>
    <x v="0"/>
    <n v="2755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2"/>
    <x v="0"/>
    <n v="9600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2"/>
    <x v="0"/>
    <n v="235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2"/>
    <x v="0"/>
    <n v="9313"/>
    <x v="0"/>
    <x v="1"/>
    <s v="RANITIDINE HCL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2"/>
    <x v="0"/>
    <n v="9313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9964"/>
    <x v="0"/>
    <x v="3"/>
    <s v="PANTOPRAZOLE MAGNESIUM"/>
    <m/>
    <m/>
    <m/>
    <n v="1"/>
    <m/>
    <m/>
    <m/>
    <m/>
    <m/>
    <m/>
    <n v="1"/>
    <m/>
    <m/>
    <m/>
    <m/>
    <m/>
    <m/>
    <n v="1"/>
    <m/>
    <m/>
    <m/>
    <n v="1"/>
    <m/>
    <m/>
    <m/>
    <n v="1"/>
    <m/>
    <m/>
    <m/>
    <m/>
    <n v="1"/>
    <m/>
    <m/>
    <m/>
    <m/>
    <n v="1"/>
    <m/>
    <m/>
    <m/>
    <n v="1"/>
    <m/>
    <m/>
    <m/>
    <m/>
    <n v="1"/>
    <m/>
    <n v="9"/>
  </r>
  <r>
    <x v="2"/>
    <x v="0"/>
    <n v="12999"/>
    <x v="0"/>
    <x v="3"/>
    <s v="OMEPRAZOLE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2"/>
    <x v="0"/>
    <n v="15818"/>
    <x v="0"/>
    <x v="3"/>
    <s v="OMEPRAZOLE MAGNES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1"/>
    <m/>
    <m/>
    <m/>
    <n v="2"/>
    <m/>
    <m/>
    <m/>
    <m/>
    <m/>
    <m/>
    <m/>
    <m/>
    <m/>
    <m/>
    <n v="5"/>
  </r>
  <r>
    <x v="2"/>
    <x v="0"/>
    <n v="31745"/>
    <x v="0"/>
    <x v="3"/>
    <s v="OMEPRAZOLE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2"/>
    <x v="0"/>
    <n v="3174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948"/>
    <x v="1"/>
    <x v="3"/>
    <s v="OMEPRAZOLE MAGNESIUM"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2"/>
    <x v="0"/>
    <n v="11014"/>
    <x v="0"/>
    <x v="3"/>
    <s v="RABEPRAZOLE SODIUM"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</r>
  <r>
    <x v="2"/>
    <x v="0"/>
    <n v="3334"/>
    <x v="1"/>
    <x v="3"/>
    <s v="RABEPRAZOLE SODIUM"/>
    <n v="1"/>
    <n v="1"/>
    <n v="1"/>
    <n v="1"/>
    <m/>
    <n v="2"/>
    <n v="1"/>
    <n v="1"/>
    <n v="1"/>
    <n v="1"/>
    <n v="1"/>
    <n v="1"/>
    <n v="1"/>
    <n v="1"/>
    <n v="1"/>
    <n v="1"/>
    <m/>
    <n v="3"/>
    <n v="1"/>
    <n v="1"/>
    <n v="1"/>
    <m/>
    <n v="1"/>
    <n v="3"/>
    <m/>
    <n v="2"/>
    <n v="1"/>
    <n v="1"/>
    <m/>
    <n v="3"/>
    <n v="1"/>
    <n v="1"/>
    <n v="1"/>
    <n v="1"/>
    <n v="1"/>
    <n v="1"/>
    <n v="1"/>
    <n v="1"/>
    <n v="1"/>
    <n v="1"/>
    <n v="1"/>
    <n v="1"/>
    <n v="2"/>
    <n v="1"/>
    <n v="1"/>
    <n v="1"/>
    <n v="50"/>
  </r>
  <r>
    <x v="2"/>
    <x v="0"/>
    <n v="10288"/>
    <x v="0"/>
    <x v="3"/>
    <s v="PANTOPRAZOLE SODIUM"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11459"/>
    <x v="0"/>
    <x v="3"/>
    <s v="RABEPRAZOLE SODIUM"/>
    <m/>
    <m/>
    <m/>
    <m/>
    <m/>
    <m/>
    <m/>
    <m/>
    <n v="1"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4"/>
  </r>
  <r>
    <x v="2"/>
    <x v="0"/>
    <n v="9724"/>
    <x v="1"/>
    <x v="3"/>
    <s v="PANTOPRAZOLE SODIUM"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6810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</r>
  <r>
    <x v="2"/>
    <x v="0"/>
    <n v="7366"/>
    <x v="0"/>
    <x v="0"/>
    <s v="ATOR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3"/>
  </r>
  <r>
    <x v="2"/>
    <x v="0"/>
    <n v="7527"/>
    <x v="0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n v="1"/>
    <m/>
    <n v="3"/>
  </r>
  <r>
    <x v="2"/>
    <x v="0"/>
    <n v="7833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3"/>
  </r>
  <r>
    <x v="2"/>
    <x v="0"/>
    <n v="7896"/>
    <x v="0"/>
    <x v="0"/>
    <s v="ATORVASTATIN CALCIUM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3"/>
  </r>
  <r>
    <x v="2"/>
    <x v="0"/>
    <n v="9600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2"/>
    <x v="0"/>
    <n v="10576"/>
    <x v="0"/>
    <x v="0"/>
    <s v="ATORVASTATIN CALCIUM"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3"/>
  </r>
  <r>
    <x v="2"/>
    <x v="0"/>
    <n v="10636"/>
    <x v="0"/>
    <x v="0"/>
    <s v="LOVASTATIN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2"/>
    <x v="0"/>
    <n v="10867"/>
    <x v="0"/>
    <x v="6"/>
    <s v="EZETIMIBE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2"/>
    <x v="0"/>
    <n v="10891"/>
    <x v="0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n v="3"/>
  </r>
  <r>
    <x v="2"/>
    <x v="0"/>
    <n v="11965"/>
    <x v="0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n v="3"/>
  </r>
  <r>
    <x v="2"/>
    <x v="0"/>
    <n v="12581"/>
    <x v="0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2"/>
    <x v="0"/>
    <n v="12658"/>
    <x v="0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13050"/>
    <x v="0"/>
    <x v="0"/>
    <s v="ATORVASTATIN CALCIUM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3"/>
  </r>
  <r>
    <x v="2"/>
    <x v="0"/>
    <n v="13665"/>
    <x v="0"/>
    <x v="0"/>
    <s v="ATORVASTATIN CALCIUM"/>
    <n v="1"/>
    <m/>
    <m/>
    <m/>
    <n v="1"/>
    <m/>
    <n v="1"/>
    <n v="1"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n v="6"/>
  </r>
  <r>
    <x v="2"/>
    <x v="0"/>
    <n v="13712"/>
    <x v="0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2"/>
    <x v="0"/>
    <n v="15606"/>
    <x v="0"/>
    <x v="0"/>
    <s v="ATORVASTATIN CALC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1"/>
    <m/>
    <n v="4"/>
  </r>
  <r>
    <x v="2"/>
    <x v="0"/>
    <n v="19322"/>
    <x v="0"/>
    <x v="0"/>
    <s v="ROSUVASTATIN CALCIUM"/>
    <m/>
    <m/>
    <m/>
    <m/>
    <m/>
    <m/>
    <m/>
    <m/>
    <m/>
    <m/>
    <m/>
    <n v="2"/>
    <m/>
    <m/>
    <m/>
    <m/>
    <n v="1"/>
    <m/>
    <m/>
    <m/>
    <m/>
    <n v="1"/>
    <m/>
    <m/>
    <m/>
    <n v="1"/>
    <m/>
    <m/>
    <m/>
    <m/>
    <m/>
    <m/>
    <m/>
    <m/>
    <m/>
    <m/>
    <m/>
    <m/>
    <m/>
    <n v="1"/>
    <m/>
    <m/>
    <m/>
    <m/>
    <m/>
    <m/>
    <n v="6"/>
  </r>
  <r>
    <x v="2"/>
    <x v="0"/>
    <n v="25228"/>
    <x v="0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26039"/>
    <x v="0"/>
    <x v="8"/>
    <s v="FENOFIBRATE, MICRONIZED"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n v="2"/>
  </r>
  <r>
    <x v="2"/>
    <x v="0"/>
    <n v="27700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2"/>
    <x v="0"/>
    <n v="3026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n v="1"/>
    <m/>
    <n v="1"/>
    <n v="4"/>
  </r>
  <r>
    <x v="2"/>
    <x v="0"/>
    <n v="33016"/>
    <x v="0"/>
    <x v="0"/>
    <s v="ROSUVASTATIN CALCIUM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5532"/>
    <x v="1"/>
    <x v="0"/>
    <s v="LOVASTATIN"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2"/>
    <x v="0"/>
    <n v="7895"/>
    <x v="1"/>
    <x v="0"/>
    <s v="ROSU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2"/>
    <x v="0"/>
    <n v="912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2"/>
    <x v="0"/>
    <n v="13069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2"/>
    <x v="0"/>
    <n v="15061"/>
    <x v="1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4"/>
  </r>
  <r>
    <x v="2"/>
    <x v="0"/>
    <n v="17751"/>
    <x v="1"/>
    <x v="0"/>
    <s v="ATOR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n v="4"/>
  </r>
  <r>
    <x v="2"/>
    <x v="0"/>
    <n v="18532"/>
    <x v="1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m/>
    <m/>
    <m/>
    <n v="4"/>
  </r>
  <r>
    <x v="2"/>
    <x v="0"/>
    <n v="19000"/>
    <x v="1"/>
    <x v="0"/>
    <s v="SIMVASTATIN"/>
    <n v="1"/>
    <n v="1"/>
    <n v="1"/>
    <n v="1"/>
    <n v="1"/>
    <n v="1"/>
    <n v="1"/>
    <n v="1"/>
    <n v="1"/>
    <n v="1"/>
    <n v="1"/>
    <n v="1"/>
    <n v="1"/>
    <n v="1"/>
    <n v="2"/>
    <m/>
    <n v="1"/>
    <n v="1"/>
    <n v="1"/>
    <n v="2"/>
    <m/>
    <n v="1"/>
    <n v="1"/>
    <n v="1"/>
    <n v="2"/>
    <m/>
    <n v="1"/>
    <n v="1"/>
    <n v="1"/>
    <n v="2"/>
    <m/>
    <n v="1"/>
    <n v="1"/>
    <n v="1"/>
    <n v="1"/>
    <n v="1"/>
    <n v="1"/>
    <n v="1"/>
    <n v="1"/>
    <n v="1"/>
    <n v="1"/>
    <n v="1"/>
    <n v="1"/>
    <n v="1"/>
    <n v="1"/>
    <n v="1"/>
    <n v="46"/>
  </r>
  <r>
    <x v="2"/>
    <x v="0"/>
    <n v="25123"/>
    <x v="1"/>
    <x v="0"/>
    <s v="ROSUVASTATIN CALCIUM"/>
    <m/>
    <m/>
    <m/>
    <m/>
    <m/>
    <m/>
    <m/>
    <m/>
    <m/>
    <m/>
    <m/>
    <m/>
    <m/>
    <m/>
    <n v="2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4"/>
  </r>
  <r>
    <x v="2"/>
    <x v="0"/>
    <n v="27738"/>
    <x v="1"/>
    <x v="0"/>
    <s v="ATORVASTATIN CALCIUM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n v="3"/>
  </r>
  <r>
    <x v="2"/>
    <x v="0"/>
    <n v="27984"/>
    <x v="1"/>
    <x v="0"/>
    <s v="ATOR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2"/>
    <x v="0"/>
    <n v="1882"/>
    <x v="0"/>
    <x v="0"/>
    <s v="ROSUVASTATIN CALC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2"/>
    <x v="0"/>
    <n v="3228"/>
    <x v="0"/>
    <x v="0"/>
    <s v="ROSU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n v="2"/>
  </r>
  <r>
    <x v="2"/>
    <x v="0"/>
    <n v="3344"/>
    <x v="0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n v="1"/>
    <m/>
    <m/>
    <m/>
    <n v="1"/>
    <m/>
    <m/>
    <m/>
    <n v="1"/>
    <m/>
    <m/>
    <m/>
    <m/>
    <m/>
    <m/>
    <m/>
    <m/>
    <m/>
    <m/>
    <m/>
    <m/>
    <m/>
    <n v="4"/>
  </r>
  <r>
    <x v="2"/>
    <x v="0"/>
    <n v="9964"/>
    <x v="0"/>
    <x v="0"/>
    <s v="ATORVASTATIN CALCIUM"/>
    <m/>
    <m/>
    <m/>
    <n v="1"/>
    <m/>
    <m/>
    <m/>
    <m/>
    <m/>
    <m/>
    <m/>
    <m/>
    <m/>
    <m/>
    <m/>
    <m/>
    <m/>
    <n v="1"/>
    <m/>
    <m/>
    <m/>
    <m/>
    <m/>
    <m/>
    <m/>
    <n v="1"/>
    <m/>
    <m/>
    <m/>
    <m/>
    <n v="1"/>
    <m/>
    <m/>
    <m/>
    <m/>
    <m/>
    <m/>
    <m/>
    <m/>
    <m/>
    <m/>
    <m/>
    <m/>
    <m/>
    <n v="1"/>
    <m/>
    <n v="5"/>
  </r>
  <r>
    <x v="2"/>
    <x v="0"/>
    <n v="12912"/>
    <x v="0"/>
    <x v="0"/>
    <s v="ATORVASTATIN CALCIUM"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2"/>
    <x v="0"/>
    <n v="12999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2"/>
    <x v="0"/>
    <n v="16938"/>
    <x v="0"/>
    <x v="0"/>
    <s v="ATORVASTATIN CALCIUM"/>
    <m/>
    <m/>
    <m/>
    <n v="1"/>
    <m/>
    <n v="1"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n v="1"/>
    <m/>
    <m/>
    <m/>
    <m/>
    <m/>
    <n v="1"/>
    <m/>
    <m/>
    <m/>
    <m/>
    <n v="6"/>
  </r>
  <r>
    <x v="2"/>
    <x v="0"/>
    <n v="22653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2"/>
    <x v="0"/>
    <n v="1948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1"/>
    <m/>
    <m/>
    <m/>
    <m/>
    <m/>
    <m/>
    <n v="2"/>
    <m/>
    <m/>
    <m/>
    <m/>
    <m/>
    <m/>
    <n v="6"/>
  </r>
  <r>
    <x v="2"/>
    <x v="0"/>
    <n v="1614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0315"/>
    <x v="1"/>
    <x v="0"/>
    <s v="ATORVASTATIN CALCIUM"/>
    <m/>
    <m/>
    <m/>
    <m/>
    <m/>
    <m/>
    <m/>
    <m/>
    <m/>
    <n v="1"/>
    <m/>
    <m/>
    <m/>
    <n v="1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4"/>
  </r>
  <r>
    <x v="3"/>
    <x v="0"/>
    <n v="63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83"/>
    <x v="0"/>
    <x v="0"/>
    <s v="ATORVASTATIN CALCIUM"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n v="3"/>
  </r>
  <r>
    <x v="3"/>
    <x v="0"/>
    <n v="138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511"/>
    <x v="0"/>
    <x v="0"/>
    <s v="ATORVASTATIN CALCIUM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2"/>
    <m/>
    <n v="2"/>
    <m/>
    <m/>
    <m/>
    <m/>
    <m/>
    <m/>
    <m/>
    <n v="6"/>
  </r>
  <r>
    <x v="3"/>
    <x v="0"/>
    <n v="2462"/>
    <x v="0"/>
    <x v="3"/>
    <s v="PANTOPRAZOLE MAGNESIUM"/>
    <n v="1"/>
    <n v="2"/>
    <n v="1"/>
    <n v="1"/>
    <m/>
    <n v="1"/>
    <m/>
    <n v="1"/>
    <m/>
    <n v="1"/>
    <m/>
    <n v="1"/>
    <m/>
    <n v="1"/>
    <m/>
    <n v="1"/>
    <m/>
    <n v="1"/>
    <n v="1"/>
    <m/>
    <n v="1"/>
    <m/>
    <n v="1"/>
    <n v="1"/>
    <n v="1"/>
    <m/>
    <n v="1"/>
    <m/>
    <n v="1"/>
    <m/>
    <n v="1"/>
    <m/>
    <n v="1"/>
    <m/>
    <n v="1"/>
    <m/>
    <n v="1"/>
    <m/>
    <n v="1"/>
    <m/>
    <n v="1"/>
    <m/>
    <n v="1"/>
    <m/>
    <n v="1"/>
    <m/>
    <n v="27"/>
  </r>
  <r>
    <x v="3"/>
    <x v="0"/>
    <n v="277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3"/>
    <x v="0"/>
    <n v="3851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n v="3"/>
  </r>
  <r>
    <x v="3"/>
    <x v="0"/>
    <n v="5739"/>
    <x v="0"/>
    <x v="0"/>
    <s v="ATORVASTATIN CALCIUM"/>
    <n v="2"/>
    <m/>
    <m/>
    <m/>
    <n v="1"/>
    <m/>
    <m/>
    <m/>
    <n v="1"/>
    <m/>
    <m/>
    <m/>
    <n v="2"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n v="8"/>
  </r>
  <r>
    <x v="3"/>
    <x v="0"/>
    <n v="5739"/>
    <x v="0"/>
    <x v="3"/>
    <s v="RABEPRAZOLE SODIUM"/>
    <n v="4"/>
    <m/>
    <m/>
    <m/>
    <n v="1"/>
    <m/>
    <m/>
    <m/>
    <n v="1"/>
    <m/>
    <m/>
    <m/>
    <n v="2"/>
    <m/>
    <m/>
    <m/>
    <m/>
    <n v="1"/>
    <m/>
    <m/>
    <m/>
    <n v="1"/>
    <m/>
    <m/>
    <m/>
    <m/>
    <m/>
    <n v="2"/>
    <m/>
    <m/>
    <m/>
    <n v="2"/>
    <m/>
    <m/>
    <n v="2"/>
    <m/>
    <m/>
    <n v="1"/>
    <m/>
    <m/>
    <m/>
    <m/>
    <m/>
    <n v="3"/>
    <m/>
    <m/>
    <n v="20"/>
  </r>
  <r>
    <x v="3"/>
    <x v="0"/>
    <n v="6210"/>
    <x v="0"/>
    <x v="3"/>
    <s v="RABEPRAZOLE SODIUM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7198"/>
    <x v="0"/>
    <x v="3"/>
    <s v="PANTOPRAZOLE MAGNES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7985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3"/>
    <x v="0"/>
    <n v="10321"/>
    <x v="0"/>
    <x v="3"/>
    <s v="PANTOPRAZOLE MAGNESIUM"/>
    <m/>
    <m/>
    <n v="1"/>
    <m/>
    <m/>
    <m/>
    <m/>
    <m/>
    <m/>
    <n v="1"/>
    <m/>
    <m/>
    <m/>
    <m/>
    <m/>
    <m/>
    <m/>
    <m/>
    <n v="1"/>
    <m/>
    <m/>
    <m/>
    <m/>
    <m/>
    <m/>
    <m/>
    <m/>
    <n v="1"/>
    <m/>
    <m/>
    <m/>
    <m/>
    <m/>
    <m/>
    <m/>
    <m/>
    <n v="1"/>
    <m/>
    <m/>
    <m/>
    <m/>
    <m/>
    <m/>
    <m/>
    <m/>
    <n v="1"/>
    <n v="6"/>
  </r>
  <r>
    <x v="3"/>
    <x v="0"/>
    <n v="10956"/>
    <x v="0"/>
    <x v="0"/>
    <s v="ROSU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3"/>
    <x v="0"/>
    <n v="1095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3"/>
    <x v="0"/>
    <n v="11383"/>
    <x v="0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3"/>
    <x v="0"/>
    <n v="12293"/>
    <x v="0"/>
    <x v="7"/>
    <s v="PINAVERIUM BROMIDE"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1"/>
    <m/>
    <m/>
    <m/>
    <n v="5"/>
  </r>
  <r>
    <x v="3"/>
    <x v="0"/>
    <n v="12293"/>
    <x v="0"/>
    <x v="3"/>
    <s v="RABEPRAZOLE SODIUM"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1"/>
    <m/>
    <m/>
    <m/>
    <n v="6"/>
  </r>
  <r>
    <x v="3"/>
    <x v="0"/>
    <n v="12650"/>
    <x v="0"/>
    <x v="0"/>
    <s v="SIMVASTATIN"/>
    <m/>
    <m/>
    <m/>
    <m/>
    <m/>
    <m/>
    <m/>
    <m/>
    <m/>
    <m/>
    <m/>
    <m/>
    <m/>
    <m/>
    <m/>
    <n v="2"/>
    <m/>
    <m/>
    <m/>
    <m/>
    <m/>
    <m/>
    <m/>
    <m/>
    <n v="1"/>
    <m/>
    <m/>
    <m/>
    <n v="1"/>
    <m/>
    <m/>
    <m/>
    <n v="1"/>
    <m/>
    <m/>
    <m/>
    <m/>
    <m/>
    <n v="1"/>
    <m/>
    <m/>
    <n v="1"/>
    <m/>
    <m/>
    <m/>
    <m/>
    <n v="7"/>
  </r>
  <r>
    <x v="3"/>
    <x v="0"/>
    <n v="12650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1"/>
    <m/>
    <m/>
    <m/>
    <m/>
    <m/>
    <n v="1"/>
    <m/>
    <m/>
    <n v="1"/>
    <m/>
    <m/>
    <m/>
    <m/>
    <n v="5"/>
  </r>
  <r>
    <x v="3"/>
    <x v="0"/>
    <n v="1324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3456"/>
    <x v="0"/>
    <x v="2"/>
    <s v="MISOPROSTOL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14091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3"/>
    <x v="0"/>
    <n v="21321"/>
    <x v="0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n v="3"/>
  </r>
  <r>
    <x v="3"/>
    <x v="0"/>
    <n v="2299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4897"/>
    <x v="0"/>
    <x v="3"/>
    <s v="RABEPRAZOLE SOD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1"/>
    <m/>
    <n v="4"/>
  </r>
  <r>
    <x v="3"/>
    <x v="0"/>
    <n v="2666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3"/>
    <x v="0"/>
    <n v="27143"/>
    <x v="0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7143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3"/>
    <x v="0"/>
    <n v="2714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7167"/>
    <x v="0"/>
    <x v="3"/>
    <s v="PANTOPRAZOLE MAGNESIUM"/>
    <m/>
    <m/>
    <m/>
    <m/>
    <n v="1"/>
    <m/>
    <m/>
    <m/>
    <m/>
    <m/>
    <n v="1"/>
    <m/>
    <m/>
    <m/>
    <n v="1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5"/>
  </r>
  <r>
    <x v="3"/>
    <x v="0"/>
    <n v="2716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n v="2"/>
  </r>
  <r>
    <x v="3"/>
    <x v="0"/>
    <n v="2724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3"/>
    <x v="0"/>
    <n v="27786"/>
    <x v="0"/>
    <x v="0"/>
    <s v="ROSU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4"/>
  </r>
  <r>
    <x v="3"/>
    <x v="0"/>
    <n v="27864"/>
    <x v="0"/>
    <x v="0"/>
    <s v="ROSUVASTATIN CALC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8017"/>
    <x v="0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801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277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934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341"/>
    <x v="0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3"/>
    <x v="0"/>
    <n v="29341"/>
    <x v="0"/>
    <x v="3"/>
    <s v="RABEPRAZOLE SODIUM"/>
    <m/>
    <m/>
    <m/>
    <m/>
    <n v="1"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4"/>
  </r>
  <r>
    <x v="3"/>
    <x v="0"/>
    <n v="29747"/>
    <x v="0"/>
    <x v="3"/>
    <s v="PANTOPRAZOLE MAGNES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9747"/>
    <x v="0"/>
    <x v="3"/>
    <s v="PANTOPRAZOLE SODIUM"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3"/>
    <x v="0"/>
    <n v="30259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3"/>
  </r>
  <r>
    <x v="3"/>
    <x v="0"/>
    <n v="31187"/>
    <x v="0"/>
    <x v="1"/>
    <s v="RANITIDINE HCL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1300"/>
    <x v="1"/>
    <x v="0"/>
    <s v="ATORVASTATIN CALCIUM"/>
    <m/>
    <m/>
    <m/>
    <m/>
    <n v="1"/>
    <m/>
    <m/>
    <m/>
    <n v="1"/>
    <m/>
    <m/>
    <m/>
    <m/>
    <m/>
    <n v="1"/>
    <m/>
    <m/>
    <m/>
    <n v="1"/>
    <m/>
    <m/>
    <m/>
    <m/>
    <n v="1"/>
    <m/>
    <m/>
    <m/>
    <n v="1"/>
    <m/>
    <n v="1"/>
    <m/>
    <m/>
    <m/>
    <m/>
    <m/>
    <m/>
    <m/>
    <m/>
    <m/>
    <m/>
    <n v="1"/>
    <m/>
    <m/>
    <m/>
    <m/>
    <m/>
    <n v="8"/>
  </r>
  <r>
    <x v="3"/>
    <x v="0"/>
    <n v="2569"/>
    <x v="1"/>
    <x v="8"/>
    <s v="FENOFIBRATE, MICRONIZED"/>
    <m/>
    <m/>
    <m/>
    <m/>
    <n v="1"/>
    <m/>
    <m/>
    <m/>
    <n v="1"/>
    <m/>
    <m/>
    <m/>
    <m/>
    <n v="1"/>
    <m/>
    <m/>
    <n v="2"/>
    <m/>
    <m/>
    <m/>
    <m/>
    <n v="1"/>
    <m/>
    <m/>
    <m/>
    <m/>
    <n v="1"/>
    <m/>
    <m/>
    <m/>
    <m/>
    <m/>
    <n v="1"/>
    <m/>
    <m/>
    <m/>
    <n v="1"/>
    <m/>
    <n v="1"/>
    <m/>
    <m/>
    <m/>
    <m/>
    <m/>
    <m/>
    <n v="1"/>
    <n v="11"/>
  </r>
  <r>
    <x v="3"/>
    <x v="0"/>
    <n v="2569"/>
    <x v="1"/>
    <x v="0"/>
    <s v="ATORVASTATIN CALCIUM"/>
    <m/>
    <m/>
    <m/>
    <m/>
    <n v="1"/>
    <m/>
    <m/>
    <m/>
    <n v="1"/>
    <m/>
    <m/>
    <m/>
    <m/>
    <n v="1"/>
    <m/>
    <m/>
    <n v="1"/>
    <m/>
    <m/>
    <m/>
    <m/>
    <n v="1"/>
    <m/>
    <m/>
    <m/>
    <m/>
    <n v="1"/>
    <m/>
    <m/>
    <m/>
    <m/>
    <m/>
    <n v="1"/>
    <m/>
    <m/>
    <m/>
    <n v="1"/>
    <m/>
    <n v="1"/>
    <m/>
    <m/>
    <m/>
    <m/>
    <m/>
    <m/>
    <n v="1"/>
    <n v="10"/>
  </r>
  <r>
    <x v="3"/>
    <x v="0"/>
    <n v="2569"/>
    <x v="1"/>
    <x v="3"/>
    <s v="ESOMEPRAZOLE MAGNESIUM"/>
    <m/>
    <m/>
    <m/>
    <m/>
    <n v="1"/>
    <m/>
    <m/>
    <m/>
    <n v="1"/>
    <m/>
    <m/>
    <m/>
    <m/>
    <n v="1"/>
    <m/>
    <m/>
    <n v="1"/>
    <m/>
    <m/>
    <m/>
    <m/>
    <n v="1"/>
    <m/>
    <m/>
    <m/>
    <m/>
    <n v="1"/>
    <m/>
    <m/>
    <m/>
    <m/>
    <m/>
    <n v="1"/>
    <m/>
    <m/>
    <m/>
    <n v="1"/>
    <m/>
    <n v="1"/>
    <m/>
    <m/>
    <m/>
    <m/>
    <m/>
    <m/>
    <n v="1"/>
    <n v="10"/>
  </r>
  <r>
    <x v="3"/>
    <x v="0"/>
    <n v="5738"/>
    <x v="1"/>
    <x v="0"/>
    <s v="ROSUVASTATIN CALC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6647"/>
    <x v="1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  <m/>
    <m/>
    <m/>
    <m/>
    <m/>
    <n v="1"/>
    <m/>
    <m/>
    <m/>
    <n v="5"/>
  </r>
  <r>
    <x v="3"/>
    <x v="0"/>
    <n v="703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7033"/>
    <x v="1"/>
    <x v="0"/>
    <s v="ROSUVASTATIN CALCIUM"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</r>
  <r>
    <x v="3"/>
    <x v="0"/>
    <n v="11064"/>
    <x v="1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1"/>
    <m/>
    <m/>
    <n v="4"/>
  </r>
  <r>
    <x v="3"/>
    <x v="0"/>
    <n v="11064"/>
    <x v="1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n v="3"/>
  </r>
  <r>
    <x v="3"/>
    <x v="0"/>
    <n v="12649"/>
    <x v="1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1"/>
    <m/>
    <m/>
    <n v="1"/>
    <m/>
    <m/>
    <m/>
    <m/>
    <n v="4"/>
  </r>
  <r>
    <x v="3"/>
    <x v="0"/>
    <n v="14707"/>
    <x v="1"/>
    <x v="3"/>
    <s v="RABEPRAZOLE SODIUM"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n v="2"/>
    <m/>
    <m/>
    <m/>
    <n v="1"/>
    <m/>
    <m/>
    <m/>
    <n v="1"/>
    <m/>
    <m/>
    <m/>
    <m/>
    <m/>
    <n v="3"/>
    <m/>
    <m/>
    <n v="9"/>
  </r>
  <r>
    <x v="3"/>
    <x v="0"/>
    <n v="14990"/>
    <x v="1"/>
    <x v="3"/>
    <s v="RABEPRAZOLE SODIUM"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m/>
    <m/>
    <n v="2"/>
    <m/>
    <m/>
    <n v="2"/>
    <m/>
    <m/>
    <m/>
    <m/>
    <m/>
    <m/>
    <n v="7"/>
  </r>
  <r>
    <x v="3"/>
    <x v="0"/>
    <n v="18342"/>
    <x v="1"/>
    <x v="1"/>
    <s v="RANITIDINE HCL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</r>
  <r>
    <x v="3"/>
    <x v="0"/>
    <n v="1834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n v="2"/>
    <m/>
    <m/>
    <m/>
    <n v="1"/>
    <n v="1"/>
    <m/>
    <m/>
    <m/>
    <n v="1"/>
    <m/>
    <m/>
    <m/>
    <n v="7"/>
  </r>
  <r>
    <x v="3"/>
    <x v="0"/>
    <n v="19012"/>
    <x v="1"/>
    <x v="0"/>
    <s v="ROSUVASTATIN CALCIUM"/>
    <n v="1"/>
    <m/>
    <m/>
    <m/>
    <m/>
    <m/>
    <m/>
    <m/>
    <m/>
    <m/>
    <m/>
    <m/>
    <m/>
    <m/>
    <m/>
    <m/>
    <m/>
    <n v="1"/>
    <n v="1"/>
    <n v="1"/>
    <n v="1"/>
    <m/>
    <m/>
    <n v="1"/>
    <n v="1"/>
    <m/>
    <n v="1"/>
    <n v="1"/>
    <n v="1"/>
    <n v="1"/>
    <n v="1"/>
    <n v="2"/>
    <m/>
    <n v="1"/>
    <m/>
    <m/>
    <m/>
    <m/>
    <m/>
    <m/>
    <m/>
    <m/>
    <m/>
    <m/>
    <m/>
    <m/>
    <n v="15"/>
  </r>
  <r>
    <x v="3"/>
    <x v="0"/>
    <n v="21134"/>
    <x v="1"/>
    <x v="0"/>
    <s v="ATORVASTATIN CALCIUM"/>
    <m/>
    <m/>
    <m/>
    <m/>
    <m/>
    <m/>
    <m/>
    <n v="1"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5"/>
  </r>
  <r>
    <x v="3"/>
    <x v="0"/>
    <n v="21352"/>
    <x v="1"/>
    <x v="3"/>
    <s v="PANTOPRAZOLE MAGNESIUM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2854"/>
    <x v="1"/>
    <x v="3"/>
    <s v="RABEPRAZOLE SOD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663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n v="2"/>
  </r>
  <r>
    <x v="3"/>
    <x v="0"/>
    <n v="27534"/>
    <x v="1"/>
    <x v="3"/>
    <s v="OMEPRAZOLE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9779"/>
    <x v="1"/>
    <x v="0"/>
    <s v="ROSUVASTATIN CALCIUM"/>
    <n v="1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4"/>
  </r>
  <r>
    <x v="3"/>
    <x v="0"/>
    <n v="30608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32699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3"/>
    <x v="0"/>
    <n v="49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n v="2"/>
  </r>
  <r>
    <x v="3"/>
    <x v="0"/>
    <n v="585"/>
    <x v="0"/>
    <x v="0"/>
    <s v="ATORVASTATIN CALCIUM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3"/>
    <m/>
    <n v="1"/>
    <m/>
    <n v="1"/>
    <m/>
    <n v="1"/>
    <m/>
    <n v="1"/>
    <m/>
    <n v="1"/>
    <m/>
    <n v="1"/>
    <m/>
    <n v="1"/>
    <m/>
    <n v="1"/>
    <n v="1"/>
    <m/>
    <m/>
    <n v="1"/>
    <n v="25"/>
  </r>
  <r>
    <x v="3"/>
    <x v="0"/>
    <n v="1248"/>
    <x v="0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m/>
    <m/>
    <n v="4"/>
  </r>
  <r>
    <x v="3"/>
    <x v="0"/>
    <n v="2048"/>
    <x v="0"/>
    <x v="0"/>
    <s v="ATORVASTATIN CALCIUM"/>
    <n v="1"/>
    <n v="1"/>
    <n v="1"/>
    <n v="1"/>
    <n v="1"/>
    <n v="1"/>
    <n v="1"/>
    <n v="1"/>
    <n v="1"/>
    <n v="2"/>
    <n v="1"/>
    <n v="1"/>
    <n v="2"/>
    <n v="1"/>
    <n v="1"/>
    <m/>
    <m/>
    <n v="1"/>
    <n v="1"/>
    <n v="1"/>
    <n v="1"/>
    <n v="1"/>
    <n v="1"/>
    <m/>
    <m/>
    <m/>
    <m/>
    <n v="2"/>
    <n v="2"/>
    <n v="1"/>
    <n v="1"/>
    <n v="2"/>
    <n v="1"/>
    <n v="1"/>
    <n v="1"/>
    <n v="1"/>
    <n v="1"/>
    <n v="1"/>
    <n v="1"/>
    <n v="1"/>
    <n v="1"/>
    <n v="1"/>
    <n v="1"/>
    <n v="1"/>
    <n v="1"/>
    <n v="1"/>
    <n v="45"/>
  </r>
  <r>
    <x v="3"/>
    <x v="0"/>
    <n v="2382"/>
    <x v="0"/>
    <x v="1"/>
    <s v="RANITIDINE HCL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687"/>
    <x v="0"/>
    <x v="0"/>
    <s v="SIMVASTATIN"/>
    <m/>
    <m/>
    <m/>
    <m/>
    <m/>
    <m/>
    <m/>
    <m/>
    <m/>
    <n v="1"/>
    <n v="1"/>
    <m/>
    <m/>
    <m/>
    <n v="1"/>
    <n v="1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6"/>
  </r>
  <r>
    <x v="3"/>
    <x v="0"/>
    <n v="2745"/>
    <x v="0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2"/>
  </r>
  <r>
    <x v="3"/>
    <x v="0"/>
    <n v="2988"/>
    <x v="0"/>
    <x v="3"/>
    <s v="RABEPRAZOLE SOD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1"/>
    <m/>
    <m/>
    <n v="1"/>
    <m/>
    <n v="5"/>
  </r>
  <r>
    <x v="3"/>
    <x v="0"/>
    <n v="4527"/>
    <x v="0"/>
    <x v="0"/>
    <s v="ROSU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571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3"/>
    <x v="0"/>
    <n v="5944"/>
    <x v="0"/>
    <x v="0"/>
    <s v="ATORVASTATIN CALCIUM"/>
    <m/>
    <m/>
    <m/>
    <m/>
    <m/>
    <m/>
    <m/>
    <n v="1"/>
    <m/>
    <m/>
    <m/>
    <m/>
    <m/>
    <m/>
    <m/>
    <m/>
    <m/>
    <n v="1"/>
    <m/>
    <m/>
    <m/>
    <m/>
    <m/>
    <m/>
    <m/>
    <m/>
    <m/>
    <n v="1"/>
    <m/>
    <n v="1"/>
    <m/>
    <n v="1"/>
    <n v="1"/>
    <n v="1"/>
    <m/>
    <n v="1"/>
    <m/>
    <n v="1"/>
    <m/>
    <n v="1"/>
    <m/>
    <n v="1"/>
    <n v="1"/>
    <m/>
    <m/>
    <n v="1"/>
    <n v="13"/>
  </r>
  <r>
    <x v="3"/>
    <x v="0"/>
    <n v="6648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6648"/>
    <x v="0"/>
    <x v="6"/>
    <s v="EZETIMIBE"/>
    <m/>
    <m/>
    <m/>
    <n v="1"/>
    <m/>
    <m/>
    <m/>
    <m/>
    <m/>
    <m/>
    <n v="1"/>
    <m/>
    <m/>
    <m/>
    <n v="1"/>
    <m/>
    <m/>
    <m/>
    <n v="1"/>
    <m/>
    <m/>
    <m/>
    <n v="1"/>
    <n v="2"/>
    <m/>
    <m/>
    <m/>
    <m/>
    <m/>
    <m/>
    <m/>
    <m/>
    <m/>
    <m/>
    <m/>
    <m/>
    <m/>
    <m/>
    <m/>
    <m/>
    <m/>
    <m/>
    <m/>
    <m/>
    <m/>
    <m/>
    <n v="7"/>
  </r>
  <r>
    <x v="3"/>
    <x v="0"/>
    <n v="6648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718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n v="2"/>
  </r>
  <r>
    <x v="3"/>
    <x v="0"/>
    <n v="8027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02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21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3"/>
    <x v="0"/>
    <n v="8596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3"/>
    <x v="0"/>
    <n v="8760"/>
    <x v="0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760"/>
    <x v="0"/>
    <x v="9"/>
    <s v="CHOLESTYRAMINE/ASPARTAME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3"/>
  </r>
  <r>
    <x v="3"/>
    <x v="0"/>
    <n v="8760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76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9536"/>
    <x v="0"/>
    <x v="0"/>
    <s v="ROSUVASTATIN CALCIUM"/>
    <m/>
    <m/>
    <m/>
    <n v="1"/>
    <m/>
    <m/>
    <m/>
    <m/>
    <m/>
    <m/>
    <m/>
    <m/>
    <m/>
    <m/>
    <m/>
    <m/>
    <m/>
    <n v="2"/>
    <n v="1"/>
    <n v="1"/>
    <m/>
    <m/>
    <m/>
    <m/>
    <m/>
    <m/>
    <m/>
    <m/>
    <m/>
    <m/>
    <m/>
    <m/>
    <m/>
    <n v="1"/>
    <m/>
    <m/>
    <m/>
    <m/>
    <m/>
    <m/>
    <m/>
    <m/>
    <m/>
    <m/>
    <m/>
    <m/>
    <n v="6"/>
  </r>
  <r>
    <x v="3"/>
    <x v="0"/>
    <n v="10511"/>
    <x v="0"/>
    <x v="1"/>
    <s v="FAMO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0511"/>
    <x v="0"/>
    <x v="3"/>
    <s v="PANTOPRAZOLE SOD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3"/>
  </r>
  <r>
    <x v="3"/>
    <x v="0"/>
    <n v="12026"/>
    <x v="0"/>
    <x v="3"/>
    <s v="PANTO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1202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3"/>
    <x v="0"/>
    <n v="13450"/>
    <x v="0"/>
    <x v="3"/>
    <s v="PANTOPRAZOLE MAGNES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1385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3"/>
    <x v="0"/>
    <n v="1516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5162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3"/>
    <x v="0"/>
    <n v="16525"/>
    <x v="0"/>
    <x v="0"/>
    <s v="SIMVASTATIN"/>
    <n v="1"/>
    <n v="1"/>
    <n v="1"/>
    <m/>
    <m/>
    <n v="2"/>
    <n v="1"/>
    <m/>
    <m/>
    <m/>
    <m/>
    <m/>
    <m/>
    <m/>
    <m/>
    <m/>
    <m/>
    <m/>
    <m/>
    <m/>
    <m/>
    <m/>
    <m/>
    <m/>
    <n v="1"/>
    <n v="2"/>
    <n v="1"/>
    <n v="1"/>
    <n v="1"/>
    <m/>
    <n v="1"/>
    <n v="1"/>
    <m/>
    <n v="1"/>
    <n v="5"/>
    <n v="4"/>
    <n v="7"/>
    <n v="7"/>
    <n v="4"/>
    <n v="5"/>
    <n v="6"/>
    <n v="7"/>
    <n v="6"/>
    <n v="7"/>
    <n v="7"/>
    <n v="7"/>
    <n v="87"/>
  </r>
  <r>
    <x v="3"/>
    <x v="0"/>
    <n v="17134"/>
    <x v="0"/>
    <x v="4"/>
    <s v="SUCRALFATE"/>
    <m/>
    <m/>
    <m/>
    <m/>
    <m/>
    <n v="1"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</r>
  <r>
    <x v="3"/>
    <x v="0"/>
    <n v="17134"/>
    <x v="0"/>
    <x v="3"/>
    <s v="PANTOPRAZOLE MAGNESIUM"/>
    <m/>
    <n v="1"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</r>
  <r>
    <x v="3"/>
    <x v="0"/>
    <n v="17414"/>
    <x v="0"/>
    <x v="0"/>
    <s v="ROSUVASTATIN CALCIUM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17426"/>
    <x v="0"/>
    <x v="3"/>
    <s v="PANTOPRAZOLE SODIUM"/>
    <n v="2"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n v="5"/>
  </r>
  <r>
    <x v="3"/>
    <x v="0"/>
    <n v="19451"/>
    <x v="0"/>
    <x v="0"/>
    <s v="ROSU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n v="1"/>
    <m/>
    <n v="5"/>
  </r>
  <r>
    <x v="3"/>
    <x v="0"/>
    <n v="1978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9786"/>
    <x v="0"/>
    <x v="0"/>
    <s v="ROSUVASTATIN CALCIUM"/>
    <n v="1"/>
    <n v="1"/>
    <n v="1"/>
    <n v="1"/>
    <n v="1"/>
    <n v="1"/>
    <n v="1"/>
    <n v="1"/>
    <n v="1"/>
    <n v="1"/>
    <n v="1"/>
    <n v="1"/>
    <n v="2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n v="35"/>
  </r>
  <r>
    <x v="3"/>
    <x v="0"/>
    <n v="20460"/>
    <x v="0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065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0835"/>
    <x v="0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n v="3"/>
  </r>
  <r>
    <x v="3"/>
    <x v="0"/>
    <n v="20835"/>
    <x v="0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3"/>
    <x v="0"/>
    <n v="21170"/>
    <x v="0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n v="1"/>
    <m/>
    <n v="1"/>
    <m/>
    <m/>
    <n v="1"/>
    <m/>
    <m/>
    <m/>
    <m/>
    <m/>
    <m/>
    <m/>
    <m/>
    <m/>
    <m/>
    <m/>
    <n v="1"/>
    <m/>
    <m/>
    <m/>
    <m/>
    <n v="5"/>
  </r>
  <r>
    <x v="3"/>
    <x v="0"/>
    <n v="21554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3"/>
    <x v="0"/>
    <n v="22335"/>
    <x v="0"/>
    <x v="3"/>
    <s v="RABEPRAZOLE SODIUM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2714"/>
    <x v="0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2827"/>
    <x v="0"/>
    <x v="3"/>
    <s v="PANTOPRAZOLE MAGNESIUM"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7844"/>
    <x v="0"/>
    <x v="0"/>
    <s v="ATORVASTATIN CALCIUM"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n v="4"/>
  </r>
  <r>
    <x v="3"/>
    <x v="0"/>
    <n v="29937"/>
    <x v="0"/>
    <x v="0"/>
    <s v="ATOR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3"/>
    <x v="0"/>
    <n v="29937"/>
    <x v="0"/>
    <x v="6"/>
    <s v="EZETIMIBE"/>
    <m/>
    <m/>
    <m/>
    <m/>
    <n v="1"/>
    <m/>
    <m/>
    <m/>
    <m/>
    <m/>
    <m/>
    <n v="1"/>
    <m/>
    <m/>
    <m/>
    <n v="1"/>
    <m/>
    <m/>
    <m/>
    <m/>
    <n v="1"/>
    <m/>
    <m/>
    <m/>
    <m/>
    <m/>
    <n v="1"/>
    <m/>
    <m/>
    <m/>
    <m/>
    <m/>
    <m/>
    <m/>
    <n v="1"/>
    <m/>
    <m/>
    <m/>
    <m/>
    <m/>
    <m/>
    <n v="1"/>
    <m/>
    <m/>
    <m/>
    <m/>
    <n v="7"/>
  </r>
  <r>
    <x v="3"/>
    <x v="0"/>
    <n v="30772"/>
    <x v="0"/>
    <x v="1"/>
    <s v="RANITIDINE HCL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n v="3"/>
  </r>
  <r>
    <x v="3"/>
    <x v="0"/>
    <n v="30772"/>
    <x v="0"/>
    <x v="0"/>
    <s v="ROSUVASTATIN CALCIUM"/>
    <m/>
    <m/>
    <m/>
    <m/>
    <n v="1"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3"/>
    <x v="0"/>
    <n v="30941"/>
    <x v="0"/>
    <x v="3"/>
    <s v="RABEPRAZOLE SODIUM"/>
    <m/>
    <n v="1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4"/>
  </r>
  <r>
    <x v="3"/>
    <x v="0"/>
    <n v="3275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33329"/>
    <x v="0"/>
    <x v="3"/>
    <s v="RABEPRAZOLE SOD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n v="1"/>
    <m/>
    <m/>
    <m/>
    <m/>
    <m/>
    <m/>
    <m/>
    <n v="1"/>
    <m/>
    <n v="6"/>
  </r>
  <r>
    <x v="3"/>
    <x v="0"/>
    <n v="33423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3"/>
    <x v="0"/>
    <n v="33719"/>
    <x v="0"/>
    <x v="3"/>
    <s v="RABEPRAZOLE SODIUM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n v="4"/>
  </r>
  <r>
    <x v="3"/>
    <x v="0"/>
    <n v="80"/>
    <x v="1"/>
    <x v="0"/>
    <s v="ROSUVASTATIN CALCIUM"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4"/>
  </r>
  <r>
    <x v="3"/>
    <x v="0"/>
    <n v="497"/>
    <x v="1"/>
    <x v="3"/>
    <s v="RABEPRAZOLE SODIUM"/>
    <m/>
    <m/>
    <n v="1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1"/>
    <m/>
    <m/>
    <n v="1"/>
    <n v="6"/>
  </r>
  <r>
    <x v="3"/>
    <x v="0"/>
    <n v="363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363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4592"/>
    <x v="1"/>
    <x v="3"/>
    <s v="PANTOPRAZOLE SODIUM"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n v="9"/>
  </r>
  <r>
    <x v="3"/>
    <x v="0"/>
    <n v="4869"/>
    <x v="1"/>
    <x v="3"/>
    <s v="PANTOPRAZOLE SOD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n v="3"/>
  </r>
  <r>
    <x v="3"/>
    <x v="0"/>
    <n v="5943"/>
    <x v="1"/>
    <x v="0"/>
    <s v="ROSUVASTATIN CALCIUM"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n v="1"/>
    <m/>
    <n v="1"/>
    <m/>
    <n v="1"/>
    <n v="1"/>
    <m/>
    <m/>
    <n v="1"/>
    <n v="8"/>
  </r>
  <r>
    <x v="3"/>
    <x v="0"/>
    <n v="8156"/>
    <x v="1"/>
    <x v="0"/>
    <s v="ROSUVASTATIN CALC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3"/>
    <x v="0"/>
    <n v="8214"/>
    <x v="1"/>
    <x v="0"/>
    <s v="ATORVASTATIN CALCIUM"/>
    <m/>
    <m/>
    <m/>
    <m/>
    <m/>
    <m/>
    <m/>
    <m/>
    <n v="1"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n v="3"/>
  </r>
  <r>
    <x v="3"/>
    <x v="0"/>
    <n v="8904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3"/>
  </r>
  <r>
    <x v="3"/>
    <x v="0"/>
    <n v="9528"/>
    <x v="1"/>
    <x v="3"/>
    <s v="PANTO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9528"/>
    <x v="1"/>
    <x v="3"/>
    <s v="RABEPRAZOLE SODIUM"/>
    <m/>
    <n v="2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4"/>
  </r>
  <r>
    <x v="3"/>
    <x v="0"/>
    <n v="9547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n v="4"/>
  </r>
  <r>
    <x v="3"/>
    <x v="0"/>
    <n v="9555"/>
    <x v="1"/>
    <x v="0"/>
    <s v="SIMVASTATIN"/>
    <m/>
    <n v="2"/>
    <n v="1"/>
    <m/>
    <n v="1"/>
    <m/>
    <n v="1"/>
    <n v="1"/>
    <n v="1"/>
    <n v="2"/>
    <n v="1"/>
    <n v="1"/>
    <n v="1"/>
    <n v="1"/>
    <n v="1"/>
    <n v="1"/>
    <n v="1"/>
    <n v="1"/>
    <n v="2"/>
    <m/>
    <m/>
    <n v="1"/>
    <n v="1"/>
    <n v="2"/>
    <n v="1"/>
    <n v="1"/>
    <n v="1"/>
    <n v="1"/>
    <n v="1"/>
    <n v="1"/>
    <n v="1"/>
    <n v="1"/>
    <n v="1"/>
    <n v="1"/>
    <m/>
    <n v="1"/>
    <m/>
    <n v="1"/>
    <n v="1"/>
    <n v="2"/>
    <n v="2"/>
    <n v="2"/>
    <m/>
    <n v="1"/>
    <n v="2"/>
    <n v="1"/>
    <n v="46"/>
  </r>
  <r>
    <x v="3"/>
    <x v="0"/>
    <n v="10276"/>
    <x v="1"/>
    <x v="0"/>
    <s v="PRAVASTATIN SOD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  <m/>
    <m/>
    <m/>
    <m/>
    <n v="5"/>
  </r>
  <r>
    <x v="3"/>
    <x v="0"/>
    <n v="10276"/>
    <x v="1"/>
    <x v="6"/>
    <s v="EZETIMIBE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  <m/>
    <m/>
    <m/>
    <m/>
    <n v="5"/>
  </r>
  <r>
    <x v="3"/>
    <x v="0"/>
    <n v="1051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0510"/>
    <x v="1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n v="3"/>
  </r>
  <r>
    <x v="3"/>
    <x v="0"/>
    <n v="11202"/>
    <x v="1"/>
    <x v="0"/>
    <s v="ATORVASTATIN CALCIUM"/>
    <m/>
    <m/>
    <m/>
    <n v="1"/>
    <m/>
    <m/>
    <m/>
    <n v="1"/>
    <m/>
    <m/>
    <m/>
    <m/>
    <n v="1"/>
    <m/>
    <m/>
    <m/>
    <n v="1"/>
    <m/>
    <m/>
    <m/>
    <m/>
    <n v="1"/>
    <m/>
    <m/>
    <m/>
    <m/>
    <n v="1"/>
    <m/>
    <m/>
    <m/>
    <n v="1"/>
    <m/>
    <m/>
    <m/>
    <m/>
    <n v="1"/>
    <m/>
    <m/>
    <m/>
    <m/>
    <n v="1"/>
    <m/>
    <m/>
    <m/>
    <m/>
    <m/>
    <n v="9"/>
  </r>
  <r>
    <x v="3"/>
    <x v="0"/>
    <n v="1564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5642"/>
    <x v="1"/>
    <x v="3"/>
    <s v="RABEPRAZOLE SODIUM"/>
    <m/>
    <m/>
    <m/>
    <m/>
    <m/>
    <n v="1"/>
    <m/>
    <m/>
    <m/>
    <m/>
    <n v="1"/>
    <m/>
    <n v="1"/>
    <m/>
    <m/>
    <m/>
    <m/>
    <n v="1"/>
    <m/>
    <m/>
    <n v="1"/>
    <m/>
    <m/>
    <m/>
    <m/>
    <n v="1"/>
    <m/>
    <m/>
    <m/>
    <n v="1"/>
    <m/>
    <m/>
    <m/>
    <m/>
    <m/>
    <m/>
    <m/>
    <m/>
    <m/>
    <m/>
    <n v="2"/>
    <m/>
    <m/>
    <m/>
    <n v="1"/>
    <m/>
    <n v="10"/>
  </r>
  <r>
    <x v="3"/>
    <x v="0"/>
    <n v="17814"/>
    <x v="1"/>
    <x v="1"/>
    <s v="RANITIDINE HCL"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3"/>
    <x v="0"/>
    <n v="18970"/>
    <x v="1"/>
    <x v="0"/>
    <s v="SIMVASTATIN"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n v="9"/>
  </r>
  <r>
    <x v="3"/>
    <x v="0"/>
    <n v="21786"/>
    <x v="1"/>
    <x v="1"/>
    <s v="RANITIDINE HCL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1786"/>
    <x v="1"/>
    <x v="3"/>
    <s v="PANTOPRAZOLE MAGNESIUM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8941"/>
    <x v="1"/>
    <x v="9"/>
    <s v="CHOLESTYRAMINE/ASPARTAME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8941"/>
    <x v="1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3"/>
    <x v="0"/>
    <n v="2939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3"/>
    <x v="0"/>
    <n v="29938"/>
    <x v="1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n v="1"/>
    <m/>
    <m/>
    <m/>
    <m/>
    <n v="2"/>
    <n v="6"/>
  </r>
  <r>
    <x v="3"/>
    <x v="0"/>
    <n v="29938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n v="5"/>
  </r>
  <r>
    <x v="3"/>
    <x v="0"/>
    <n v="29938"/>
    <x v="1"/>
    <x v="3"/>
    <s v="RABEPRAZOLE SODIUM"/>
    <m/>
    <m/>
    <m/>
    <m/>
    <m/>
    <m/>
    <m/>
    <m/>
    <m/>
    <m/>
    <m/>
    <m/>
    <m/>
    <m/>
    <m/>
    <m/>
    <m/>
    <n v="2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8"/>
  </r>
  <r>
    <x v="3"/>
    <x v="0"/>
    <n v="30080"/>
    <x v="1"/>
    <x v="8"/>
    <s v="FENOFIBRATE, MICROCOATED"/>
    <m/>
    <m/>
    <m/>
    <m/>
    <m/>
    <m/>
    <m/>
    <m/>
    <m/>
    <m/>
    <m/>
    <n v="2"/>
    <m/>
    <n v="2"/>
    <n v="1"/>
    <m/>
    <n v="2"/>
    <m/>
    <n v="2"/>
    <n v="1"/>
    <m/>
    <n v="1"/>
    <n v="1"/>
    <n v="1"/>
    <n v="1"/>
    <n v="1"/>
    <n v="1"/>
    <n v="1"/>
    <n v="1"/>
    <n v="1"/>
    <n v="1"/>
    <n v="1"/>
    <n v="1"/>
    <n v="1"/>
    <n v="1"/>
    <m/>
    <n v="1"/>
    <m/>
    <n v="1"/>
    <m/>
    <n v="1"/>
    <n v="1"/>
    <n v="1"/>
    <n v="1"/>
    <m/>
    <n v="1"/>
    <n v="31"/>
  </r>
  <r>
    <x v="3"/>
    <x v="0"/>
    <n v="30080"/>
    <x v="1"/>
    <x v="8"/>
    <s v="FENOFIBRATE, MICRONIZED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</r>
  <r>
    <x v="3"/>
    <x v="0"/>
    <n v="30080"/>
    <x v="1"/>
    <x v="0"/>
    <s v="ROSUVASTATIN CALCIUM"/>
    <n v="1"/>
    <n v="1"/>
    <n v="1"/>
    <n v="1"/>
    <n v="1"/>
    <n v="1"/>
    <n v="1"/>
    <n v="1"/>
    <n v="1"/>
    <n v="1"/>
    <m/>
    <n v="2"/>
    <m/>
    <n v="2"/>
    <n v="1"/>
    <m/>
    <n v="2"/>
    <m/>
    <n v="2"/>
    <n v="1"/>
    <m/>
    <n v="1"/>
    <n v="1"/>
    <n v="1"/>
    <n v="1"/>
    <n v="1"/>
    <n v="1"/>
    <n v="1"/>
    <n v="1"/>
    <m/>
    <n v="1"/>
    <n v="1"/>
    <n v="1"/>
    <n v="1"/>
    <n v="1"/>
    <m/>
    <n v="1"/>
    <m/>
    <n v="1"/>
    <m/>
    <n v="1"/>
    <n v="1"/>
    <n v="1"/>
    <n v="1"/>
    <m/>
    <n v="1"/>
    <n v="40"/>
  </r>
  <r>
    <x v="3"/>
    <x v="0"/>
    <n v="2850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n v="2"/>
  </r>
  <r>
    <x v="3"/>
    <x v="0"/>
    <n v="30192"/>
    <x v="0"/>
    <x v="3"/>
    <s v="RABE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3"/>
    <x v="0"/>
    <n v="3303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0078"/>
    <x v="1"/>
    <x v="3"/>
    <s v="RABEPRAZOLE SOD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3"/>
  </r>
  <r>
    <x v="3"/>
    <x v="0"/>
    <n v="21529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n v="1"/>
    <n v="3"/>
  </r>
  <r>
    <x v="3"/>
    <x v="0"/>
    <n v="1028"/>
    <x v="0"/>
    <x v="3"/>
    <s v="RABEPRAZOLE SODIUM"/>
    <m/>
    <m/>
    <m/>
    <n v="1"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n v="4"/>
  </r>
  <r>
    <x v="3"/>
    <x v="0"/>
    <n v="1558"/>
    <x v="0"/>
    <x v="3"/>
    <s v="PANTOPRAZOLE MAGNES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6817"/>
    <x v="0"/>
    <x v="3"/>
    <s v="RABEPRAZOLE SODIUM"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n v="3"/>
  </r>
  <r>
    <x v="3"/>
    <x v="0"/>
    <n v="687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3"/>
    <x v="0"/>
    <n v="8774"/>
    <x v="0"/>
    <x v="3"/>
    <s v="RABEPRAZOLE SODIUM"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3"/>
    <x v="0"/>
    <n v="10275"/>
    <x v="0"/>
    <x v="3"/>
    <s v="OMEPRAZOLE"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n v="1"/>
    <m/>
    <m/>
    <n v="5"/>
  </r>
  <r>
    <x v="3"/>
    <x v="0"/>
    <n v="14991"/>
    <x v="0"/>
    <x v="3"/>
    <s v="PANTOPRAZOLE MAGNESIUM"/>
    <m/>
    <m/>
    <m/>
    <m/>
    <m/>
    <m/>
    <m/>
    <m/>
    <m/>
    <m/>
    <m/>
    <m/>
    <m/>
    <n v="2"/>
    <m/>
    <m/>
    <m/>
    <m/>
    <n v="1"/>
    <m/>
    <m/>
    <m/>
    <n v="1"/>
    <m/>
    <m/>
    <m/>
    <m/>
    <n v="1"/>
    <m/>
    <m/>
    <n v="1"/>
    <m/>
    <m/>
    <m/>
    <m/>
    <m/>
    <n v="1"/>
    <m/>
    <m/>
    <n v="2"/>
    <m/>
    <m/>
    <m/>
    <n v="2"/>
    <m/>
    <m/>
    <n v="11"/>
  </r>
  <r>
    <x v="3"/>
    <x v="0"/>
    <n v="18020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</r>
  <r>
    <x v="3"/>
    <x v="0"/>
    <n v="2117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</r>
  <r>
    <x v="3"/>
    <x v="0"/>
    <n v="8557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1"/>
  </r>
  <r>
    <x v="3"/>
    <x v="0"/>
    <n v="18493"/>
    <x v="1"/>
    <x v="3"/>
    <s v="PANTOPRAZOLE MAGNESIUM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6"/>
    <m/>
    <m/>
    <m/>
    <m/>
    <m/>
    <m/>
    <m/>
    <m/>
    <m/>
    <m/>
    <n v="251"/>
  </r>
  <r>
    <x v="3"/>
    <x v="0"/>
    <n v="29458"/>
    <x v="1"/>
    <x v="1"/>
    <s v="RANITIDINE HCL"/>
    <m/>
    <m/>
    <n v="1"/>
    <m/>
    <m/>
    <m/>
    <m/>
    <n v="3"/>
    <m/>
    <m/>
    <m/>
    <n v="1"/>
    <m/>
    <m/>
    <m/>
    <m/>
    <n v="1"/>
    <m/>
    <m/>
    <m/>
    <m/>
    <n v="1"/>
    <m/>
    <m/>
    <m/>
    <n v="2"/>
    <m/>
    <m/>
    <n v="1"/>
    <m/>
    <m/>
    <m/>
    <m/>
    <m/>
    <m/>
    <m/>
    <m/>
    <m/>
    <m/>
    <m/>
    <m/>
    <m/>
    <m/>
    <m/>
    <m/>
    <m/>
    <n v="10"/>
  </r>
  <r>
    <x v="3"/>
    <x v="0"/>
    <n v="2945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n v="2"/>
    <m/>
    <m/>
    <n v="2"/>
    <m/>
    <m/>
    <m/>
    <m/>
    <n v="1"/>
    <n v="7"/>
  </r>
  <r>
    <x v="3"/>
    <x v="0"/>
    <n v="703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3"/>
    <x v="0"/>
    <n v="11064"/>
    <x v="1"/>
    <x v="3"/>
    <s v="PANTOPRAZOLE MAGNESIUM"/>
    <m/>
    <m/>
    <m/>
    <m/>
    <m/>
    <m/>
    <m/>
    <m/>
    <m/>
    <m/>
    <m/>
    <m/>
    <m/>
    <m/>
    <n v="1"/>
    <n v="1"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n v="5"/>
  </r>
  <r>
    <x v="3"/>
    <x v="0"/>
    <n v="2048"/>
    <x v="0"/>
    <x v="3"/>
    <s v="PANTOPRAZOLE MAGNESIUM"/>
    <n v="1"/>
    <n v="1"/>
    <n v="1"/>
    <n v="1"/>
    <n v="1"/>
    <n v="1"/>
    <n v="1"/>
    <n v="1"/>
    <n v="1"/>
    <n v="2"/>
    <n v="1"/>
    <n v="1"/>
    <n v="2"/>
    <n v="1"/>
    <n v="1"/>
    <m/>
    <m/>
    <n v="1"/>
    <n v="1"/>
    <n v="1"/>
    <n v="1"/>
    <n v="1"/>
    <n v="1"/>
    <m/>
    <m/>
    <m/>
    <m/>
    <n v="1"/>
    <n v="2"/>
    <n v="1"/>
    <n v="1"/>
    <n v="2"/>
    <n v="1"/>
    <n v="1"/>
    <n v="1"/>
    <n v="1"/>
    <n v="1"/>
    <n v="1"/>
    <n v="1"/>
    <n v="1"/>
    <n v="1"/>
    <n v="1"/>
    <n v="1"/>
    <n v="1"/>
    <n v="1"/>
    <n v="1"/>
    <n v="44"/>
  </r>
  <r>
    <x v="3"/>
    <x v="0"/>
    <n v="5944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1"/>
    <m/>
    <n v="1"/>
    <n v="1"/>
    <n v="1"/>
    <m/>
    <n v="1"/>
    <m/>
    <n v="1"/>
    <m/>
    <n v="1"/>
    <m/>
    <n v="1"/>
    <n v="1"/>
    <m/>
    <m/>
    <n v="1"/>
    <n v="12"/>
  </r>
  <r>
    <x v="3"/>
    <x v="0"/>
    <n v="21554"/>
    <x v="0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3"/>
  </r>
  <r>
    <x v="3"/>
    <x v="0"/>
    <n v="22714"/>
    <x v="0"/>
    <x v="3"/>
    <s v="PANTO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9555"/>
    <x v="1"/>
    <x v="3"/>
    <s v="RABEPRAZOLE SODIUM"/>
    <m/>
    <n v="2"/>
    <n v="1"/>
    <m/>
    <n v="1"/>
    <m/>
    <n v="1"/>
    <n v="1"/>
    <n v="1"/>
    <n v="2"/>
    <n v="1"/>
    <n v="1"/>
    <n v="1"/>
    <n v="1"/>
    <n v="1"/>
    <n v="1"/>
    <n v="1"/>
    <n v="1"/>
    <n v="2"/>
    <m/>
    <m/>
    <n v="1"/>
    <n v="1"/>
    <n v="2"/>
    <n v="1"/>
    <n v="1"/>
    <n v="1"/>
    <n v="1"/>
    <n v="1"/>
    <n v="1"/>
    <n v="1"/>
    <n v="1"/>
    <n v="1"/>
    <n v="1"/>
    <m/>
    <n v="1"/>
    <m/>
    <n v="1"/>
    <n v="1"/>
    <n v="1"/>
    <n v="2"/>
    <n v="2"/>
    <m/>
    <n v="1"/>
    <n v="2"/>
    <n v="1"/>
    <n v="45"/>
  </r>
  <r>
    <x v="3"/>
    <x v="0"/>
    <n v="11202"/>
    <x v="1"/>
    <x v="3"/>
    <s v="RABEPRAZOLE SODIUM"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n v="4"/>
  </r>
  <r>
    <x v="3"/>
    <x v="0"/>
    <n v="916"/>
    <x v="0"/>
    <x v="3"/>
    <s v="RABEPRAZOLE SODIUM"/>
    <n v="1"/>
    <n v="1"/>
    <n v="1"/>
    <n v="1"/>
    <n v="1"/>
    <n v="1"/>
    <n v="1"/>
    <n v="1"/>
    <n v="1"/>
    <n v="1"/>
    <n v="1"/>
    <n v="1"/>
    <n v="2"/>
    <m/>
    <n v="1"/>
    <n v="1"/>
    <n v="1"/>
    <n v="1"/>
    <n v="1"/>
    <n v="1"/>
    <n v="1"/>
    <n v="1"/>
    <n v="1"/>
    <n v="1"/>
    <n v="1"/>
    <n v="1"/>
    <n v="1"/>
    <n v="1"/>
    <n v="2"/>
    <m/>
    <n v="1"/>
    <n v="2"/>
    <n v="1"/>
    <n v="1"/>
    <n v="1"/>
    <n v="2"/>
    <n v="1"/>
    <n v="1"/>
    <n v="1"/>
    <n v="2"/>
    <n v="1"/>
    <n v="1"/>
    <n v="1"/>
    <n v="3"/>
    <m/>
    <n v="2"/>
    <n v="51"/>
  </r>
  <r>
    <x v="3"/>
    <x v="0"/>
    <n v="3851"/>
    <x v="0"/>
    <x v="3"/>
    <s v="ESOMEPRAZOLE MAGNES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3"/>
    <x v="0"/>
    <n v="19786"/>
    <x v="0"/>
    <x v="3"/>
    <s v="PANTOPRAZOLE SODIUM"/>
    <n v="1"/>
    <n v="1"/>
    <n v="1"/>
    <n v="1"/>
    <n v="1"/>
    <n v="1"/>
    <n v="1"/>
    <n v="1"/>
    <n v="1"/>
    <n v="1"/>
    <n v="1"/>
    <n v="1"/>
    <n v="2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n v="35"/>
  </r>
  <r>
    <x v="3"/>
    <x v="0"/>
    <n v="80"/>
    <x v="1"/>
    <x v="3"/>
    <s v="LANSOPRAZOL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6110"/>
    <x v="1"/>
    <x v="3"/>
    <s v="ESOMEPRAZOLE MAGNESIUM"/>
    <m/>
    <m/>
    <m/>
    <m/>
    <m/>
    <n v="1"/>
    <m/>
    <m/>
    <m/>
    <n v="1"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3"/>
    <x v="0"/>
    <n v="378"/>
    <x v="0"/>
    <x v="0"/>
    <s v="ATORVASTATIN CALCIUM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1643"/>
    <x v="0"/>
    <x v="8"/>
    <s v="FENOFIBRATE, MICROCOAT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n v="2"/>
  </r>
  <r>
    <x v="3"/>
    <x v="0"/>
    <n v="4514"/>
    <x v="0"/>
    <x v="0"/>
    <s v="ATORVASTATIN CALCIUM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4514"/>
    <x v="0"/>
    <x v="0"/>
    <s v="ROSU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1"/>
    <n v="4"/>
  </r>
  <r>
    <x v="3"/>
    <x v="0"/>
    <n v="6038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3"/>
    <x v="0"/>
    <n v="10596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3"/>
    <x v="0"/>
    <n v="1184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2761"/>
    <x v="0"/>
    <x v="0"/>
    <s v="ATOR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3"/>
    <x v="0"/>
    <n v="13654"/>
    <x v="0"/>
    <x v="0"/>
    <s v="ROSUVASTATIN CALCIUM"/>
    <n v="1"/>
    <n v="1"/>
    <n v="1"/>
    <n v="1"/>
    <m/>
    <n v="1"/>
    <n v="1"/>
    <n v="1"/>
    <n v="1"/>
    <n v="2"/>
    <n v="1"/>
    <m/>
    <n v="1"/>
    <n v="1"/>
    <n v="2"/>
    <n v="1"/>
    <m/>
    <n v="1"/>
    <n v="1"/>
    <n v="1"/>
    <n v="2"/>
    <m/>
    <n v="1"/>
    <n v="1"/>
    <n v="1"/>
    <n v="1"/>
    <n v="1"/>
    <n v="1"/>
    <n v="1"/>
    <n v="2"/>
    <n v="1"/>
    <n v="1"/>
    <m/>
    <n v="2"/>
    <m/>
    <n v="1"/>
    <n v="1"/>
    <n v="1"/>
    <n v="1"/>
    <n v="1"/>
    <n v="2"/>
    <n v="1"/>
    <m/>
    <n v="1"/>
    <n v="2"/>
    <n v="1"/>
    <n v="46"/>
  </r>
  <r>
    <x v="3"/>
    <x v="0"/>
    <n v="1400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3"/>
    <x v="0"/>
    <n v="18860"/>
    <x v="0"/>
    <x v="0"/>
    <s v="SIMVASTATIN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3"/>
    <x v="0"/>
    <n v="21825"/>
    <x v="0"/>
    <x v="0"/>
    <s v="SIMVASTATIN"/>
    <m/>
    <m/>
    <m/>
    <m/>
    <m/>
    <m/>
    <m/>
    <m/>
    <m/>
    <n v="1"/>
    <m/>
    <m/>
    <m/>
    <n v="1"/>
    <m/>
    <m/>
    <m/>
    <m/>
    <n v="1"/>
    <m/>
    <m/>
    <m/>
    <m/>
    <m/>
    <m/>
    <m/>
    <m/>
    <n v="1"/>
    <m/>
    <m/>
    <m/>
    <n v="1"/>
    <m/>
    <m/>
    <m/>
    <m/>
    <n v="1"/>
    <m/>
    <m/>
    <m/>
    <m/>
    <m/>
    <m/>
    <m/>
    <n v="1"/>
    <m/>
    <n v="7"/>
  </r>
  <r>
    <x v="3"/>
    <x v="0"/>
    <n v="22772"/>
    <x v="0"/>
    <x v="0"/>
    <s v="PRAVASTATIN SODIUM"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3"/>
    <x v="0"/>
    <n v="23822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</r>
  <r>
    <x v="3"/>
    <x v="0"/>
    <n v="27167"/>
    <x v="0"/>
    <x v="8"/>
    <s v="FENOFIBRATE, MICROCOATED"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n v="3"/>
  </r>
  <r>
    <x v="3"/>
    <x v="0"/>
    <n v="27167"/>
    <x v="0"/>
    <x v="8"/>
    <s v="FENOFIBRATE, MICRONIZED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7733"/>
    <x v="0"/>
    <x v="0"/>
    <s v="ROSUVASTATIN CALCIUM"/>
    <n v="2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n v="1"/>
    <n v="6"/>
  </r>
  <r>
    <x v="3"/>
    <x v="0"/>
    <n v="28504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n v="3"/>
  </r>
  <r>
    <x v="3"/>
    <x v="0"/>
    <n v="29540"/>
    <x v="0"/>
    <x v="0"/>
    <s v="ROSUVASTATIN CALCIUM"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n v="2"/>
    <m/>
    <m/>
    <m/>
    <m/>
    <m/>
    <m/>
    <n v="4"/>
  </r>
  <r>
    <x v="3"/>
    <x v="0"/>
    <n v="29654"/>
    <x v="0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30192"/>
    <x v="0"/>
    <x v="0"/>
    <s v="ATOR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3"/>
    <x v="0"/>
    <n v="1520"/>
    <x v="1"/>
    <x v="0"/>
    <s v="SIMVASTATIN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5004"/>
    <x v="1"/>
    <x v="0"/>
    <s v="ATOR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3"/>
  </r>
  <r>
    <x v="3"/>
    <x v="0"/>
    <n v="8514"/>
    <x v="1"/>
    <x v="8"/>
    <s v="FENOFIBRATE, MICRONIZED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3"/>
    <x v="0"/>
    <n v="8871"/>
    <x v="1"/>
    <x v="0"/>
    <s v="ATORVASTATIN CALCIUM"/>
    <m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</r>
  <r>
    <x v="3"/>
    <x v="0"/>
    <n v="1081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123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1371"/>
    <x v="1"/>
    <x v="0"/>
    <s v="ROSUVASTATIN CALCIUM"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n v="3"/>
  </r>
  <r>
    <x v="3"/>
    <x v="0"/>
    <n v="11597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3"/>
    <x v="0"/>
    <n v="12208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n v="3"/>
  </r>
  <r>
    <x v="3"/>
    <x v="0"/>
    <n v="14707"/>
    <x v="1"/>
    <x v="0"/>
    <s v="SIMVASTATIN"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3"/>
    <x v="0"/>
    <n v="14990"/>
    <x v="1"/>
    <x v="0"/>
    <s v="ATORVASTATIN CALCIUM"/>
    <m/>
    <m/>
    <m/>
    <m/>
    <m/>
    <m/>
    <m/>
    <m/>
    <m/>
    <m/>
    <m/>
    <m/>
    <m/>
    <m/>
    <m/>
    <m/>
    <n v="1"/>
    <m/>
    <m/>
    <m/>
    <m/>
    <m/>
    <n v="1"/>
    <m/>
    <m/>
    <m/>
    <m/>
    <n v="1"/>
    <m/>
    <n v="2"/>
    <m/>
    <m/>
    <m/>
    <m/>
    <m/>
    <m/>
    <m/>
    <m/>
    <m/>
    <m/>
    <m/>
    <m/>
    <m/>
    <m/>
    <m/>
    <m/>
    <n v="5"/>
  </r>
  <r>
    <x v="3"/>
    <x v="0"/>
    <n v="16427"/>
    <x v="1"/>
    <x v="0"/>
    <s v="ATORVASTATIN CALCIUM"/>
    <m/>
    <n v="1"/>
    <m/>
    <m/>
    <m/>
    <n v="1"/>
    <m/>
    <m/>
    <m/>
    <m/>
    <n v="1"/>
    <m/>
    <m/>
    <m/>
    <n v="1"/>
    <m/>
    <m/>
    <n v="1"/>
    <m/>
    <m/>
    <m/>
    <m/>
    <m/>
    <n v="1"/>
    <m/>
    <m/>
    <n v="1"/>
    <m/>
    <m/>
    <n v="1"/>
    <m/>
    <m/>
    <n v="1"/>
    <m/>
    <m/>
    <m/>
    <m/>
    <m/>
    <n v="1"/>
    <m/>
    <m/>
    <m/>
    <n v="1"/>
    <m/>
    <m/>
    <m/>
    <n v="11"/>
  </r>
  <r>
    <x v="3"/>
    <x v="0"/>
    <n v="18342"/>
    <x v="1"/>
    <x v="0"/>
    <s v="SIMVASTATIN"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n v="9"/>
  </r>
  <r>
    <x v="3"/>
    <x v="0"/>
    <n v="27787"/>
    <x v="1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n v="3"/>
  </r>
  <r>
    <x v="3"/>
    <x v="0"/>
    <n v="28803"/>
    <x v="1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1"/>
    <n v="4"/>
  </r>
  <r>
    <x v="3"/>
    <x v="0"/>
    <n v="30076"/>
    <x v="1"/>
    <x v="0"/>
    <s v="ATORVASTATIN CALCIUM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4"/>
  </r>
  <r>
    <x v="3"/>
    <x v="0"/>
    <n v="30145"/>
    <x v="1"/>
    <x v="0"/>
    <s v="ATORVASTATIN CALCIUM"/>
    <m/>
    <n v="1"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3"/>
    <x v="0"/>
    <n v="3227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m/>
    <m/>
    <n v="3"/>
  </r>
  <r>
    <x v="3"/>
    <x v="0"/>
    <n v="32918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3"/>
    <x v="0"/>
    <n v="124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m/>
    <m/>
    <n v="3"/>
  </r>
  <r>
    <x v="3"/>
    <x v="0"/>
    <n v="2669"/>
    <x v="0"/>
    <x v="0"/>
    <s v="ATORVASTATIN CALCIUM"/>
    <m/>
    <m/>
    <m/>
    <m/>
    <n v="1"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4"/>
  </r>
  <r>
    <x v="3"/>
    <x v="0"/>
    <n v="4004"/>
    <x v="0"/>
    <x v="0"/>
    <s v="ATORVASTATIN CALCIUM"/>
    <m/>
    <n v="1"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3"/>
    <x v="0"/>
    <n v="4004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3"/>
    <x v="0"/>
    <n v="6173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7772"/>
    <x v="0"/>
    <x v="0"/>
    <s v="ROSUVASTATIN CALCIUM"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n v="1"/>
    <m/>
    <m/>
    <m/>
    <m/>
    <m/>
    <m/>
    <m/>
    <m/>
    <n v="1"/>
    <m/>
    <m/>
    <m/>
    <m/>
    <m/>
    <m/>
    <n v="4"/>
  </r>
  <r>
    <x v="3"/>
    <x v="0"/>
    <n v="14991"/>
    <x v="0"/>
    <x v="8"/>
    <s v="FENOFIBRATE, MICROCOATED"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n v="1"/>
    <m/>
    <m/>
    <m/>
    <m/>
    <m/>
    <n v="1"/>
    <m/>
    <m/>
    <m/>
    <n v="4"/>
  </r>
  <r>
    <x v="3"/>
    <x v="0"/>
    <n v="14991"/>
    <x v="0"/>
    <x v="0"/>
    <s v="ROSUVASTATIN CALCIUM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1"/>
    <m/>
    <m/>
    <m/>
    <m/>
    <m/>
    <m/>
    <m/>
    <m/>
    <n v="1"/>
    <m/>
    <m/>
    <m/>
    <m/>
    <m/>
    <m/>
    <n v="4"/>
  </r>
  <r>
    <x v="3"/>
    <x v="0"/>
    <n v="29134"/>
    <x v="0"/>
    <x v="0"/>
    <s v="AMLODIPINE/ATORVASTATIN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9134"/>
    <x v="0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4241"/>
    <x v="1"/>
    <x v="0"/>
    <s v="SIMVASTATIN"/>
    <m/>
    <m/>
    <m/>
    <m/>
    <m/>
    <m/>
    <n v="1"/>
    <m/>
    <m/>
    <n v="1"/>
    <m/>
    <m/>
    <m/>
    <m/>
    <n v="1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5"/>
  </r>
  <r>
    <x v="3"/>
    <x v="0"/>
    <n v="9757"/>
    <x v="1"/>
    <x v="0"/>
    <s v="ATORVASTATIN CALCIUM"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3"/>
  </r>
  <r>
    <x v="3"/>
    <x v="0"/>
    <n v="15642"/>
    <x v="1"/>
    <x v="0"/>
    <s v="ATORVASTATIN CALCIUM"/>
    <m/>
    <m/>
    <m/>
    <m/>
    <m/>
    <n v="1"/>
    <m/>
    <m/>
    <m/>
    <m/>
    <n v="1"/>
    <m/>
    <n v="1"/>
    <m/>
    <m/>
    <m/>
    <m/>
    <n v="1"/>
    <m/>
    <m/>
    <n v="1"/>
    <m/>
    <m/>
    <m/>
    <m/>
    <n v="1"/>
    <m/>
    <m/>
    <m/>
    <n v="1"/>
    <m/>
    <m/>
    <m/>
    <m/>
    <m/>
    <m/>
    <m/>
    <m/>
    <m/>
    <m/>
    <n v="2"/>
    <m/>
    <m/>
    <m/>
    <n v="1"/>
    <m/>
    <n v="10"/>
  </r>
  <r>
    <x v="3"/>
    <x v="0"/>
    <n v="21351"/>
    <x v="1"/>
    <x v="0"/>
    <s v="ROSUVASTATIN CALCIUM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1933"/>
    <x v="1"/>
    <x v="0"/>
    <s v="ROSUVASTATIN CALCIUM"/>
    <m/>
    <m/>
    <m/>
    <m/>
    <m/>
    <m/>
    <m/>
    <m/>
    <m/>
    <m/>
    <m/>
    <m/>
    <n v="1"/>
    <m/>
    <m/>
    <m/>
    <m/>
    <n v="1"/>
    <m/>
    <m/>
    <m/>
    <m/>
    <m/>
    <m/>
    <m/>
    <n v="1"/>
    <m/>
    <m/>
    <m/>
    <m/>
    <m/>
    <m/>
    <m/>
    <n v="1"/>
    <m/>
    <m/>
    <m/>
    <m/>
    <m/>
    <m/>
    <m/>
    <m/>
    <n v="1"/>
    <m/>
    <m/>
    <m/>
    <n v="5"/>
  </r>
  <r>
    <x v="3"/>
    <x v="0"/>
    <n v="29458"/>
    <x v="1"/>
    <x v="0"/>
    <s v="ATORVASTATIN CALCIUM"/>
    <m/>
    <m/>
    <n v="1"/>
    <m/>
    <m/>
    <m/>
    <m/>
    <n v="1"/>
    <m/>
    <m/>
    <m/>
    <n v="1"/>
    <m/>
    <m/>
    <m/>
    <m/>
    <n v="1"/>
    <m/>
    <m/>
    <m/>
    <m/>
    <n v="1"/>
    <m/>
    <m/>
    <m/>
    <n v="1"/>
    <m/>
    <m/>
    <n v="1"/>
    <m/>
    <m/>
    <m/>
    <m/>
    <n v="1"/>
    <m/>
    <m/>
    <m/>
    <n v="2"/>
    <m/>
    <m/>
    <n v="1"/>
    <m/>
    <m/>
    <m/>
    <m/>
    <n v="1"/>
    <n v="12"/>
  </r>
  <r>
    <x v="4"/>
    <x v="0"/>
    <n v="959"/>
    <x v="0"/>
    <x v="0"/>
    <s v="ATORVASTATIN CALCIUM"/>
    <m/>
    <m/>
    <m/>
    <m/>
    <m/>
    <m/>
    <m/>
    <m/>
    <m/>
    <m/>
    <m/>
    <m/>
    <m/>
    <m/>
    <m/>
    <m/>
    <m/>
    <m/>
    <m/>
    <m/>
    <m/>
    <n v="2"/>
    <m/>
    <m/>
    <m/>
    <m/>
    <m/>
    <n v="1"/>
    <m/>
    <m/>
    <m/>
    <n v="2"/>
    <m/>
    <m/>
    <n v="1"/>
    <m/>
    <m/>
    <m/>
    <m/>
    <m/>
    <m/>
    <m/>
    <m/>
    <m/>
    <m/>
    <m/>
    <n v="6"/>
  </r>
  <r>
    <x v="4"/>
    <x v="0"/>
    <n v="3179"/>
    <x v="0"/>
    <x v="8"/>
    <s v="FENOFIBRATE, MICROCOATED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n v="1"/>
    <m/>
    <m/>
    <m/>
    <n v="4"/>
  </r>
  <r>
    <x v="4"/>
    <x v="0"/>
    <n v="3179"/>
    <x v="0"/>
    <x v="0"/>
    <s v="ROSUVASTATIN CALCIUM"/>
    <m/>
    <m/>
    <m/>
    <m/>
    <m/>
    <m/>
    <m/>
    <m/>
    <m/>
    <m/>
    <m/>
    <m/>
    <m/>
    <m/>
    <n v="1"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n v="8"/>
  </r>
  <r>
    <x v="4"/>
    <x v="0"/>
    <n v="3179"/>
    <x v="0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4473"/>
    <x v="0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4473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n v="1"/>
    <m/>
    <m/>
    <m/>
    <n v="1"/>
    <m/>
    <m/>
    <m/>
    <m/>
    <n v="1"/>
    <m/>
    <m/>
    <m/>
    <m/>
    <n v="5"/>
  </r>
  <r>
    <x v="4"/>
    <x v="0"/>
    <n v="6113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4"/>
    <x v="0"/>
    <n v="14157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2"/>
    <m/>
    <m/>
    <m/>
    <m/>
    <m/>
    <m/>
    <m/>
    <m/>
    <m/>
    <n v="1"/>
    <m/>
    <m/>
    <m/>
    <m/>
    <n v="7"/>
  </r>
  <r>
    <x v="4"/>
    <x v="0"/>
    <n v="14497"/>
    <x v="0"/>
    <x v="7"/>
    <s v="PINAVERIUM BROMIDE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4994"/>
    <x v="0"/>
    <x v="0"/>
    <s v="SIMVASTATIN"/>
    <m/>
    <m/>
    <m/>
    <m/>
    <m/>
    <m/>
    <n v="1"/>
    <m/>
    <m/>
    <m/>
    <m/>
    <m/>
    <m/>
    <m/>
    <m/>
    <m/>
    <m/>
    <n v="1"/>
    <m/>
    <m/>
    <m/>
    <m/>
    <m/>
    <m/>
    <m/>
    <m/>
    <n v="1"/>
    <m/>
    <m/>
    <m/>
    <m/>
    <m/>
    <m/>
    <m/>
    <n v="1"/>
    <m/>
    <m/>
    <m/>
    <m/>
    <m/>
    <m/>
    <m/>
    <m/>
    <m/>
    <n v="1"/>
    <m/>
    <n v="5"/>
  </r>
  <r>
    <x v="4"/>
    <x v="0"/>
    <n v="1545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1"/>
    <m/>
    <m/>
    <m/>
    <m/>
    <n v="2"/>
    <m/>
    <m/>
    <m/>
    <m/>
    <m/>
    <m/>
    <m/>
    <m/>
    <n v="8"/>
  </r>
  <r>
    <x v="4"/>
    <x v="0"/>
    <n v="18410"/>
    <x v="0"/>
    <x v="3"/>
    <s v="OMEPRAZOLE"/>
    <m/>
    <m/>
    <m/>
    <m/>
    <m/>
    <m/>
    <m/>
    <n v="1"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n v="1"/>
    <m/>
    <m/>
    <m/>
    <m/>
    <m/>
    <m/>
    <n v="4"/>
  </r>
  <r>
    <x v="4"/>
    <x v="0"/>
    <n v="557"/>
    <x v="1"/>
    <x v="0"/>
    <s v="SIMVASTATIN"/>
    <m/>
    <n v="1"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4"/>
    <x v="0"/>
    <n v="390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4"/>
    <x v="0"/>
    <n v="6265"/>
    <x v="1"/>
    <x v="0"/>
    <s v="SIMVASTATIN"/>
    <m/>
    <m/>
    <n v="1"/>
    <m/>
    <m/>
    <n v="1"/>
    <m/>
    <m/>
    <m/>
    <n v="2"/>
    <m/>
    <m/>
    <m/>
    <m/>
    <n v="2"/>
    <m/>
    <m/>
    <m/>
    <n v="1"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3"/>
  </r>
  <r>
    <x v="4"/>
    <x v="0"/>
    <n v="6267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6491"/>
    <x v="1"/>
    <x v="0"/>
    <s v="LOVASTATIN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1"/>
    <m/>
    <m/>
    <m/>
    <m/>
    <m/>
    <m/>
    <m/>
    <n v="1"/>
    <n v="4"/>
  </r>
  <r>
    <x v="4"/>
    <x v="0"/>
    <n v="9180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3"/>
  </r>
  <r>
    <x v="4"/>
    <x v="0"/>
    <n v="9185"/>
    <x v="1"/>
    <x v="4"/>
    <s v="SUCRALFATE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4"/>
    <x v="0"/>
    <n v="9208"/>
    <x v="1"/>
    <x v="1"/>
    <s v="CIMETIDINE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9765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4"/>
    <x v="0"/>
    <n v="11457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4"/>
    <x v="0"/>
    <n v="11561"/>
    <x v="1"/>
    <x v="0"/>
    <s v="LOVASTATIN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4"/>
    <x v="0"/>
    <n v="12338"/>
    <x v="1"/>
    <x v="0"/>
    <s v="LOVASTATIN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3640"/>
    <x v="1"/>
    <x v="0"/>
    <s v="ATORVASTATIN CALCIUM"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m/>
    <n v="3"/>
    <m/>
    <m/>
    <m/>
    <m/>
    <m/>
    <m/>
    <m/>
    <m/>
    <m/>
    <m/>
    <m/>
    <m/>
    <m/>
    <n v="1"/>
    <m/>
    <n v="7"/>
  </r>
  <r>
    <x v="4"/>
    <x v="0"/>
    <n v="13927"/>
    <x v="1"/>
    <x v="0"/>
    <s v="SIMVASTATIN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1"/>
    <m/>
    <m/>
    <n v="4"/>
  </r>
  <r>
    <x v="4"/>
    <x v="0"/>
    <n v="14342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5441"/>
    <x v="1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n v="2"/>
    <n v="1"/>
    <m/>
    <m/>
    <m/>
    <n v="1"/>
    <m/>
    <m/>
    <m/>
    <m/>
    <n v="1"/>
    <m/>
    <m/>
    <m/>
    <m/>
    <m/>
    <m/>
    <m/>
    <m/>
    <m/>
    <n v="6"/>
  </r>
  <r>
    <x v="4"/>
    <x v="0"/>
    <n v="15442"/>
    <x v="1"/>
    <x v="3"/>
    <s v="RABEPRAZOLE SODIUM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4"/>
    <x v="0"/>
    <n v="15673"/>
    <x v="1"/>
    <x v="0"/>
    <s v="ATORVASTATIN CALCIUM"/>
    <m/>
    <m/>
    <m/>
    <m/>
    <m/>
    <m/>
    <m/>
    <m/>
    <m/>
    <m/>
    <m/>
    <m/>
    <m/>
    <m/>
    <m/>
    <n v="1"/>
    <n v="1"/>
    <m/>
    <m/>
    <m/>
    <n v="1"/>
    <m/>
    <m/>
    <m/>
    <m/>
    <n v="1"/>
    <m/>
    <m/>
    <m/>
    <n v="1"/>
    <m/>
    <m/>
    <m/>
    <m/>
    <n v="1"/>
    <m/>
    <m/>
    <m/>
    <n v="1"/>
    <m/>
    <m/>
    <n v="1"/>
    <n v="3"/>
    <m/>
    <m/>
    <n v="1"/>
    <n v="12"/>
  </r>
  <r>
    <x v="4"/>
    <x v="0"/>
    <n v="15673"/>
    <x v="1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3"/>
  </r>
  <r>
    <x v="4"/>
    <x v="0"/>
    <n v="1569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n v="1"/>
    <n v="3"/>
  </r>
  <r>
    <x v="4"/>
    <x v="0"/>
    <n v="15753"/>
    <x v="1"/>
    <x v="0"/>
    <s v="ROSU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1"/>
    <m/>
    <m/>
    <m/>
    <m/>
    <m/>
    <m/>
    <n v="4"/>
  </r>
  <r>
    <x v="4"/>
    <x v="0"/>
    <n v="16064"/>
    <x v="1"/>
    <x v="0"/>
    <s v="SIMVASTATIN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3"/>
  </r>
  <r>
    <x v="4"/>
    <x v="0"/>
    <n v="1793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2103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4"/>
    <x v="0"/>
    <n v="153"/>
    <x v="0"/>
    <x v="3"/>
    <s v="OMEPRAZOLE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n v="2"/>
    <m/>
    <n v="4"/>
  </r>
  <r>
    <x v="4"/>
    <x v="0"/>
    <n v="18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n v="2"/>
  </r>
  <r>
    <x v="4"/>
    <x v="0"/>
    <n v="18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4"/>
    <x v="0"/>
    <n v="649"/>
    <x v="0"/>
    <x v="1"/>
    <s v="RANITIDINE HCL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94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49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73"/>
    <x v="0"/>
    <x v="0"/>
    <s v="SIMVASTATIN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4"/>
    <x v="0"/>
    <n v="1885"/>
    <x v="0"/>
    <x v="3"/>
    <s v="PANTOPRAZOLE SODIUM"/>
    <m/>
    <m/>
    <m/>
    <n v="2"/>
    <m/>
    <m/>
    <m/>
    <m/>
    <n v="1"/>
    <m/>
    <m/>
    <m/>
    <n v="1"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n v="6"/>
  </r>
  <r>
    <x v="4"/>
    <x v="0"/>
    <n v="1965"/>
    <x v="0"/>
    <x v="0"/>
    <s v="SIMVASTATIN"/>
    <n v="2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n v="6"/>
  </r>
  <r>
    <x v="4"/>
    <x v="0"/>
    <n v="1965"/>
    <x v="0"/>
    <x v="6"/>
    <s v="EZETIMIBE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4"/>
    <x v="0"/>
    <n v="2097"/>
    <x v="0"/>
    <x v="0"/>
    <s v="ROSUVASTATIN CALCIUM"/>
    <m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m/>
    <n v="2"/>
    <m/>
    <n v="1"/>
    <n v="1"/>
    <n v="1"/>
    <n v="1"/>
    <n v="1"/>
    <n v="1"/>
    <n v="1"/>
    <n v="1"/>
    <n v="1"/>
    <n v="1"/>
    <n v="2"/>
    <n v="47"/>
  </r>
  <r>
    <x v="4"/>
    <x v="0"/>
    <n v="2237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2335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2502"/>
    <x v="0"/>
    <x v="1"/>
    <s v="CIMETIDINE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n v="1"/>
    <m/>
    <n v="4"/>
  </r>
  <r>
    <x v="4"/>
    <x v="0"/>
    <n v="250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4"/>
    <x v="0"/>
    <n v="250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4"/>
    <x v="0"/>
    <n v="3109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3200"/>
    <x v="0"/>
    <x v="0"/>
    <s v="ROSUVASTATIN CALCIUM"/>
    <m/>
    <m/>
    <m/>
    <n v="1"/>
    <m/>
    <m/>
    <m/>
    <m/>
    <m/>
    <n v="1"/>
    <m/>
    <m/>
    <m/>
    <m/>
    <m/>
    <m/>
    <n v="3"/>
    <m/>
    <m/>
    <m/>
    <m/>
    <m/>
    <n v="1"/>
    <m/>
    <m/>
    <m/>
    <m/>
    <m/>
    <m/>
    <n v="1"/>
    <m/>
    <m/>
    <n v="1"/>
    <m/>
    <m/>
    <m/>
    <n v="1"/>
    <m/>
    <m/>
    <m/>
    <n v="1"/>
    <m/>
    <m/>
    <m/>
    <n v="1"/>
    <m/>
    <n v="11"/>
  </r>
  <r>
    <x v="4"/>
    <x v="0"/>
    <n v="3214"/>
    <x v="0"/>
    <x v="3"/>
    <s v="RABEPRAZOLE SODIUM"/>
    <m/>
    <n v="2"/>
    <m/>
    <m/>
    <m/>
    <m/>
    <n v="1"/>
    <m/>
    <m/>
    <m/>
    <m/>
    <n v="1"/>
    <m/>
    <m/>
    <m/>
    <m/>
    <m/>
    <m/>
    <m/>
    <m/>
    <m/>
    <n v="1"/>
    <m/>
    <m/>
    <n v="1"/>
    <m/>
    <m/>
    <m/>
    <m/>
    <m/>
    <m/>
    <m/>
    <m/>
    <n v="1"/>
    <m/>
    <m/>
    <m/>
    <m/>
    <m/>
    <m/>
    <m/>
    <m/>
    <n v="1"/>
    <m/>
    <m/>
    <m/>
    <n v="8"/>
  </r>
  <r>
    <x v="4"/>
    <x v="0"/>
    <n v="3336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4"/>
    <x v="0"/>
    <n v="3337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4541"/>
    <x v="0"/>
    <x v="0"/>
    <s v="SIMVASTATIN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n v="3"/>
  </r>
  <r>
    <x v="4"/>
    <x v="0"/>
    <n v="6266"/>
    <x v="0"/>
    <x v="0"/>
    <s v="SIMVASTATIN"/>
    <m/>
    <n v="1"/>
    <m/>
    <m/>
    <m/>
    <n v="1"/>
    <n v="1"/>
    <m/>
    <m/>
    <n v="2"/>
    <m/>
    <m/>
    <m/>
    <n v="1"/>
    <n v="1"/>
    <m/>
    <m/>
    <m/>
    <n v="2"/>
    <m/>
    <m/>
    <m/>
    <m/>
    <n v="2"/>
    <n v="2"/>
    <n v="1"/>
    <m/>
    <m/>
    <n v="1"/>
    <m/>
    <m/>
    <m/>
    <m/>
    <n v="1"/>
    <m/>
    <m/>
    <m/>
    <n v="1"/>
    <m/>
    <m/>
    <m/>
    <n v="1"/>
    <m/>
    <m/>
    <n v="1"/>
    <m/>
    <n v="19"/>
  </r>
  <r>
    <x v="4"/>
    <x v="0"/>
    <n v="6457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n v="2"/>
  </r>
  <r>
    <x v="4"/>
    <x v="0"/>
    <n v="7192"/>
    <x v="0"/>
    <x v="7"/>
    <s v="PINAVERIUM BROMIDE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7"/>
  </r>
  <r>
    <x v="4"/>
    <x v="0"/>
    <n v="7192"/>
    <x v="0"/>
    <x v="3"/>
    <s v="RABEPRAZOLE SODIUM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8"/>
  </r>
  <r>
    <x v="4"/>
    <x v="0"/>
    <n v="7318"/>
    <x v="0"/>
    <x v="3"/>
    <s v="RABEPRAZOLE SODIUM"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n v="4"/>
  </r>
  <r>
    <x v="4"/>
    <x v="0"/>
    <n v="7478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3"/>
  </r>
  <r>
    <x v="4"/>
    <x v="0"/>
    <n v="8539"/>
    <x v="0"/>
    <x v="3"/>
    <s v="RABEPRAZOLE SOD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4"/>
    <x v="0"/>
    <n v="885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8850"/>
    <x v="0"/>
    <x v="3"/>
    <s v="ESOMEPRAZOLE MAGNES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4"/>
    <x v="0"/>
    <n v="9211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4"/>
    <x v="0"/>
    <n v="9211"/>
    <x v="0"/>
    <x v="4"/>
    <s v="SUCRALFATE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4"/>
    <x v="0"/>
    <n v="9211"/>
    <x v="0"/>
    <x v="3"/>
    <s v="RABEPRAZOLE SODIUM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9759"/>
    <x v="0"/>
    <x v="3"/>
    <s v="RABEPRAZOLE SODIUM"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n v="5"/>
  </r>
  <r>
    <x v="4"/>
    <x v="0"/>
    <n v="9942"/>
    <x v="0"/>
    <x v="3"/>
    <s v="RABEPRAZOLE SODIUM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0121"/>
    <x v="0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4"/>
    <x v="0"/>
    <n v="10182"/>
    <x v="0"/>
    <x v="3"/>
    <s v="RABEPRAZOLE SODIUM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4"/>
    <x v="0"/>
    <n v="10715"/>
    <x v="0"/>
    <x v="3"/>
    <s v="RABEPRAZOLE SODIUM"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4"/>
    <x v="0"/>
    <n v="12156"/>
    <x v="0"/>
    <x v="3"/>
    <s v="OMEPRAZOLE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n v="3"/>
  </r>
  <r>
    <x v="4"/>
    <x v="0"/>
    <n v="12241"/>
    <x v="0"/>
    <x v="3"/>
    <s v="OMEPRAZOLE MAGNESIUM"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n v="4"/>
  </r>
  <r>
    <x v="4"/>
    <x v="0"/>
    <n v="1325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3252"/>
    <x v="0"/>
    <x v="3"/>
    <s v="OMEPRAZOLE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4"/>
    <x v="0"/>
    <n v="13477"/>
    <x v="0"/>
    <x v="4"/>
    <s v="SUCRALFATE"/>
    <m/>
    <m/>
    <m/>
    <m/>
    <m/>
    <m/>
    <m/>
    <n v="1"/>
    <m/>
    <m/>
    <m/>
    <m/>
    <m/>
    <m/>
    <m/>
    <n v="1"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n v="1"/>
    <n v="5"/>
  </r>
  <r>
    <x v="4"/>
    <x v="0"/>
    <n v="1347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4"/>
    <x v="0"/>
    <n v="1406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06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4"/>
    <x v="0"/>
    <n v="14988"/>
    <x v="0"/>
    <x v="3"/>
    <s v="RABEPRAZOLE SOD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4"/>
    <x v="0"/>
    <n v="18482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8855"/>
    <x v="0"/>
    <x v="3"/>
    <s v="ESOMEPRAZOLE MAGNESIUM"/>
    <m/>
    <m/>
    <m/>
    <m/>
    <m/>
    <m/>
    <n v="1"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1"/>
    <m/>
    <m/>
    <n v="5"/>
  </r>
  <r>
    <x v="4"/>
    <x v="0"/>
    <n v="18963"/>
    <x v="0"/>
    <x v="3"/>
    <s v="OMEPRAZOLE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937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4"/>
    <x v="0"/>
    <n v="2153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4"/>
    <x v="0"/>
    <n v="33718"/>
    <x v="0"/>
    <x v="7"/>
    <s v="PINAVERIUM BROMIDE"/>
    <m/>
    <m/>
    <m/>
    <m/>
    <m/>
    <n v="1"/>
    <m/>
    <m/>
    <n v="2"/>
    <m/>
    <m/>
    <m/>
    <m/>
    <m/>
    <m/>
    <m/>
    <n v="1"/>
    <m/>
    <m/>
    <m/>
    <n v="1"/>
    <m/>
    <m/>
    <m/>
    <m/>
    <m/>
    <n v="1"/>
    <m/>
    <m/>
    <m/>
    <m/>
    <m/>
    <m/>
    <n v="1"/>
    <m/>
    <m/>
    <m/>
    <m/>
    <m/>
    <m/>
    <m/>
    <m/>
    <m/>
    <m/>
    <m/>
    <m/>
    <n v="7"/>
  </r>
  <r>
    <x v="4"/>
    <x v="0"/>
    <n v="3371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n v="2"/>
  </r>
  <r>
    <x v="4"/>
    <x v="0"/>
    <n v="743"/>
    <x v="1"/>
    <x v="0"/>
    <s v="LOVASTATIN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4"/>
    <x v="0"/>
    <n v="743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72"/>
    <x v="1"/>
    <x v="0"/>
    <s v="SIMVASTATIN"/>
    <m/>
    <m/>
    <m/>
    <n v="1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n v="4"/>
  </r>
  <r>
    <x v="4"/>
    <x v="0"/>
    <n v="1699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699"/>
    <x v="1"/>
    <x v="0"/>
    <s v="ATORVASTATIN CALCIUM"/>
    <m/>
    <m/>
    <n v="2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5"/>
  </r>
  <r>
    <x v="4"/>
    <x v="0"/>
    <n v="1699"/>
    <x v="1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4"/>
    <x v="0"/>
    <n v="2022"/>
    <x v="1"/>
    <x v="0"/>
    <s v="SIMVASTATIN"/>
    <m/>
    <m/>
    <m/>
    <m/>
    <m/>
    <m/>
    <m/>
    <m/>
    <m/>
    <m/>
    <m/>
    <m/>
    <n v="4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6"/>
  </r>
  <r>
    <x v="4"/>
    <x v="0"/>
    <n v="2069"/>
    <x v="1"/>
    <x v="1"/>
    <s v="RANITIDINE HCL"/>
    <m/>
    <n v="1"/>
    <m/>
    <m/>
    <m/>
    <n v="1"/>
    <n v="1"/>
    <m/>
    <m/>
    <n v="1"/>
    <m/>
    <m/>
    <m/>
    <n v="1"/>
    <m/>
    <m/>
    <m/>
    <m/>
    <n v="1"/>
    <m/>
    <m/>
    <n v="1"/>
    <m/>
    <m/>
    <n v="1"/>
    <m/>
    <m/>
    <m/>
    <m/>
    <n v="1"/>
    <m/>
    <m/>
    <m/>
    <n v="1"/>
    <m/>
    <m/>
    <m/>
    <m/>
    <n v="1"/>
    <m/>
    <m/>
    <n v="1"/>
    <m/>
    <m/>
    <m/>
    <m/>
    <n v="12"/>
  </r>
  <r>
    <x v="4"/>
    <x v="0"/>
    <n v="2191"/>
    <x v="1"/>
    <x v="0"/>
    <s v="SIMVASTATIN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4"/>
    <x v="0"/>
    <n v="2877"/>
    <x v="1"/>
    <x v="3"/>
    <s v="RABEPRAZOLE SODIUM"/>
    <m/>
    <n v="1"/>
    <m/>
    <m/>
    <m/>
    <n v="1"/>
    <m/>
    <m/>
    <m/>
    <m/>
    <n v="1"/>
    <m/>
    <m/>
    <m/>
    <n v="1"/>
    <m/>
    <m/>
    <n v="1"/>
    <m/>
    <m/>
    <m/>
    <n v="1"/>
    <m/>
    <m/>
    <m/>
    <n v="1"/>
    <n v="1"/>
    <n v="1"/>
    <m/>
    <m/>
    <m/>
    <n v="1"/>
    <m/>
    <m/>
    <m/>
    <n v="1"/>
    <n v="1"/>
    <m/>
    <n v="1"/>
    <m/>
    <m/>
    <m/>
    <m/>
    <n v="1"/>
    <m/>
    <n v="1"/>
    <n v="15"/>
  </r>
  <r>
    <x v="4"/>
    <x v="0"/>
    <n v="3871"/>
    <x v="1"/>
    <x v="0"/>
    <s v="SIMVASTATIN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1"/>
    <m/>
    <m/>
    <n v="4"/>
  </r>
  <r>
    <x v="4"/>
    <x v="0"/>
    <n v="5082"/>
    <x v="1"/>
    <x v="3"/>
    <s v="PANTOPRAZOLE SOD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3"/>
  </r>
  <r>
    <x v="4"/>
    <x v="0"/>
    <n v="5177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4"/>
    <x v="0"/>
    <n v="7839"/>
    <x v="1"/>
    <x v="3"/>
    <s v="PANTOPRAZOLE SODIUM"/>
    <n v="1"/>
    <m/>
    <m/>
    <m/>
    <m/>
    <m/>
    <m/>
    <m/>
    <m/>
    <m/>
    <m/>
    <m/>
    <m/>
    <m/>
    <m/>
    <m/>
    <n v="1"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n v="4"/>
  </r>
  <r>
    <x v="4"/>
    <x v="0"/>
    <n v="7855"/>
    <x v="1"/>
    <x v="0"/>
    <s v="ROSUVASTATIN CALCIUM"/>
    <m/>
    <m/>
    <m/>
    <m/>
    <n v="1"/>
    <m/>
    <m/>
    <m/>
    <n v="1"/>
    <m/>
    <m/>
    <n v="1"/>
    <m/>
    <m/>
    <m/>
    <n v="1"/>
    <m/>
    <m/>
    <n v="1"/>
    <m/>
    <m/>
    <m/>
    <n v="1"/>
    <m/>
    <n v="1"/>
    <m/>
    <m/>
    <m/>
    <m/>
    <m/>
    <m/>
    <n v="1"/>
    <m/>
    <m/>
    <m/>
    <n v="1"/>
    <m/>
    <m/>
    <m/>
    <m/>
    <n v="1"/>
    <m/>
    <m/>
    <m/>
    <n v="1"/>
    <m/>
    <n v="11"/>
  </r>
  <r>
    <x v="4"/>
    <x v="0"/>
    <n v="8195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n v="2"/>
  </r>
  <r>
    <x v="4"/>
    <x v="0"/>
    <n v="8195"/>
    <x v="1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n v="1"/>
    <m/>
    <m/>
    <m/>
    <m/>
    <n v="1"/>
    <m/>
    <m/>
    <m/>
    <n v="4"/>
  </r>
  <r>
    <x v="4"/>
    <x v="0"/>
    <n v="8195"/>
    <x v="1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8195"/>
    <x v="1"/>
    <x v="0"/>
    <s v="SIMVASTATIN"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4"/>
    <x v="0"/>
    <n v="8195"/>
    <x v="1"/>
    <x v="5"/>
    <s v="NIACIN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4"/>
    <x v="0"/>
    <n v="1109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4"/>
    <x v="0"/>
    <n v="11434"/>
    <x v="1"/>
    <x v="3"/>
    <s v="ESOMEPRAZOLE MAGNESIUM"/>
    <m/>
    <m/>
    <m/>
    <m/>
    <m/>
    <m/>
    <m/>
    <m/>
    <m/>
    <n v="2"/>
    <m/>
    <m/>
    <m/>
    <m/>
    <n v="1"/>
    <m/>
    <m/>
    <m/>
    <m/>
    <n v="1"/>
    <m/>
    <m/>
    <m/>
    <n v="1"/>
    <m/>
    <m/>
    <m/>
    <m/>
    <m/>
    <m/>
    <m/>
    <m/>
    <m/>
    <m/>
    <m/>
    <m/>
    <n v="1"/>
    <m/>
    <m/>
    <m/>
    <m/>
    <m/>
    <m/>
    <m/>
    <m/>
    <m/>
    <n v="6"/>
  </r>
  <r>
    <x v="4"/>
    <x v="0"/>
    <n v="11516"/>
    <x v="1"/>
    <x v="3"/>
    <s v="RABEPRAZOLE SODIUM"/>
    <m/>
    <m/>
    <n v="1"/>
    <m/>
    <m/>
    <m/>
    <n v="1"/>
    <n v="1"/>
    <m/>
    <m/>
    <m/>
    <n v="1"/>
    <m/>
    <m/>
    <m/>
    <n v="1"/>
    <m/>
    <m/>
    <m/>
    <n v="1"/>
    <m/>
    <m/>
    <m/>
    <n v="1"/>
    <n v="1"/>
    <m/>
    <m/>
    <m/>
    <n v="1"/>
    <m/>
    <m/>
    <m/>
    <n v="1"/>
    <n v="1"/>
    <m/>
    <m/>
    <m/>
    <n v="1"/>
    <m/>
    <m/>
    <m/>
    <m/>
    <n v="1"/>
    <m/>
    <m/>
    <m/>
    <n v="13"/>
  </r>
  <r>
    <x v="4"/>
    <x v="0"/>
    <n v="11736"/>
    <x v="1"/>
    <x v="0"/>
    <s v="LOVASTATIN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4"/>
    <x v="0"/>
    <n v="11736"/>
    <x v="1"/>
    <x v="3"/>
    <s v="OMEPRAZOLE"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1"/>
    <n v="1"/>
    <m/>
    <m/>
    <m/>
    <m/>
    <m/>
    <m/>
    <m/>
    <n v="5"/>
  </r>
  <r>
    <x v="4"/>
    <x v="0"/>
    <n v="11829"/>
    <x v="1"/>
    <x v="3"/>
    <s v="ESOMEPRAZOLE MAGNESIUM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3"/>
  </r>
  <r>
    <x v="4"/>
    <x v="0"/>
    <n v="11880"/>
    <x v="1"/>
    <x v="8"/>
    <s v="GEMFIBROZIL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n v="4"/>
  </r>
  <r>
    <x v="4"/>
    <x v="0"/>
    <n v="1188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1880"/>
    <x v="1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</r>
  <r>
    <x v="4"/>
    <x v="0"/>
    <n v="14102"/>
    <x v="1"/>
    <x v="0"/>
    <s v="SIMVASTATIN"/>
    <m/>
    <m/>
    <n v="1"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n v="5"/>
  </r>
  <r>
    <x v="4"/>
    <x v="0"/>
    <n v="14163"/>
    <x v="1"/>
    <x v="3"/>
    <s v="RABEPRAZOLE SODIUM"/>
    <m/>
    <m/>
    <m/>
    <m/>
    <m/>
    <m/>
    <m/>
    <n v="2"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4"/>
  </r>
  <r>
    <x v="4"/>
    <x v="0"/>
    <n v="14281"/>
    <x v="1"/>
    <x v="3"/>
    <s v="ESOMEPRAZOLE MAGNESIUM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3"/>
  </r>
  <r>
    <x v="4"/>
    <x v="0"/>
    <n v="14281"/>
    <x v="1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429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4"/>
    <x v="0"/>
    <n v="14292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n v="2"/>
  </r>
  <r>
    <x v="4"/>
    <x v="0"/>
    <n v="14576"/>
    <x v="1"/>
    <x v="3"/>
    <s v="RABEPRAZOLE SODIUM"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1"/>
    <m/>
    <m/>
    <n v="5"/>
  </r>
  <r>
    <x v="4"/>
    <x v="0"/>
    <n v="1495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5087"/>
    <x v="1"/>
    <x v="0"/>
    <s v="ATOR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5482"/>
    <x v="1"/>
    <x v="3"/>
    <s v="RABEPRAZOLE SODIUM"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n v="5"/>
  </r>
  <r>
    <x v="4"/>
    <x v="0"/>
    <n v="1565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n v="1"/>
    <m/>
    <m/>
    <m/>
    <n v="1"/>
    <m/>
    <m/>
    <m/>
    <n v="1"/>
    <m/>
    <m/>
    <m/>
    <n v="5"/>
  </r>
  <r>
    <x v="4"/>
    <x v="0"/>
    <n v="16753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4"/>
  </r>
  <r>
    <x v="4"/>
    <x v="0"/>
    <n v="18196"/>
    <x v="1"/>
    <x v="3"/>
    <s v="OMEPRAZOLE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1"/>
  </r>
  <r>
    <x v="4"/>
    <x v="0"/>
    <n v="20429"/>
    <x v="1"/>
    <x v="0"/>
    <s v="SIMVASTATIN"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3"/>
  </r>
  <r>
    <x v="4"/>
    <x v="0"/>
    <n v="21484"/>
    <x v="1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n v="4"/>
  </r>
  <r>
    <x v="4"/>
    <x v="0"/>
    <n v="22969"/>
    <x v="1"/>
    <x v="3"/>
    <s v="RABEPRAZOLE SODIUM"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n v="1"/>
    <n v="4"/>
  </r>
  <r>
    <x v="4"/>
    <x v="0"/>
    <n v="23780"/>
    <x v="1"/>
    <x v="3"/>
    <s v="ESOMEPRAZOLE MAGNES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23780"/>
    <x v="1"/>
    <x v="3"/>
    <s v="RABEPRAZOLE SODIUM"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4"/>
    <x v="0"/>
    <n v="32319"/>
    <x v="1"/>
    <x v="3"/>
    <s v="LANSOPRAZOLE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4"/>
    <x v="0"/>
    <n v="5178"/>
    <x v="0"/>
    <x v="3"/>
    <s v="PANTOPRAZOLE SODIUM"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n v="4"/>
  </r>
  <r>
    <x v="4"/>
    <x v="0"/>
    <n v="744"/>
    <x v="0"/>
    <x v="3"/>
    <s v="OMEPRAZOLE"/>
    <m/>
    <m/>
    <n v="2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5"/>
  </r>
  <r>
    <x v="4"/>
    <x v="0"/>
    <n v="919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198"/>
    <x v="0"/>
    <x v="3"/>
    <s v="ESOMEPRAZOLE MAGNES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3"/>
  </r>
  <r>
    <x v="4"/>
    <x v="0"/>
    <n v="9602"/>
    <x v="0"/>
    <x v="3"/>
    <s v="OMEPRAZOLE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1"/>
    <m/>
    <m/>
    <m/>
    <n v="4"/>
  </r>
  <r>
    <x v="4"/>
    <x v="0"/>
    <n v="10121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4"/>
    <x v="0"/>
    <n v="10512"/>
    <x v="0"/>
    <x v="3"/>
    <s v="OMEPRAZOLE"/>
    <m/>
    <m/>
    <m/>
    <m/>
    <m/>
    <n v="1"/>
    <m/>
    <m/>
    <m/>
    <m/>
    <m/>
    <m/>
    <m/>
    <m/>
    <m/>
    <m/>
    <m/>
    <n v="1"/>
    <m/>
    <m/>
    <m/>
    <m/>
    <m/>
    <m/>
    <m/>
    <m/>
    <n v="1"/>
    <m/>
    <n v="1"/>
    <m/>
    <m/>
    <m/>
    <m/>
    <m/>
    <m/>
    <m/>
    <m/>
    <m/>
    <m/>
    <m/>
    <n v="1"/>
    <m/>
    <m/>
    <m/>
    <m/>
    <m/>
    <n v="5"/>
  </r>
  <r>
    <x v="4"/>
    <x v="0"/>
    <n v="12339"/>
    <x v="0"/>
    <x v="3"/>
    <s v="OMEPRAZOLE"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4"/>
    <x v="0"/>
    <n v="14553"/>
    <x v="0"/>
    <x v="3"/>
    <s v="RABEPRAZOLE SOD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n v="3"/>
  </r>
  <r>
    <x v="4"/>
    <x v="0"/>
    <n v="17847"/>
    <x v="0"/>
    <x v="3"/>
    <s v="RABEPRAZOLE SODIUM"/>
    <m/>
    <m/>
    <m/>
    <m/>
    <m/>
    <n v="1"/>
    <m/>
    <m/>
    <m/>
    <m/>
    <m/>
    <m/>
    <m/>
    <m/>
    <m/>
    <n v="1"/>
    <m/>
    <n v="1"/>
    <m/>
    <m/>
    <m/>
    <m/>
    <m/>
    <m/>
    <m/>
    <m/>
    <m/>
    <m/>
    <m/>
    <m/>
    <m/>
    <n v="1"/>
    <m/>
    <m/>
    <m/>
    <m/>
    <m/>
    <m/>
    <m/>
    <m/>
    <m/>
    <n v="1"/>
    <m/>
    <m/>
    <m/>
    <m/>
    <n v="5"/>
  </r>
  <r>
    <x v="4"/>
    <x v="0"/>
    <n v="2191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3"/>
  </r>
  <r>
    <x v="4"/>
    <x v="0"/>
    <n v="2334"/>
    <x v="1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4"/>
    <x v="0"/>
    <n v="7855"/>
    <x v="1"/>
    <x v="3"/>
    <s v="RABEPRAZOLE SODIUM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9175"/>
    <x v="1"/>
    <x v="3"/>
    <s v="RABEPRAZOLE SOD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n v="1"/>
    <n v="5"/>
  </r>
  <r>
    <x v="4"/>
    <x v="0"/>
    <n v="9494"/>
    <x v="1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2298"/>
    <x v="1"/>
    <x v="3"/>
    <s v="PANTOPRAZOLE SOD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n v="3"/>
  </r>
  <r>
    <x v="4"/>
    <x v="0"/>
    <n v="13475"/>
    <x v="1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4"/>
    <x v="0"/>
    <n v="14098"/>
    <x v="1"/>
    <x v="1"/>
    <s v="RANITIDINE HCL"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n v="4"/>
  </r>
  <r>
    <x v="4"/>
    <x v="0"/>
    <n v="11457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3200"/>
    <x v="0"/>
    <x v="3"/>
    <s v="RABEPRAZOLE SODIUM"/>
    <m/>
    <n v="1"/>
    <m/>
    <m/>
    <n v="1"/>
    <m/>
    <m/>
    <m/>
    <m/>
    <n v="2"/>
    <m/>
    <m/>
    <m/>
    <m/>
    <m/>
    <m/>
    <n v="1"/>
    <m/>
    <m/>
    <m/>
    <m/>
    <m/>
    <n v="1"/>
    <m/>
    <m/>
    <m/>
    <m/>
    <m/>
    <m/>
    <n v="1"/>
    <m/>
    <m/>
    <n v="2"/>
    <m/>
    <m/>
    <m/>
    <n v="1"/>
    <m/>
    <m/>
    <m/>
    <n v="1"/>
    <m/>
    <m/>
    <m/>
    <n v="1"/>
    <m/>
    <n v="12"/>
  </r>
  <r>
    <x v="4"/>
    <x v="0"/>
    <n v="4209"/>
    <x v="0"/>
    <x v="3"/>
    <s v="RABE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2"/>
    <n v="1"/>
    <n v="1"/>
    <n v="1"/>
    <n v="1"/>
    <n v="1"/>
    <n v="1"/>
    <n v="2"/>
    <n v="1"/>
    <n v="1"/>
    <n v="1"/>
    <n v="50"/>
  </r>
  <r>
    <x v="4"/>
    <x v="0"/>
    <n v="6266"/>
    <x v="0"/>
    <x v="3"/>
    <s v="RABEPRAZOLE SODIUM"/>
    <m/>
    <n v="1"/>
    <m/>
    <m/>
    <m/>
    <n v="1"/>
    <n v="1"/>
    <m/>
    <m/>
    <n v="2"/>
    <m/>
    <m/>
    <m/>
    <n v="1"/>
    <n v="1"/>
    <m/>
    <m/>
    <m/>
    <n v="2"/>
    <m/>
    <m/>
    <m/>
    <m/>
    <n v="2"/>
    <n v="2"/>
    <n v="1"/>
    <m/>
    <m/>
    <n v="1"/>
    <m/>
    <m/>
    <m/>
    <m/>
    <n v="1"/>
    <m/>
    <m/>
    <m/>
    <n v="1"/>
    <m/>
    <m/>
    <m/>
    <n v="1"/>
    <m/>
    <m/>
    <n v="1"/>
    <m/>
    <n v="19"/>
  </r>
  <r>
    <x v="4"/>
    <x v="0"/>
    <n v="972"/>
    <x v="1"/>
    <x v="3"/>
    <s v="PANTO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2022"/>
    <x v="1"/>
    <x v="3"/>
    <s v="PANTOPRAZOLE SOD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n v="3"/>
  </r>
  <r>
    <x v="4"/>
    <x v="0"/>
    <n v="14102"/>
    <x v="1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20429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20429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4"/>
    <x v="0"/>
    <n v="973"/>
    <x v="0"/>
    <x v="2"/>
    <s v="MISOPROSTOL"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4"/>
  </r>
  <r>
    <x v="4"/>
    <x v="0"/>
    <n v="973"/>
    <x v="0"/>
    <x v="3"/>
    <s v="ESOMEPRAZOLE MAGNESIUM"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2"/>
  </r>
  <r>
    <x v="4"/>
    <x v="0"/>
    <n v="2097"/>
    <x v="0"/>
    <x v="3"/>
    <s v="RABEPRAZOLE SODIUM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m/>
    <n v="2"/>
    <m/>
    <n v="2"/>
    <n v="1"/>
    <n v="1"/>
    <n v="1"/>
    <n v="1"/>
    <n v="1"/>
    <n v="1"/>
    <n v="1"/>
    <n v="1"/>
    <n v="1"/>
    <n v="2"/>
    <n v="48"/>
  </r>
  <r>
    <x v="4"/>
    <x v="0"/>
    <n v="3012"/>
    <x v="0"/>
    <x v="4"/>
    <s v="SUCRALFATE"/>
    <n v="1"/>
    <n v="1"/>
    <n v="1"/>
    <n v="2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2"/>
    <n v="1"/>
    <n v="2"/>
    <n v="1"/>
    <n v="1"/>
    <n v="1"/>
    <n v="1"/>
    <n v="1"/>
    <n v="1"/>
    <n v="1"/>
    <n v="1"/>
    <n v="1"/>
    <n v="52"/>
  </r>
  <r>
    <x v="4"/>
    <x v="0"/>
    <n v="3012"/>
    <x v="0"/>
    <x v="3"/>
    <s v="RABEPRAZOLE SODIUM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49"/>
  </r>
  <r>
    <x v="4"/>
    <x v="0"/>
    <n v="960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4"/>
    <x v="0"/>
    <n v="16753"/>
    <x v="1"/>
    <x v="3"/>
    <s v="ESOMEPRAZOLE MAGNESIUM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4"/>
    <x v="0"/>
    <n v="11095"/>
    <x v="0"/>
    <x v="0"/>
    <s v="ATORVASTATIN CALCIUM"/>
    <m/>
    <m/>
    <m/>
    <m/>
    <m/>
    <m/>
    <m/>
    <m/>
    <m/>
    <m/>
    <m/>
    <m/>
    <m/>
    <m/>
    <m/>
    <m/>
    <m/>
    <m/>
    <n v="2"/>
    <m/>
    <m/>
    <m/>
    <m/>
    <n v="1"/>
    <m/>
    <m/>
    <m/>
    <m/>
    <m/>
    <m/>
    <n v="1"/>
    <m/>
    <m/>
    <m/>
    <m/>
    <m/>
    <m/>
    <m/>
    <m/>
    <m/>
    <m/>
    <m/>
    <m/>
    <m/>
    <m/>
    <n v="1"/>
    <n v="5"/>
  </r>
  <r>
    <x v="4"/>
    <x v="0"/>
    <n v="11792"/>
    <x v="0"/>
    <x v="8"/>
    <s v="GEMFIBROZIL"/>
    <m/>
    <m/>
    <m/>
    <n v="1"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3"/>
  </r>
  <r>
    <x v="4"/>
    <x v="0"/>
    <n v="16082"/>
    <x v="0"/>
    <x v="0"/>
    <s v="ROSUVASTATIN CALCIUM"/>
    <m/>
    <n v="1"/>
    <m/>
    <m/>
    <m/>
    <m/>
    <m/>
    <m/>
    <n v="1"/>
    <m/>
    <m/>
    <m/>
    <m/>
    <m/>
    <m/>
    <m/>
    <m/>
    <n v="1"/>
    <m/>
    <m/>
    <m/>
    <m/>
    <m/>
    <m/>
    <m/>
    <n v="1"/>
    <m/>
    <m/>
    <m/>
    <m/>
    <m/>
    <m/>
    <n v="1"/>
    <m/>
    <m/>
    <m/>
    <m/>
    <m/>
    <m/>
    <n v="1"/>
    <m/>
    <n v="1"/>
    <m/>
    <m/>
    <m/>
    <m/>
    <n v="7"/>
  </r>
  <r>
    <x v="4"/>
    <x v="0"/>
    <n v="958"/>
    <x v="1"/>
    <x v="8"/>
    <s v="GEMFIBROZIL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4"/>
    <x v="0"/>
    <n v="1858"/>
    <x v="1"/>
    <x v="0"/>
    <s v="SIMVASTATIN"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4"/>
    <x v="0"/>
    <n v="4379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n v="3"/>
  </r>
  <r>
    <x v="4"/>
    <x v="0"/>
    <n v="9185"/>
    <x v="1"/>
    <x v="0"/>
    <s v="LOVASTATIN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4"/>
    <x v="0"/>
    <n v="9810"/>
    <x v="1"/>
    <x v="0"/>
    <s v="ATORVASTATIN CALCIUM"/>
    <m/>
    <m/>
    <m/>
    <m/>
    <m/>
    <m/>
    <m/>
    <n v="1"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4"/>
  </r>
  <r>
    <x v="4"/>
    <x v="0"/>
    <n v="11508"/>
    <x v="1"/>
    <x v="0"/>
    <s v="LOVASTATIN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3"/>
  </r>
  <r>
    <x v="4"/>
    <x v="0"/>
    <n v="12155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4"/>
    <x v="0"/>
    <n v="13702"/>
    <x v="1"/>
    <x v="0"/>
    <s v="ATOR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1"/>
    <n v="4"/>
  </r>
  <r>
    <x v="4"/>
    <x v="0"/>
    <n v="14168"/>
    <x v="1"/>
    <x v="8"/>
    <s v="GEMFIBROZIL"/>
    <m/>
    <m/>
    <m/>
    <m/>
    <m/>
    <m/>
    <m/>
    <n v="1"/>
    <m/>
    <m/>
    <m/>
    <m/>
    <m/>
    <m/>
    <m/>
    <m/>
    <n v="1"/>
    <m/>
    <m/>
    <m/>
    <m/>
    <m/>
    <m/>
    <n v="1"/>
    <m/>
    <m/>
    <m/>
    <m/>
    <m/>
    <m/>
    <m/>
    <m/>
    <m/>
    <n v="1"/>
    <m/>
    <m/>
    <m/>
    <m/>
    <m/>
    <m/>
    <m/>
    <m/>
    <n v="1"/>
    <m/>
    <m/>
    <m/>
    <n v="5"/>
  </r>
  <r>
    <x v="4"/>
    <x v="0"/>
    <n v="14349"/>
    <x v="1"/>
    <x v="0"/>
    <s v="ATORVASTATIN CALCIUM"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4"/>
  </r>
  <r>
    <x v="4"/>
    <x v="0"/>
    <n v="14539"/>
    <x v="1"/>
    <x v="0"/>
    <s v="ATORVASTATIN CALCIUM"/>
    <m/>
    <n v="2"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5"/>
  </r>
  <r>
    <x v="4"/>
    <x v="0"/>
    <n v="17932"/>
    <x v="1"/>
    <x v="0"/>
    <s v="ATOR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n v="4"/>
  </r>
  <r>
    <x v="4"/>
    <x v="0"/>
    <n v="744"/>
    <x v="0"/>
    <x v="0"/>
    <s v="LOVASTATIN"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n v="4"/>
  </r>
  <r>
    <x v="4"/>
    <x v="0"/>
    <n v="11828"/>
    <x v="0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4"/>
  </r>
  <r>
    <x v="4"/>
    <x v="0"/>
    <n v="12241"/>
    <x v="0"/>
    <x v="0"/>
    <s v="SIMVASTATIN"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3"/>
  </r>
  <r>
    <x v="4"/>
    <x v="0"/>
    <n v="14341"/>
    <x v="0"/>
    <x v="0"/>
    <s v="PRAVASTATIN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4"/>
    <x v="0"/>
    <n v="14553"/>
    <x v="0"/>
    <x v="0"/>
    <s v="SIMVASTATIN"/>
    <m/>
    <m/>
    <m/>
    <m/>
    <m/>
    <m/>
    <m/>
    <n v="1"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n v="6"/>
  </r>
  <r>
    <x v="4"/>
    <x v="0"/>
    <n v="15690"/>
    <x v="0"/>
    <x v="0"/>
    <s v="ROSUVASTATIN CALCIUM"/>
    <m/>
    <m/>
    <m/>
    <m/>
    <m/>
    <m/>
    <m/>
    <n v="1"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m/>
    <m/>
    <m/>
    <n v="1"/>
    <m/>
    <m/>
    <m/>
    <n v="1"/>
    <n v="10"/>
  </r>
  <r>
    <x v="4"/>
    <x v="0"/>
    <n v="138"/>
    <x v="1"/>
    <x v="8"/>
    <s v="GEMFIBROZIL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4"/>
    <x v="0"/>
    <n v="138"/>
    <x v="1"/>
    <x v="0"/>
    <s v="ATORVASTATIN CALCIUM"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n v="1"/>
    <m/>
    <m/>
    <n v="6"/>
  </r>
  <r>
    <x v="4"/>
    <x v="0"/>
    <n v="399"/>
    <x v="1"/>
    <x v="0"/>
    <s v="SIMVASTATIN"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4"/>
  </r>
  <r>
    <x v="4"/>
    <x v="0"/>
    <n v="2069"/>
    <x v="1"/>
    <x v="0"/>
    <s v="ROSUVASTATIN CALCIUM"/>
    <m/>
    <n v="1"/>
    <m/>
    <m/>
    <m/>
    <n v="1"/>
    <m/>
    <m/>
    <m/>
    <n v="1"/>
    <m/>
    <m/>
    <m/>
    <n v="1"/>
    <m/>
    <m/>
    <m/>
    <m/>
    <n v="1"/>
    <m/>
    <m/>
    <n v="1"/>
    <m/>
    <m/>
    <n v="1"/>
    <m/>
    <m/>
    <m/>
    <m/>
    <n v="1"/>
    <m/>
    <m/>
    <m/>
    <n v="1"/>
    <m/>
    <m/>
    <m/>
    <m/>
    <n v="1"/>
    <m/>
    <m/>
    <n v="1"/>
    <m/>
    <m/>
    <m/>
    <m/>
    <n v="11"/>
  </r>
  <r>
    <x v="4"/>
    <x v="0"/>
    <n v="5082"/>
    <x v="1"/>
    <x v="0"/>
    <s v="SIMVASTATIN"/>
    <m/>
    <m/>
    <m/>
    <m/>
    <m/>
    <m/>
    <m/>
    <m/>
    <m/>
    <n v="1"/>
    <m/>
    <m/>
    <m/>
    <m/>
    <m/>
    <m/>
    <m/>
    <m/>
    <m/>
    <m/>
    <m/>
    <n v="1"/>
    <m/>
    <m/>
    <m/>
    <n v="1"/>
    <m/>
    <m/>
    <m/>
    <m/>
    <m/>
    <m/>
    <m/>
    <m/>
    <m/>
    <m/>
    <m/>
    <n v="1"/>
    <m/>
    <m/>
    <m/>
    <m/>
    <m/>
    <m/>
    <m/>
    <m/>
    <n v="4"/>
  </r>
  <r>
    <x v="4"/>
    <x v="0"/>
    <n v="13475"/>
    <x v="1"/>
    <x v="0"/>
    <s v="SIMVASTATIN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  <m/>
    <m/>
    <n v="5"/>
  </r>
  <r>
    <x v="4"/>
    <x v="0"/>
    <n v="14098"/>
    <x v="1"/>
    <x v="0"/>
    <s v="ATOR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4"/>
    <x v="0"/>
    <n v="14281"/>
    <x v="1"/>
    <x v="0"/>
    <s v="SIMVASTATIN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4"/>
    <x v="0"/>
    <n v="14601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4992"/>
    <x v="1"/>
    <x v="0"/>
    <s v="SIMVASTATIN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5"/>
    <x v="0"/>
    <n v="494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n v="4"/>
  </r>
  <r>
    <x v="5"/>
    <x v="0"/>
    <n v="1862"/>
    <x v="0"/>
    <x v="1"/>
    <s v="RANITIDINE HCL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5"/>
    <x v="0"/>
    <n v="1862"/>
    <x v="0"/>
    <x v="3"/>
    <s v="ESOMEPRAZOLE MAGNES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5"/>
    <x v="0"/>
    <n v="3241"/>
    <x v="0"/>
    <x v="0"/>
    <s v="ATORVASTATIN CALCIUM"/>
    <m/>
    <m/>
    <n v="1"/>
    <m/>
    <m/>
    <m/>
    <n v="1"/>
    <m/>
    <m/>
    <m/>
    <m/>
    <n v="1"/>
    <m/>
    <m/>
    <m/>
    <n v="1"/>
    <m/>
    <m/>
    <n v="1"/>
    <m/>
    <m/>
    <m/>
    <m/>
    <m/>
    <m/>
    <n v="1"/>
    <m/>
    <n v="1"/>
    <m/>
    <m/>
    <m/>
    <m/>
    <m/>
    <m/>
    <m/>
    <n v="1"/>
    <m/>
    <m/>
    <m/>
    <n v="1"/>
    <m/>
    <m/>
    <m/>
    <m/>
    <n v="1"/>
    <m/>
    <n v="10"/>
  </r>
  <r>
    <x v="5"/>
    <x v="0"/>
    <n v="324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11376"/>
    <x v="0"/>
    <x v="3"/>
    <s v="ESOMEPRAZOLE MAGNESIUM"/>
    <m/>
    <m/>
    <m/>
    <m/>
    <m/>
    <m/>
    <m/>
    <m/>
    <m/>
    <m/>
    <m/>
    <m/>
    <m/>
    <m/>
    <m/>
    <n v="1"/>
    <m/>
    <m/>
    <m/>
    <n v="1"/>
    <m/>
    <m/>
    <m/>
    <n v="1"/>
    <m/>
    <m/>
    <m/>
    <n v="1"/>
    <m/>
    <m/>
    <m/>
    <m/>
    <m/>
    <m/>
    <m/>
    <n v="1"/>
    <m/>
    <m/>
    <m/>
    <m/>
    <m/>
    <m/>
    <m/>
    <m/>
    <m/>
    <m/>
    <n v="5"/>
  </r>
  <r>
    <x v="5"/>
    <x v="0"/>
    <n v="13668"/>
    <x v="0"/>
    <x v="3"/>
    <s v="PANTOPRAZOLE MAGNESIUM"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5"/>
    <x v="0"/>
    <n v="17155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5"/>
    <x v="0"/>
    <n v="21477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5"/>
    <x v="0"/>
    <n v="21995"/>
    <x v="0"/>
    <x v="3"/>
    <s v="PANTO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5"/>
    <x v="0"/>
    <n v="22317"/>
    <x v="0"/>
    <x v="0"/>
    <s v="ATORVASTATIN CALCIUM"/>
    <m/>
    <m/>
    <m/>
    <m/>
    <m/>
    <n v="7"/>
    <m/>
    <m/>
    <m/>
    <m/>
    <m/>
    <n v="1"/>
    <m/>
    <m/>
    <m/>
    <m/>
    <m/>
    <n v="1"/>
    <m/>
    <m/>
    <m/>
    <m/>
    <n v="1"/>
    <m/>
    <m/>
    <m/>
    <m/>
    <m/>
    <n v="1"/>
    <m/>
    <m/>
    <m/>
    <n v="1"/>
    <m/>
    <m/>
    <m/>
    <n v="1"/>
    <m/>
    <m/>
    <m/>
    <m/>
    <m/>
    <m/>
    <m/>
    <m/>
    <m/>
    <n v="13"/>
  </r>
  <r>
    <x v="5"/>
    <x v="0"/>
    <n v="2277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22851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31096"/>
    <x v="0"/>
    <x v="0"/>
    <s v="ATOR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5"/>
    <x v="0"/>
    <n v="8031"/>
    <x v="1"/>
    <x v="3"/>
    <s v="PANTOPRAZOLE SODIUM"/>
    <m/>
    <m/>
    <m/>
    <m/>
    <m/>
    <m/>
    <m/>
    <m/>
    <m/>
    <m/>
    <m/>
    <m/>
    <m/>
    <m/>
    <m/>
    <m/>
    <m/>
    <m/>
    <m/>
    <m/>
    <m/>
    <n v="2"/>
    <m/>
    <m/>
    <m/>
    <n v="2"/>
    <m/>
    <n v="2"/>
    <n v="1"/>
    <n v="1"/>
    <n v="1"/>
    <m/>
    <n v="1"/>
    <m/>
    <m/>
    <m/>
    <m/>
    <m/>
    <m/>
    <m/>
    <m/>
    <m/>
    <m/>
    <m/>
    <m/>
    <m/>
    <n v="10"/>
  </r>
  <r>
    <x v="5"/>
    <x v="0"/>
    <n v="9059"/>
    <x v="1"/>
    <x v="0"/>
    <s v="SIMVASTATIN"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5"/>
    <x v="0"/>
    <n v="22262"/>
    <x v="1"/>
    <x v="0"/>
    <s v="ATORVASTATIN CALCIUM"/>
    <n v="1"/>
    <m/>
    <m/>
    <m/>
    <m/>
    <n v="1"/>
    <m/>
    <m/>
    <m/>
    <m/>
    <n v="1"/>
    <m/>
    <m/>
    <m/>
    <n v="1"/>
    <m/>
    <m/>
    <m/>
    <n v="1"/>
    <m/>
    <m/>
    <m/>
    <m/>
    <n v="1"/>
    <m/>
    <m/>
    <m/>
    <n v="2"/>
    <m/>
    <m/>
    <m/>
    <m/>
    <n v="1"/>
    <m/>
    <m/>
    <m/>
    <n v="1"/>
    <m/>
    <m/>
    <n v="1"/>
    <m/>
    <m/>
    <m/>
    <m/>
    <m/>
    <n v="1"/>
    <n v="12"/>
  </r>
  <r>
    <x v="5"/>
    <x v="0"/>
    <n v="26683"/>
    <x v="1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5"/>
    <x v="0"/>
    <n v="29602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n v="4"/>
  </r>
  <r>
    <x v="5"/>
    <x v="0"/>
    <n v="3132"/>
    <x v="0"/>
    <x v="0"/>
    <s v="SIMVASTATIN"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n v="7"/>
  </r>
  <r>
    <x v="5"/>
    <x v="0"/>
    <n v="4164"/>
    <x v="0"/>
    <x v="3"/>
    <s v="OMEPRAZOLE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5"/>
    <x v="0"/>
    <n v="4164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5"/>
    <x v="0"/>
    <n v="5304"/>
    <x v="0"/>
    <x v="3"/>
    <s v="ESOMEPRAZOLE MAGNESIUM"/>
    <m/>
    <m/>
    <m/>
    <m/>
    <m/>
    <m/>
    <m/>
    <n v="1"/>
    <m/>
    <m/>
    <m/>
    <m/>
    <m/>
    <m/>
    <m/>
    <m/>
    <m/>
    <m/>
    <m/>
    <m/>
    <m/>
    <m/>
    <m/>
    <m/>
    <m/>
    <m/>
    <m/>
    <n v="2"/>
    <m/>
    <m/>
    <n v="1"/>
    <m/>
    <m/>
    <n v="1"/>
    <m/>
    <m/>
    <m/>
    <m/>
    <n v="1"/>
    <m/>
    <m/>
    <m/>
    <m/>
    <m/>
    <m/>
    <n v="1"/>
    <n v="7"/>
  </r>
  <r>
    <x v="5"/>
    <x v="0"/>
    <n v="562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  <m/>
    <m/>
    <m/>
    <n v="3"/>
  </r>
  <r>
    <x v="5"/>
    <x v="0"/>
    <n v="5705"/>
    <x v="0"/>
    <x v="3"/>
    <s v="RABEPRAZOLE SODIUM"/>
    <n v="1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n v="4"/>
  </r>
  <r>
    <x v="5"/>
    <x v="0"/>
    <n v="5743"/>
    <x v="0"/>
    <x v="3"/>
    <s v="PANTOPRAZOLE SOD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n v="1"/>
    <m/>
    <m/>
    <m/>
    <n v="4"/>
  </r>
  <r>
    <x v="5"/>
    <x v="0"/>
    <n v="6261"/>
    <x v="0"/>
    <x v="1"/>
    <s v="RANITIDINE HCL"/>
    <n v="1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3"/>
  </r>
  <r>
    <x v="5"/>
    <x v="0"/>
    <n v="795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n v="2"/>
  </r>
  <r>
    <x v="5"/>
    <x v="0"/>
    <n v="11121"/>
    <x v="0"/>
    <x v="0"/>
    <s v="SIMVASTATIN"/>
    <n v="1"/>
    <m/>
    <m/>
    <m/>
    <n v="1"/>
    <m/>
    <m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n v="1"/>
    <m/>
    <m/>
    <m/>
    <n v="9"/>
  </r>
  <r>
    <x v="5"/>
    <x v="0"/>
    <n v="20484"/>
    <x v="0"/>
    <x v="0"/>
    <s v="ATORVASTATIN CALCIUM"/>
    <m/>
    <m/>
    <m/>
    <m/>
    <m/>
    <m/>
    <m/>
    <n v="1"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m/>
    <n v="3"/>
    <m/>
    <m/>
    <m/>
    <n v="7"/>
  </r>
  <r>
    <x v="5"/>
    <x v="0"/>
    <n v="31884"/>
    <x v="0"/>
    <x v="3"/>
    <s v="PANTOPRAZOLE MAGNESIUM"/>
    <m/>
    <m/>
    <n v="1"/>
    <n v="1"/>
    <m/>
    <n v="1"/>
    <m/>
    <m/>
    <m/>
    <m/>
    <n v="4"/>
    <m/>
    <m/>
    <m/>
    <n v="1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1"/>
    <m/>
    <n v="11"/>
  </r>
  <r>
    <x v="5"/>
    <x v="0"/>
    <n v="31884"/>
    <x v="0"/>
    <x v="3"/>
    <s v="PANTOPRAZOLE SODIUM"/>
    <m/>
    <m/>
    <n v="1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5"/>
    <x v="0"/>
    <n v="6162"/>
    <x v="1"/>
    <x v="9"/>
    <s v="CHOLESTYRAMINE/ASPARTAME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5"/>
    <x v="0"/>
    <n v="6162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5"/>
    <x v="0"/>
    <n v="20999"/>
    <x v="1"/>
    <x v="0"/>
    <s v="SIMVASTATIN"/>
    <m/>
    <n v="1"/>
    <m/>
    <m/>
    <m/>
    <m/>
    <n v="1"/>
    <m/>
    <m/>
    <m/>
    <m/>
    <n v="1"/>
    <m/>
    <m/>
    <m/>
    <m/>
    <m/>
    <n v="1"/>
    <m/>
    <m/>
    <m/>
    <m/>
    <m/>
    <n v="1"/>
    <m/>
    <m/>
    <m/>
    <m/>
    <n v="1"/>
    <m/>
    <m/>
    <m/>
    <m/>
    <n v="1"/>
    <m/>
    <m/>
    <m/>
    <n v="1"/>
    <m/>
    <m/>
    <m/>
    <m/>
    <n v="1"/>
    <m/>
    <m/>
    <m/>
    <n v="9"/>
  </r>
  <r>
    <x v="5"/>
    <x v="0"/>
    <n v="5843"/>
    <x v="0"/>
    <x v="3"/>
    <s v="ESOMEPRAZOLE MAGNESIUM"/>
    <n v="1"/>
    <m/>
    <m/>
    <m/>
    <m/>
    <m/>
    <n v="1"/>
    <m/>
    <m/>
    <m/>
    <n v="1"/>
    <m/>
    <m/>
    <m/>
    <m/>
    <m/>
    <m/>
    <n v="1"/>
    <m/>
    <m/>
    <m/>
    <m/>
    <m/>
    <m/>
    <n v="1"/>
    <m/>
    <m/>
    <m/>
    <m/>
    <m/>
    <n v="1"/>
    <m/>
    <m/>
    <m/>
    <m/>
    <n v="1"/>
    <m/>
    <m/>
    <m/>
    <m/>
    <m/>
    <m/>
    <m/>
    <m/>
    <m/>
    <n v="1"/>
    <n v="8"/>
  </r>
  <r>
    <x v="5"/>
    <x v="0"/>
    <n v="8032"/>
    <x v="0"/>
    <x v="3"/>
    <s v="PANTOPRAZOLE SODIUM"/>
    <m/>
    <m/>
    <m/>
    <m/>
    <n v="1"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4"/>
  </r>
  <r>
    <x v="5"/>
    <x v="0"/>
    <n v="22889"/>
    <x v="0"/>
    <x v="3"/>
    <s v="PANTOPRAZOLE SODIUM"/>
    <m/>
    <n v="1"/>
    <m/>
    <m/>
    <m/>
    <n v="1"/>
    <m/>
    <m/>
    <m/>
    <n v="1"/>
    <m/>
    <m/>
    <m/>
    <m/>
    <m/>
    <n v="1"/>
    <m/>
    <m/>
    <m/>
    <n v="1"/>
    <m/>
    <m/>
    <n v="1"/>
    <m/>
    <m/>
    <m/>
    <m/>
    <n v="1"/>
    <m/>
    <m/>
    <m/>
    <n v="1"/>
    <m/>
    <m/>
    <m/>
    <n v="1"/>
    <m/>
    <m/>
    <m/>
    <m/>
    <n v="1"/>
    <m/>
    <m/>
    <n v="1"/>
    <m/>
    <m/>
    <n v="11"/>
  </r>
  <r>
    <x v="5"/>
    <x v="0"/>
    <n v="3132"/>
    <x v="0"/>
    <x v="1"/>
    <s v="RANITIDINE HCL"/>
    <m/>
    <m/>
    <m/>
    <n v="2"/>
    <n v="1"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n v="8"/>
  </r>
  <r>
    <x v="5"/>
    <x v="0"/>
    <n v="2782"/>
    <x v="0"/>
    <x v="0"/>
    <s v="PRAVASTATIN SOD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5"/>
    <x v="0"/>
    <n v="5314"/>
    <x v="0"/>
    <x v="0"/>
    <s v="ATORVASTATIN CALCIUM"/>
    <m/>
    <m/>
    <m/>
    <n v="1"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1"/>
    <m/>
    <m/>
    <m/>
    <m/>
    <m/>
    <m/>
    <n v="1"/>
    <n v="6"/>
  </r>
  <r>
    <x v="5"/>
    <x v="0"/>
    <n v="6920"/>
    <x v="0"/>
    <x v="0"/>
    <s v="ATORVASTATIN CALCIUM"/>
    <m/>
    <m/>
    <m/>
    <m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n v="1"/>
    <m/>
    <m/>
    <m/>
    <m/>
    <m/>
    <n v="1"/>
    <m/>
    <m/>
    <m/>
    <n v="9"/>
  </r>
  <r>
    <x v="5"/>
    <x v="0"/>
    <n v="2832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5"/>
    <x v="0"/>
    <n v="5588"/>
    <x v="1"/>
    <x v="0"/>
    <s v="ATORVASTATIN CALCIUM"/>
    <m/>
    <m/>
    <m/>
    <m/>
    <n v="1"/>
    <m/>
    <m/>
    <m/>
    <m/>
    <n v="1"/>
    <m/>
    <m/>
    <m/>
    <m/>
    <m/>
    <m/>
    <m/>
    <m/>
    <m/>
    <n v="1"/>
    <m/>
    <m/>
    <m/>
    <m/>
    <m/>
    <m/>
    <m/>
    <m/>
    <m/>
    <m/>
    <m/>
    <m/>
    <m/>
    <n v="1"/>
    <m/>
    <m/>
    <n v="1"/>
    <m/>
    <n v="1"/>
    <m/>
    <m/>
    <m/>
    <m/>
    <n v="1"/>
    <m/>
    <m/>
    <n v="7"/>
  </r>
  <r>
    <x v="5"/>
    <x v="0"/>
    <n v="20320"/>
    <x v="1"/>
    <x v="0"/>
    <s v="ATORVASTATIN CALCIUM"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n v="2"/>
  </r>
  <r>
    <x v="5"/>
    <x v="0"/>
    <n v="2408"/>
    <x v="0"/>
    <x v="0"/>
    <s v="ATORVASTATIN CALCIUM"/>
    <m/>
    <m/>
    <m/>
    <n v="1"/>
    <m/>
    <m/>
    <m/>
    <m/>
    <m/>
    <m/>
    <m/>
    <m/>
    <m/>
    <m/>
    <n v="1"/>
    <m/>
    <m/>
    <n v="1"/>
    <m/>
    <m/>
    <m/>
    <m/>
    <m/>
    <n v="1"/>
    <m/>
    <m/>
    <m/>
    <m/>
    <n v="1"/>
    <m/>
    <m/>
    <m/>
    <m/>
    <n v="1"/>
    <m/>
    <m/>
    <m/>
    <m/>
    <m/>
    <m/>
    <m/>
    <m/>
    <m/>
    <m/>
    <m/>
    <m/>
    <n v="6"/>
  </r>
  <r>
    <x v="5"/>
    <x v="0"/>
    <n v="5705"/>
    <x v="0"/>
    <x v="0"/>
    <s v="ATORVASTATIN CALCIUM"/>
    <n v="1"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n v="3"/>
    <m/>
    <n v="3"/>
    <m/>
    <m/>
    <m/>
    <m/>
    <m/>
    <m/>
    <m/>
    <m/>
    <m/>
    <n v="1"/>
    <m/>
    <m/>
    <n v="10"/>
  </r>
  <r>
    <x v="5"/>
    <x v="0"/>
    <n v="7954"/>
    <x v="0"/>
    <x v="0"/>
    <s v="ATORVASTATIN CALCIUM"/>
    <m/>
    <m/>
    <m/>
    <m/>
    <m/>
    <m/>
    <m/>
    <m/>
    <m/>
    <m/>
    <m/>
    <m/>
    <m/>
    <m/>
    <n v="2"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5"/>
  </r>
  <r>
    <x v="5"/>
    <x v="0"/>
    <n v="31884"/>
    <x v="0"/>
    <x v="0"/>
    <s v="SIMVASTATIN"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n v="1"/>
    <m/>
    <m/>
    <m/>
    <m/>
    <m/>
    <m/>
    <m/>
    <m/>
    <m/>
    <m/>
    <m/>
    <m/>
    <n v="1"/>
    <m/>
    <m/>
    <m/>
    <n v="4"/>
  </r>
  <r>
    <x v="6"/>
    <x v="0"/>
    <n v="3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356"/>
    <x v="0"/>
    <x v="0"/>
    <s v="ATORVASTATIN CALCIUM"/>
    <m/>
    <m/>
    <n v="1"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m/>
    <m/>
    <n v="2"/>
    <n v="12"/>
  </r>
  <r>
    <x v="6"/>
    <x v="0"/>
    <n v="762"/>
    <x v="0"/>
    <x v="8"/>
    <s v="FENOFIBRATE, MICRONIZED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3"/>
  </r>
  <r>
    <x v="6"/>
    <x v="0"/>
    <n v="1242"/>
    <x v="0"/>
    <x v="0"/>
    <s v="ATORVASTATIN CALCIUM"/>
    <m/>
    <m/>
    <m/>
    <m/>
    <n v="1"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6"/>
    <x v="0"/>
    <n v="1357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354"/>
    <x v="0"/>
    <x v="3"/>
    <s v="PANTOPRAZOLE SOD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3"/>
  </r>
  <r>
    <x v="6"/>
    <x v="0"/>
    <n v="3758"/>
    <x v="0"/>
    <x v="0"/>
    <s v="ATORVASTATIN CALC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6"/>
    <x v="0"/>
    <n v="4116"/>
    <x v="0"/>
    <x v="1"/>
    <s v="CIMETIDINE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5213"/>
    <x v="0"/>
    <x v="0"/>
    <s v="ROSU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6"/>
    <x v="0"/>
    <n v="5967"/>
    <x v="0"/>
    <x v="3"/>
    <s v="RABEPRAZOLE SOD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n v="3"/>
  </r>
  <r>
    <x v="6"/>
    <x v="0"/>
    <n v="8317"/>
    <x v="0"/>
    <x v="0"/>
    <s v="PRAVASTATIN SODIUM"/>
    <m/>
    <m/>
    <m/>
    <m/>
    <m/>
    <m/>
    <m/>
    <m/>
    <m/>
    <m/>
    <m/>
    <m/>
    <m/>
    <m/>
    <m/>
    <m/>
    <m/>
    <n v="1"/>
    <m/>
    <m/>
    <m/>
    <m/>
    <n v="1"/>
    <m/>
    <m/>
    <m/>
    <n v="1"/>
    <m/>
    <m/>
    <m/>
    <m/>
    <n v="2"/>
    <m/>
    <m/>
    <m/>
    <n v="1"/>
    <m/>
    <m/>
    <m/>
    <m/>
    <n v="1"/>
    <m/>
    <m/>
    <m/>
    <n v="1"/>
    <m/>
    <n v="8"/>
  </r>
  <r>
    <x v="6"/>
    <x v="0"/>
    <n v="8533"/>
    <x v="0"/>
    <x v="3"/>
    <s v="RABEPRAZOLE SODIUM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n v="1"/>
    <m/>
    <m/>
    <m/>
    <n v="1"/>
    <m/>
    <m/>
    <m/>
    <n v="1"/>
    <m/>
    <m/>
    <m/>
    <n v="1"/>
    <m/>
    <m/>
    <m/>
    <m/>
    <n v="11"/>
  </r>
  <r>
    <x v="6"/>
    <x v="0"/>
    <n v="8654"/>
    <x v="0"/>
    <x v="0"/>
    <s v="ROSUVASTATIN CALCIUM"/>
    <m/>
    <m/>
    <n v="1"/>
    <m/>
    <m/>
    <n v="1"/>
    <m/>
    <m/>
    <m/>
    <m/>
    <m/>
    <n v="1"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n v="6"/>
  </r>
  <r>
    <x v="6"/>
    <x v="0"/>
    <n v="1040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6768"/>
    <x v="0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3"/>
  </r>
  <r>
    <x v="6"/>
    <x v="0"/>
    <n v="1912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9666"/>
    <x v="0"/>
    <x v="0"/>
    <s v="ATORVASTATIN CALCIUM"/>
    <m/>
    <m/>
    <m/>
    <m/>
    <m/>
    <m/>
    <m/>
    <n v="2"/>
    <m/>
    <m/>
    <m/>
    <n v="1"/>
    <m/>
    <m/>
    <m/>
    <n v="1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6"/>
  </r>
  <r>
    <x v="6"/>
    <x v="0"/>
    <n v="20842"/>
    <x v="0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4"/>
  </r>
  <r>
    <x v="6"/>
    <x v="0"/>
    <n v="23057"/>
    <x v="0"/>
    <x v="0"/>
    <s v="LOVASTATIN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3"/>
  </r>
  <r>
    <x v="6"/>
    <x v="0"/>
    <n v="26149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30317"/>
    <x v="0"/>
    <x v="1"/>
    <s v="RANITIDINE HCL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30426"/>
    <x v="0"/>
    <x v="1"/>
    <s v="RANITIDINE HCL"/>
    <m/>
    <n v="1"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n v="5"/>
  </r>
  <r>
    <x v="6"/>
    <x v="0"/>
    <n v="30426"/>
    <x v="0"/>
    <x v="0"/>
    <s v="ATORVASTATIN CALCIUM"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n v="1"/>
    <n v="4"/>
  </r>
  <r>
    <x v="6"/>
    <x v="0"/>
    <n v="32204"/>
    <x v="0"/>
    <x v="3"/>
    <s v="RABEPRAZOLE SODIUM"/>
    <m/>
    <m/>
    <m/>
    <m/>
    <m/>
    <m/>
    <m/>
    <m/>
    <m/>
    <m/>
    <m/>
    <m/>
    <m/>
    <m/>
    <m/>
    <m/>
    <m/>
    <m/>
    <n v="1"/>
    <m/>
    <m/>
    <m/>
    <m/>
    <n v="1"/>
    <n v="1"/>
    <m/>
    <m/>
    <m/>
    <m/>
    <m/>
    <m/>
    <m/>
    <m/>
    <m/>
    <m/>
    <m/>
    <m/>
    <m/>
    <m/>
    <m/>
    <m/>
    <m/>
    <m/>
    <m/>
    <n v="2"/>
    <m/>
    <n v="5"/>
  </r>
  <r>
    <x v="6"/>
    <x v="0"/>
    <n v="758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n v="4"/>
  </r>
  <r>
    <x v="6"/>
    <x v="0"/>
    <n v="1235"/>
    <x v="1"/>
    <x v="0"/>
    <s v="ATOR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6"/>
    <x v="0"/>
    <n v="1356"/>
    <x v="1"/>
    <x v="0"/>
    <s v="SIMVASTATIN"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4"/>
  </r>
  <r>
    <x v="6"/>
    <x v="0"/>
    <n v="1601"/>
    <x v="1"/>
    <x v="9"/>
    <s v="COLESTIPOL HCL"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n v="4"/>
  </r>
  <r>
    <x v="6"/>
    <x v="0"/>
    <n v="1601"/>
    <x v="1"/>
    <x v="0"/>
    <s v="PRAVASTATIN SODIUM"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n v="4"/>
  </r>
  <r>
    <x v="6"/>
    <x v="0"/>
    <n v="3138"/>
    <x v="1"/>
    <x v="1"/>
    <s v="CIMETIDINE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m/>
    <n v="1"/>
    <n v="1"/>
    <n v="1"/>
    <n v="1"/>
    <n v="1"/>
    <n v="1"/>
    <n v="1"/>
    <n v="1"/>
    <n v="46"/>
  </r>
  <r>
    <x v="6"/>
    <x v="0"/>
    <n v="3757"/>
    <x v="1"/>
    <x v="0"/>
    <s v="ATOR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6"/>
    <x v="0"/>
    <n v="4343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4626"/>
    <x v="1"/>
    <x v="0"/>
    <s v="ATORVASTATIN CALCIUM"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</r>
  <r>
    <x v="6"/>
    <x v="0"/>
    <n v="665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6"/>
    <x v="0"/>
    <n v="7865"/>
    <x v="1"/>
    <x v="3"/>
    <s v="OMEPRAZOLE MAGNESIUM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9130"/>
    <x v="1"/>
    <x v="0"/>
    <s v="ATORVASTATIN CALCIUM"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n v="4"/>
  </r>
  <r>
    <x v="6"/>
    <x v="0"/>
    <n v="11079"/>
    <x v="1"/>
    <x v="0"/>
    <s v="ROSU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3"/>
  </r>
  <r>
    <x v="6"/>
    <x v="0"/>
    <n v="12030"/>
    <x v="1"/>
    <x v="0"/>
    <s v="ATORVASTATIN CALCIUM"/>
    <m/>
    <m/>
    <m/>
    <m/>
    <m/>
    <m/>
    <m/>
    <m/>
    <n v="1"/>
    <m/>
    <m/>
    <m/>
    <n v="1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4"/>
  </r>
  <r>
    <x v="6"/>
    <x v="0"/>
    <n v="12266"/>
    <x v="1"/>
    <x v="0"/>
    <s v="ROSUVASTATIN CALCIUM"/>
    <m/>
    <n v="1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4"/>
  </r>
  <r>
    <x v="6"/>
    <x v="0"/>
    <n v="12266"/>
    <x v="1"/>
    <x v="6"/>
    <s v="EZETIMIBE"/>
    <m/>
    <n v="1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4"/>
  </r>
  <r>
    <x v="6"/>
    <x v="0"/>
    <n v="19560"/>
    <x v="1"/>
    <x v="3"/>
    <s v="RABEPRAZOLE SODIUM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6"/>
    <x v="0"/>
    <n v="29107"/>
    <x v="1"/>
    <x v="3"/>
    <s v="RABEPRAZOLE SODIUM"/>
    <m/>
    <m/>
    <m/>
    <m/>
    <m/>
    <m/>
    <m/>
    <m/>
    <n v="1"/>
    <m/>
    <m/>
    <m/>
    <m/>
    <m/>
    <m/>
    <m/>
    <m/>
    <m/>
    <m/>
    <n v="3"/>
    <m/>
    <m/>
    <m/>
    <m/>
    <m/>
    <m/>
    <m/>
    <m/>
    <m/>
    <m/>
    <m/>
    <n v="1"/>
    <m/>
    <m/>
    <m/>
    <m/>
    <m/>
    <m/>
    <m/>
    <m/>
    <m/>
    <m/>
    <m/>
    <m/>
    <m/>
    <m/>
    <n v="5"/>
  </r>
  <r>
    <x v="6"/>
    <x v="0"/>
    <n v="2977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6"/>
    <x v="0"/>
    <n v="30384"/>
    <x v="1"/>
    <x v="3"/>
    <s v="LANSOPRAZOLE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1"/>
    <m/>
    <m/>
    <m/>
    <n v="2"/>
    <m/>
    <m/>
    <m/>
    <m/>
    <m/>
    <m/>
    <m/>
    <m/>
    <m/>
    <m/>
    <m/>
    <n v="5"/>
  </r>
  <r>
    <x v="6"/>
    <x v="0"/>
    <n v="32168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n v="2"/>
    <m/>
    <m/>
    <m/>
    <m/>
    <m/>
    <n v="1"/>
    <m/>
    <m/>
    <m/>
    <n v="1"/>
    <m/>
    <m/>
    <n v="6"/>
  </r>
  <r>
    <x v="6"/>
    <x v="0"/>
    <n v="416"/>
    <x v="0"/>
    <x v="3"/>
    <s v="RABEPRAZOLE SOD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600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98"/>
    <x v="0"/>
    <x v="3"/>
    <s v="RABEPRAZOLE SOD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n v="1"/>
    <m/>
    <m/>
    <m/>
    <m/>
    <m/>
    <m/>
    <m/>
    <m/>
    <n v="1"/>
    <m/>
    <m/>
    <m/>
    <m/>
    <n v="5"/>
  </r>
  <r>
    <x v="6"/>
    <x v="0"/>
    <n v="1281"/>
    <x v="0"/>
    <x v="0"/>
    <s v="ATORVASTATIN CALCIUM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6"/>
    <x v="0"/>
    <n v="1467"/>
    <x v="0"/>
    <x v="0"/>
    <s v="SIMVASTATIN"/>
    <m/>
    <m/>
    <m/>
    <m/>
    <m/>
    <m/>
    <m/>
    <m/>
    <n v="1"/>
    <n v="1"/>
    <m/>
    <n v="1"/>
    <n v="2"/>
    <m/>
    <n v="1"/>
    <m/>
    <n v="1"/>
    <m/>
    <n v="1"/>
    <m/>
    <n v="1"/>
    <m/>
    <m/>
    <n v="1"/>
    <m/>
    <m/>
    <m/>
    <m/>
    <m/>
    <m/>
    <m/>
    <n v="1"/>
    <m/>
    <m/>
    <m/>
    <n v="1"/>
    <m/>
    <m/>
    <m/>
    <m/>
    <n v="1"/>
    <m/>
    <m/>
    <m/>
    <m/>
    <m/>
    <n v="13"/>
  </r>
  <r>
    <x v="6"/>
    <x v="0"/>
    <n v="1467"/>
    <x v="0"/>
    <x v="3"/>
    <s v="RABEPRAZOLE SODIUM"/>
    <m/>
    <m/>
    <m/>
    <m/>
    <m/>
    <m/>
    <n v="1"/>
    <m/>
    <n v="3"/>
    <n v="1"/>
    <m/>
    <n v="1"/>
    <n v="2"/>
    <m/>
    <n v="1"/>
    <m/>
    <n v="1"/>
    <m/>
    <n v="1"/>
    <m/>
    <n v="1"/>
    <m/>
    <m/>
    <n v="1"/>
    <m/>
    <m/>
    <m/>
    <m/>
    <m/>
    <m/>
    <m/>
    <n v="1"/>
    <m/>
    <m/>
    <m/>
    <n v="2"/>
    <m/>
    <m/>
    <m/>
    <m/>
    <n v="1"/>
    <m/>
    <m/>
    <m/>
    <m/>
    <m/>
    <n v="17"/>
  </r>
  <r>
    <x v="6"/>
    <x v="0"/>
    <n v="2522"/>
    <x v="0"/>
    <x v="0"/>
    <s v="ATORVASTATIN CALCIUM"/>
    <m/>
    <m/>
    <m/>
    <n v="1"/>
    <m/>
    <m/>
    <n v="1"/>
    <m/>
    <m/>
    <m/>
    <n v="1"/>
    <m/>
    <m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1"/>
  </r>
  <r>
    <x v="6"/>
    <x v="0"/>
    <n v="2586"/>
    <x v="0"/>
    <x v="3"/>
    <s v="RABEPRAZOLE SODIUM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</r>
  <r>
    <x v="6"/>
    <x v="0"/>
    <n v="2767"/>
    <x v="0"/>
    <x v="3"/>
    <s v="RABEPRAZOLE SODIUM"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n v="11"/>
  </r>
  <r>
    <x v="6"/>
    <x v="0"/>
    <n v="2987"/>
    <x v="0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</r>
  <r>
    <x v="6"/>
    <x v="0"/>
    <n v="4254"/>
    <x v="0"/>
    <x v="0"/>
    <s v="ROSU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6"/>
    <x v="0"/>
    <n v="5064"/>
    <x v="0"/>
    <x v="3"/>
    <s v="OMEPRAZOLE MAGNESIUM"/>
    <n v="1"/>
    <m/>
    <m/>
    <m/>
    <n v="2"/>
    <m/>
    <n v="1"/>
    <m/>
    <n v="1"/>
    <m/>
    <m/>
    <m/>
    <n v="1"/>
    <m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3"/>
  </r>
  <r>
    <x v="6"/>
    <x v="0"/>
    <n v="5137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6"/>
    <x v="0"/>
    <n v="5526"/>
    <x v="0"/>
    <x v="0"/>
    <s v="PRAVASTATIN SODIUM"/>
    <m/>
    <m/>
    <n v="1"/>
    <m/>
    <m/>
    <m/>
    <m/>
    <n v="1"/>
    <m/>
    <m/>
    <m/>
    <m/>
    <n v="1"/>
    <m/>
    <m/>
    <m/>
    <m/>
    <n v="1"/>
    <m/>
    <m/>
    <m/>
    <n v="1"/>
    <m/>
    <m/>
    <m/>
    <m/>
    <n v="1"/>
    <m/>
    <m/>
    <m/>
    <m/>
    <n v="2"/>
    <m/>
    <m/>
    <m/>
    <m/>
    <n v="1"/>
    <m/>
    <m/>
    <m/>
    <m/>
    <n v="1"/>
    <m/>
    <m/>
    <m/>
    <m/>
    <n v="10"/>
  </r>
  <r>
    <x v="6"/>
    <x v="0"/>
    <n v="5863"/>
    <x v="0"/>
    <x v="3"/>
    <s v="ESOMEPRAZOLE MAGNESIUM"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6"/>
    <x v="0"/>
    <n v="597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6"/>
    <x v="0"/>
    <n v="657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6"/>
    <x v="0"/>
    <n v="6635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6"/>
    <x v="0"/>
    <n v="7359"/>
    <x v="0"/>
    <x v="3"/>
    <s v="ESOMEPRAZOLE MAGNESIUM"/>
    <m/>
    <m/>
    <n v="2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4"/>
  </r>
  <r>
    <x v="6"/>
    <x v="0"/>
    <n v="7493"/>
    <x v="0"/>
    <x v="0"/>
    <s v="ATOR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6"/>
    <x v="0"/>
    <n v="7631"/>
    <x v="0"/>
    <x v="1"/>
    <s v="CIMETIDINE"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</r>
  <r>
    <x v="6"/>
    <x v="0"/>
    <n v="809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318"/>
    <x v="0"/>
    <x v="3"/>
    <s v="RABEPRAZOLE SODIUM"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4"/>
  </r>
  <r>
    <x v="6"/>
    <x v="0"/>
    <n v="8433"/>
    <x v="0"/>
    <x v="3"/>
    <s v="PANTOPRAZOLE SODIUM"/>
    <m/>
    <m/>
    <m/>
    <m/>
    <m/>
    <m/>
    <n v="1"/>
    <m/>
    <m/>
    <m/>
    <n v="1"/>
    <m/>
    <m/>
    <m/>
    <n v="2"/>
    <m/>
    <m/>
    <n v="1"/>
    <n v="2"/>
    <n v="3"/>
    <m/>
    <n v="2"/>
    <m/>
    <n v="3"/>
    <n v="1"/>
    <n v="2"/>
    <m/>
    <n v="1"/>
    <n v="2"/>
    <n v="1"/>
    <n v="1"/>
    <m/>
    <n v="1"/>
    <n v="1"/>
    <n v="2"/>
    <m/>
    <n v="2"/>
    <n v="1"/>
    <m/>
    <n v="2"/>
    <m/>
    <n v="2"/>
    <m/>
    <n v="1"/>
    <n v="1"/>
    <n v="1"/>
    <n v="37"/>
  </r>
  <r>
    <x v="6"/>
    <x v="0"/>
    <n v="843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586"/>
    <x v="0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8736"/>
    <x v="0"/>
    <x v="3"/>
    <s v="RABEPRAZOLE SODIUM"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n v="1"/>
    <m/>
    <m/>
    <m/>
    <n v="4"/>
  </r>
  <r>
    <x v="6"/>
    <x v="0"/>
    <n v="892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6"/>
    <x v="0"/>
    <n v="8920"/>
    <x v="0"/>
    <x v="0"/>
    <s v="ROSUVASTATIN CALCIUM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1"/>
  </r>
  <r>
    <x v="6"/>
    <x v="0"/>
    <n v="8920"/>
    <x v="0"/>
    <x v="3"/>
    <s v="RABEPRAZOLE SODIUM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1"/>
  </r>
  <r>
    <x v="6"/>
    <x v="0"/>
    <n v="9249"/>
    <x v="0"/>
    <x v="3"/>
    <s v="PANTO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6"/>
    <x v="0"/>
    <n v="9249"/>
    <x v="0"/>
    <x v="3"/>
    <s v="PANTO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9270"/>
    <x v="0"/>
    <x v="6"/>
    <s v="EZETIMIBE"/>
    <n v="1"/>
    <m/>
    <m/>
    <m/>
    <m/>
    <m/>
    <m/>
    <m/>
    <n v="1"/>
    <m/>
    <n v="1"/>
    <m/>
    <n v="1"/>
    <m/>
    <m/>
    <m/>
    <m/>
    <m/>
    <m/>
    <n v="1"/>
    <m/>
    <n v="1"/>
    <m/>
    <m/>
    <n v="1"/>
    <m/>
    <m/>
    <n v="1"/>
    <m/>
    <m/>
    <m/>
    <n v="1"/>
    <m/>
    <m/>
    <m/>
    <n v="1"/>
    <m/>
    <m/>
    <m/>
    <m/>
    <n v="1"/>
    <m/>
    <m/>
    <m/>
    <m/>
    <n v="1"/>
    <n v="12"/>
  </r>
  <r>
    <x v="6"/>
    <x v="0"/>
    <n v="9270"/>
    <x v="0"/>
    <x v="3"/>
    <s v="RABEPRAZOLE SODIUM"/>
    <n v="1"/>
    <m/>
    <m/>
    <m/>
    <m/>
    <m/>
    <m/>
    <m/>
    <n v="1"/>
    <m/>
    <n v="1"/>
    <m/>
    <n v="1"/>
    <m/>
    <m/>
    <m/>
    <m/>
    <m/>
    <m/>
    <n v="1"/>
    <m/>
    <n v="1"/>
    <m/>
    <m/>
    <n v="1"/>
    <m/>
    <m/>
    <n v="1"/>
    <m/>
    <m/>
    <m/>
    <n v="1"/>
    <m/>
    <m/>
    <m/>
    <n v="2"/>
    <m/>
    <m/>
    <m/>
    <m/>
    <n v="1"/>
    <m/>
    <m/>
    <m/>
    <m/>
    <n v="1"/>
    <n v="13"/>
  </r>
  <r>
    <x v="6"/>
    <x v="0"/>
    <n v="9383"/>
    <x v="0"/>
    <x v="3"/>
    <s v="RABEPRAZOLE SODIUM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6"/>
    <x v="0"/>
    <n v="9434"/>
    <x v="0"/>
    <x v="6"/>
    <s v="EZETIMIBE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6"/>
    <x v="0"/>
    <n v="9434"/>
    <x v="0"/>
    <x v="3"/>
    <s v="RABEPRAZOLE SODIUM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6"/>
    <x v="0"/>
    <n v="9455"/>
    <x v="0"/>
    <x v="1"/>
    <s v="RANITIDINE HCL"/>
    <m/>
    <m/>
    <n v="1"/>
    <m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m/>
    <n v="1"/>
    <n v="11"/>
  </r>
  <r>
    <x v="6"/>
    <x v="0"/>
    <n v="1103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1039"/>
    <x v="0"/>
    <x v="3"/>
    <s v="PANTOPRAZOLE SODIUM"/>
    <m/>
    <n v="1"/>
    <m/>
    <m/>
    <m/>
    <m/>
    <m/>
    <m/>
    <m/>
    <m/>
    <n v="2"/>
    <m/>
    <m/>
    <m/>
    <m/>
    <m/>
    <m/>
    <m/>
    <m/>
    <m/>
    <m/>
    <m/>
    <m/>
    <m/>
    <m/>
    <m/>
    <m/>
    <n v="1"/>
    <m/>
    <m/>
    <n v="2"/>
    <n v="1"/>
    <n v="1"/>
    <n v="1"/>
    <n v="1"/>
    <n v="1"/>
    <n v="1"/>
    <n v="1"/>
    <n v="1"/>
    <n v="1"/>
    <n v="1"/>
    <n v="1"/>
    <m/>
    <n v="2"/>
    <n v="1"/>
    <n v="1"/>
    <n v="21"/>
  </r>
  <r>
    <x v="6"/>
    <x v="0"/>
    <n v="1125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6"/>
    <x v="0"/>
    <n v="14214"/>
    <x v="0"/>
    <x v="7"/>
    <s v="PINAVERIUM BROMIDE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14214"/>
    <x v="0"/>
    <x v="3"/>
    <s v="PANTOPRAZOLE MAGNES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n v="2"/>
  </r>
  <r>
    <x v="6"/>
    <x v="0"/>
    <n v="14315"/>
    <x v="0"/>
    <x v="0"/>
    <s v="ATORVASTATIN CALCIUM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6"/>
    <x v="0"/>
    <n v="1492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5243"/>
    <x v="0"/>
    <x v="3"/>
    <s v="OME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n v="3"/>
  </r>
  <r>
    <x v="6"/>
    <x v="0"/>
    <n v="16823"/>
    <x v="0"/>
    <x v="3"/>
    <s v="ESOMEPRAZOLE MAGNESIUM"/>
    <m/>
    <m/>
    <m/>
    <m/>
    <m/>
    <m/>
    <m/>
    <m/>
    <m/>
    <m/>
    <m/>
    <m/>
    <n v="2"/>
    <m/>
    <m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m/>
    <n v="1"/>
    <m/>
    <m/>
    <n v="9"/>
  </r>
  <r>
    <x v="6"/>
    <x v="0"/>
    <n v="18028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6"/>
    <x v="0"/>
    <n v="19579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n v="2"/>
  </r>
  <r>
    <x v="6"/>
    <x v="0"/>
    <n v="19579"/>
    <x v="0"/>
    <x v="3"/>
    <s v="RABEPRAZOLE SODIUM"/>
    <m/>
    <m/>
    <m/>
    <m/>
    <m/>
    <m/>
    <m/>
    <m/>
    <m/>
    <m/>
    <m/>
    <m/>
    <m/>
    <n v="1"/>
    <m/>
    <m/>
    <m/>
    <m/>
    <m/>
    <m/>
    <m/>
    <n v="1"/>
    <m/>
    <m/>
    <m/>
    <n v="2"/>
    <m/>
    <n v="1"/>
    <m/>
    <m/>
    <m/>
    <m/>
    <m/>
    <m/>
    <m/>
    <m/>
    <n v="1"/>
    <m/>
    <n v="1"/>
    <m/>
    <m/>
    <m/>
    <m/>
    <m/>
    <m/>
    <m/>
    <n v="7"/>
  </r>
  <r>
    <x v="6"/>
    <x v="0"/>
    <n v="19847"/>
    <x v="0"/>
    <x v="0"/>
    <s v="ATORVASTATIN CALCIUM"/>
    <m/>
    <m/>
    <m/>
    <m/>
    <m/>
    <m/>
    <m/>
    <m/>
    <n v="1"/>
    <m/>
    <m/>
    <m/>
    <n v="1"/>
    <m/>
    <m/>
    <m/>
    <m/>
    <n v="1"/>
    <m/>
    <m/>
    <m/>
    <m/>
    <m/>
    <m/>
    <m/>
    <n v="1"/>
    <m/>
    <m/>
    <m/>
    <n v="1"/>
    <m/>
    <m/>
    <m/>
    <m/>
    <n v="1"/>
    <m/>
    <m/>
    <m/>
    <n v="1"/>
    <m/>
    <m/>
    <m/>
    <m/>
    <m/>
    <m/>
    <m/>
    <n v="7"/>
  </r>
  <r>
    <x v="6"/>
    <x v="0"/>
    <n v="20438"/>
    <x v="0"/>
    <x v="3"/>
    <s v="PANTO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2106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106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6598"/>
    <x v="0"/>
    <x v="0"/>
    <s v="SIMVASTATIN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27090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n v="1"/>
    <n v="1"/>
    <m/>
    <m/>
    <m/>
    <m/>
    <m/>
    <m/>
    <m/>
    <m/>
    <m/>
    <m/>
    <m/>
    <m/>
    <n v="1"/>
    <m/>
    <m/>
    <m/>
    <m/>
    <m/>
    <m/>
    <n v="4"/>
  </r>
  <r>
    <x v="6"/>
    <x v="0"/>
    <n v="28441"/>
    <x v="0"/>
    <x v="3"/>
    <s v="RABE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6"/>
    <x v="0"/>
    <n v="29106"/>
    <x v="0"/>
    <x v="3"/>
    <s v="PANTOPRAZOLE SODIUM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6"/>
    <x v="0"/>
    <n v="29106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n v="1"/>
    <m/>
    <n v="1"/>
    <m/>
    <m/>
    <m/>
    <m/>
    <m/>
    <m/>
    <m/>
    <m/>
    <m/>
    <m/>
    <m/>
    <m/>
    <m/>
    <n v="1"/>
    <m/>
    <m/>
    <m/>
    <n v="4"/>
  </r>
  <r>
    <x v="6"/>
    <x v="0"/>
    <n v="30165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30527"/>
    <x v="0"/>
    <x v="3"/>
    <s v="ESOMEPRAZOLE MAGNESIUM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m/>
    <m/>
    <m/>
    <n v="1"/>
    <m/>
    <m/>
    <m/>
    <n v="1"/>
    <m/>
    <m/>
    <m/>
    <n v="1"/>
    <m/>
    <m/>
    <m/>
    <n v="10"/>
  </r>
  <r>
    <x v="6"/>
    <x v="0"/>
    <n v="31115"/>
    <x v="0"/>
    <x v="3"/>
    <s v="RABEPRAZOLE SODIUM"/>
    <m/>
    <m/>
    <m/>
    <m/>
    <m/>
    <m/>
    <n v="1"/>
    <n v="1"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5"/>
  </r>
  <r>
    <x v="6"/>
    <x v="0"/>
    <n v="31335"/>
    <x v="0"/>
    <x v="1"/>
    <s v="RANITIDINE HCL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6"/>
    <x v="0"/>
    <n v="32417"/>
    <x v="0"/>
    <x v="3"/>
    <s v="ESOMEPRAZOLE MAGNESIUM"/>
    <m/>
    <m/>
    <m/>
    <m/>
    <m/>
    <n v="1"/>
    <m/>
    <m/>
    <m/>
    <m/>
    <n v="1"/>
    <m/>
    <m/>
    <m/>
    <m/>
    <m/>
    <m/>
    <m/>
    <m/>
    <n v="1"/>
    <m/>
    <m/>
    <m/>
    <m/>
    <m/>
    <m/>
    <n v="1"/>
    <m/>
    <m/>
    <m/>
    <m/>
    <m/>
    <m/>
    <n v="1"/>
    <m/>
    <m/>
    <m/>
    <n v="1"/>
    <m/>
    <m/>
    <m/>
    <m/>
    <m/>
    <m/>
    <m/>
    <n v="1"/>
    <n v="7"/>
  </r>
  <r>
    <x v="6"/>
    <x v="0"/>
    <n v="3369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11"/>
    <x v="1"/>
    <x v="3"/>
    <s v="LANSOPRAZOLE"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6"/>
    <x v="0"/>
    <n v="814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14"/>
    <x v="1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3"/>
  </r>
  <r>
    <x v="6"/>
    <x v="0"/>
    <n v="882"/>
    <x v="1"/>
    <x v="0"/>
    <s v="ATORVASTATIN CALCIUM"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6"/>
    <x v="0"/>
    <n v="145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456"/>
    <x v="1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6"/>
    <x v="0"/>
    <n v="1653"/>
    <x v="1"/>
    <x v="0"/>
    <s v="ROSUVASTATIN CALCIUM"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3"/>
  </r>
  <r>
    <x v="6"/>
    <x v="0"/>
    <n v="1898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6"/>
    <x v="0"/>
    <n v="189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6"/>
    <x v="0"/>
    <n v="2696"/>
    <x v="1"/>
    <x v="3"/>
    <s v="RABEPRAZOLE SODIUM"/>
    <n v="1"/>
    <n v="1"/>
    <n v="2"/>
    <n v="2"/>
    <n v="1"/>
    <n v="1"/>
    <n v="1"/>
    <n v="1"/>
    <n v="1"/>
    <n v="1"/>
    <n v="1"/>
    <n v="1"/>
    <m/>
    <n v="1"/>
    <n v="1"/>
    <n v="1"/>
    <n v="1"/>
    <n v="3"/>
    <n v="2"/>
    <n v="1"/>
    <n v="1"/>
    <n v="1"/>
    <n v="1"/>
    <n v="1"/>
    <n v="1"/>
    <n v="1"/>
    <n v="1"/>
    <n v="1"/>
    <n v="1"/>
    <n v="1"/>
    <n v="1"/>
    <n v="1"/>
    <n v="1"/>
    <n v="2"/>
    <n v="1"/>
    <n v="1"/>
    <n v="1"/>
    <m/>
    <m/>
    <n v="2"/>
    <n v="2"/>
    <n v="1"/>
    <n v="1"/>
    <n v="1"/>
    <m/>
    <n v="2"/>
    <n v="51"/>
  </r>
  <r>
    <x v="6"/>
    <x v="0"/>
    <n v="3806"/>
    <x v="1"/>
    <x v="3"/>
    <s v="RABEPRAZOLE SODIUM"/>
    <m/>
    <m/>
    <m/>
    <m/>
    <m/>
    <n v="1"/>
    <m/>
    <m/>
    <m/>
    <m/>
    <m/>
    <m/>
    <m/>
    <n v="1"/>
    <m/>
    <m/>
    <m/>
    <m/>
    <n v="1"/>
    <m/>
    <m/>
    <m/>
    <m/>
    <n v="1"/>
    <m/>
    <m/>
    <m/>
    <m/>
    <m/>
    <m/>
    <m/>
    <m/>
    <n v="1"/>
    <m/>
    <m/>
    <m/>
    <m/>
    <m/>
    <m/>
    <m/>
    <n v="1"/>
    <m/>
    <m/>
    <m/>
    <m/>
    <n v="1"/>
    <n v="7"/>
  </r>
  <r>
    <x v="6"/>
    <x v="0"/>
    <n v="4250"/>
    <x v="1"/>
    <x v="0"/>
    <s v="ATORVASTATIN CALCIUM"/>
    <m/>
    <m/>
    <m/>
    <n v="1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n v="1"/>
    <m/>
    <m/>
    <n v="5"/>
  </r>
  <r>
    <x v="6"/>
    <x v="0"/>
    <n v="4466"/>
    <x v="1"/>
    <x v="3"/>
    <s v="RABEPRAZOLE SODIUM"/>
    <m/>
    <m/>
    <m/>
    <m/>
    <m/>
    <m/>
    <m/>
    <m/>
    <n v="2"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4"/>
  </r>
  <r>
    <x v="6"/>
    <x v="0"/>
    <n v="4564"/>
    <x v="1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6"/>
    <x v="0"/>
    <n v="5232"/>
    <x v="1"/>
    <x v="3"/>
    <s v="ESOMEPRAZOLE MAGNESIUM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n v="3"/>
    <m/>
    <m/>
    <m/>
    <m/>
    <n v="7"/>
  </r>
  <r>
    <x v="6"/>
    <x v="0"/>
    <n v="6098"/>
    <x v="1"/>
    <x v="0"/>
    <s v="SIMVASTATIN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3"/>
  </r>
  <r>
    <x v="6"/>
    <x v="0"/>
    <n v="609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159"/>
    <x v="1"/>
    <x v="3"/>
    <s v="RABEPRAZOLE SOD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616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230"/>
    <x v="1"/>
    <x v="3"/>
    <s v="RABEPRAZOLE SODIUM"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</r>
  <r>
    <x v="6"/>
    <x v="0"/>
    <n v="6399"/>
    <x v="1"/>
    <x v="3"/>
    <s v="OMEPRAZOLE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6"/>
    <x v="0"/>
    <n v="6514"/>
    <x v="1"/>
    <x v="1"/>
    <s v="RANITIDINE HCL"/>
    <m/>
    <m/>
    <m/>
    <n v="1"/>
    <m/>
    <m/>
    <m/>
    <m/>
    <m/>
    <m/>
    <n v="1"/>
    <m/>
    <m/>
    <m/>
    <m/>
    <m/>
    <m/>
    <n v="1"/>
    <m/>
    <m/>
    <m/>
    <m/>
    <m/>
    <m/>
    <m/>
    <m/>
    <n v="1"/>
    <m/>
    <m/>
    <m/>
    <n v="1"/>
    <m/>
    <m/>
    <m/>
    <m/>
    <m/>
    <m/>
    <m/>
    <m/>
    <m/>
    <m/>
    <m/>
    <m/>
    <n v="1"/>
    <m/>
    <m/>
    <n v="6"/>
  </r>
  <r>
    <x v="6"/>
    <x v="0"/>
    <n v="6643"/>
    <x v="1"/>
    <x v="0"/>
    <s v="ATORVASTATIN CALCIUM"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n v="3"/>
  </r>
  <r>
    <x v="6"/>
    <x v="0"/>
    <n v="7344"/>
    <x v="1"/>
    <x v="3"/>
    <s v="RABEPRAZOLE SODIUM"/>
    <m/>
    <m/>
    <n v="1"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4"/>
  </r>
  <r>
    <x v="6"/>
    <x v="0"/>
    <n v="7655"/>
    <x v="1"/>
    <x v="8"/>
    <s v="FENOFIBRATE, MICROCOATED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3"/>
  </r>
  <r>
    <x v="6"/>
    <x v="0"/>
    <n v="7751"/>
    <x v="1"/>
    <x v="3"/>
    <s v="OMEPRAZOLE MAGNESIUM"/>
    <m/>
    <m/>
    <m/>
    <m/>
    <m/>
    <m/>
    <m/>
    <m/>
    <m/>
    <n v="4"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n v="8"/>
  </r>
  <r>
    <x v="6"/>
    <x v="0"/>
    <n v="7909"/>
    <x v="1"/>
    <x v="0"/>
    <s v="ATORVASTATIN CALCIUM"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n v="1"/>
    <m/>
    <m/>
    <m/>
    <n v="1"/>
    <m/>
    <n v="12"/>
  </r>
  <r>
    <x v="6"/>
    <x v="0"/>
    <n v="8087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3"/>
  </r>
  <r>
    <x v="6"/>
    <x v="0"/>
    <n v="8409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6"/>
    <x v="0"/>
    <n v="8653"/>
    <x v="1"/>
    <x v="0"/>
    <s v="ATORVASTATIN CALCIUM"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n v="1"/>
    <m/>
    <m/>
    <m/>
    <m/>
    <m/>
    <m/>
    <m/>
    <n v="5"/>
  </r>
  <r>
    <x v="6"/>
    <x v="0"/>
    <n v="865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6"/>
    <x v="0"/>
    <n v="949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6"/>
    <x v="0"/>
    <n v="9869"/>
    <x v="1"/>
    <x v="8"/>
    <s v="FENOFIBRATE, MICROCOATED"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  <m/>
    <m/>
    <m/>
    <m/>
    <m/>
    <n v="5"/>
  </r>
  <r>
    <x v="6"/>
    <x v="0"/>
    <n v="9869"/>
    <x v="1"/>
    <x v="3"/>
    <s v="ESOMEPRAZOLE MAGNESIUM"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  <m/>
    <m/>
    <m/>
    <m/>
    <m/>
    <n v="5"/>
  </r>
  <r>
    <x v="6"/>
    <x v="0"/>
    <n v="11081"/>
    <x v="1"/>
    <x v="1"/>
    <s v="RANITIDINE HCL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n v="1"/>
    <m/>
    <n v="4"/>
  </r>
  <r>
    <x v="6"/>
    <x v="0"/>
    <n v="11117"/>
    <x v="1"/>
    <x v="3"/>
    <s v="RABEPRAZOLE SODIUM"/>
    <n v="2"/>
    <m/>
    <m/>
    <m/>
    <n v="1"/>
    <m/>
    <m/>
    <m/>
    <m/>
    <n v="1"/>
    <m/>
    <m/>
    <m/>
    <m/>
    <n v="1"/>
    <m/>
    <m/>
    <m/>
    <m/>
    <m/>
    <m/>
    <m/>
    <m/>
    <m/>
    <m/>
    <m/>
    <m/>
    <n v="1"/>
    <n v="1"/>
    <m/>
    <m/>
    <m/>
    <n v="1"/>
    <m/>
    <m/>
    <n v="1"/>
    <m/>
    <m/>
    <m/>
    <m/>
    <m/>
    <n v="1"/>
    <m/>
    <m/>
    <m/>
    <n v="1"/>
    <n v="11"/>
  </r>
  <r>
    <x v="6"/>
    <x v="0"/>
    <n v="12632"/>
    <x v="1"/>
    <x v="3"/>
    <s v="ESOMEPRAZOLE MAGNESIUM"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</r>
  <r>
    <x v="6"/>
    <x v="0"/>
    <n v="13565"/>
    <x v="1"/>
    <x v="1"/>
    <s v="RANITIDINE HCL"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4"/>
  </r>
  <r>
    <x v="6"/>
    <x v="0"/>
    <n v="14316"/>
    <x v="1"/>
    <x v="3"/>
    <s v="PANTO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  <n v="1"/>
    <n v="4"/>
  </r>
  <r>
    <x v="6"/>
    <x v="0"/>
    <n v="16909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7209"/>
    <x v="1"/>
    <x v="3"/>
    <s v="PANTO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6"/>
    <x v="0"/>
    <n v="17400"/>
    <x v="1"/>
    <x v="8"/>
    <s v="FENOFIBRATE, MICROCOATED"/>
    <m/>
    <m/>
    <m/>
    <m/>
    <m/>
    <n v="1"/>
    <m/>
    <n v="1"/>
    <m/>
    <m/>
    <m/>
    <n v="1"/>
    <m/>
    <m/>
    <m/>
    <m/>
    <n v="1"/>
    <m/>
    <m/>
    <m/>
    <n v="1"/>
    <m/>
    <m/>
    <m/>
    <m/>
    <n v="2"/>
    <m/>
    <m/>
    <m/>
    <n v="1"/>
    <m/>
    <m/>
    <n v="1"/>
    <m/>
    <m/>
    <m/>
    <n v="1"/>
    <m/>
    <n v="1"/>
    <m/>
    <m/>
    <m/>
    <n v="1"/>
    <m/>
    <m/>
    <m/>
    <n v="12"/>
  </r>
  <r>
    <x v="6"/>
    <x v="0"/>
    <n v="1816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8165"/>
    <x v="1"/>
    <x v="3"/>
    <s v="RABEPRAZOLE SODIUM"/>
    <m/>
    <m/>
    <m/>
    <n v="1"/>
    <m/>
    <m/>
    <m/>
    <m/>
    <m/>
    <n v="1"/>
    <m/>
    <m/>
    <n v="1"/>
    <m/>
    <n v="1"/>
    <m/>
    <m/>
    <m/>
    <n v="1"/>
    <m/>
    <m/>
    <n v="1"/>
    <m/>
    <m/>
    <m/>
    <m/>
    <m/>
    <m/>
    <n v="1"/>
    <m/>
    <n v="2"/>
    <m/>
    <n v="1"/>
    <m/>
    <m/>
    <n v="2"/>
    <m/>
    <m/>
    <m/>
    <m/>
    <m/>
    <n v="1"/>
    <n v="1"/>
    <m/>
    <m/>
    <n v="1"/>
    <n v="15"/>
  </r>
  <r>
    <x v="6"/>
    <x v="0"/>
    <n v="18430"/>
    <x v="1"/>
    <x v="0"/>
    <s v="SIMVASTATIN"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4"/>
  </r>
  <r>
    <x v="6"/>
    <x v="0"/>
    <n v="20521"/>
    <x v="1"/>
    <x v="3"/>
    <s v="ESOMEPRAZOLE MAGNESIUM"/>
    <n v="1"/>
    <m/>
    <m/>
    <m/>
    <m/>
    <m/>
    <m/>
    <m/>
    <n v="1"/>
    <m/>
    <m/>
    <m/>
    <m/>
    <m/>
    <m/>
    <n v="1"/>
    <m/>
    <m/>
    <m/>
    <m/>
    <m/>
    <m/>
    <m/>
    <m/>
    <n v="2"/>
    <n v="2"/>
    <m/>
    <m/>
    <m/>
    <m/>
    <m/>
    <m/>
    <m/>
    <m/>
    <m/>
    <n v="1"/>
    <m/>
    <m/>
    <m/>
    <m/>
    <m/>
    <m/>
    <m/>
    <m/>
    <n v="1"/>
    <m/>
    <n v="9"/>
  </r>
  <r>
    <x v="6"/>
    <x v="0"/>
    <n v="27184"/>
    <x v="1"/>
    <x v="8"/>
    <s v="FENOFIBRATE, MICROCOATED"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6"/>
    <x v="0"/>
    <n v="2718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n v="2"/>
  </r>
  <r>
    <x v="6"/>
    <x v="0"/>
    <n v="27987"/>
    <x v="1"/>
    <x v="3"/>
    <s v="PANTO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205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6"/>
    <x v="0"/>
    <n v="407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4076"/>
    <x v="0"/>
    <x v="2"/>
    <s v="MISOPROSTOL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n v="4"/>
  </r>
  <r>
    <x v="6"/>
    <x v="0"/>
    <n v="523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5233"/>
    <x v="0"/>
    <x v="3"/>
    <s v="RABEPRAZOLE SODIUM"/>
    <m/>
    <m/>
    <m/>
    <n v="1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4"/>
  </r>
  <r>
    <x v="6"/>
    <x v="0"/>
    <n v="5270"/>
    <x v="0"/>
    <x v="1"/>
    <s v="RANITIDINE HCL"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n v="3"/>
  </r>
  <r>
    <x v="6"/>
    <x v="0"/>
    <n v="5270"/>
    <x v="0"/>
    <x v="7"/>
    <s v="PINAVERIUM BROMIDE"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n v="4"/>
  </r>
  <r>
    <x v="6"/>
    <x v="0"/>
    <n v="5295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5295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345"/>
    <x v="0"/>
    <x v="1"/>
    <s v="RANITIDINE HCL"/>
    <n v="1"/>
    <m/>
    <m/>
    <m/>
    <m/>
    <m/>
    <n v="1"/>
    <m/>
    <m/>
    <m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m/>
    <m/>
    <m/>
    <m/>
    <n v="5"/>
  </r>
  <r>
    <x v="6"/>
    <x v="0"/>
    <n v="734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6"/>
    <x v="0"/>
    <n v="737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n v="2"/>
  </r>
  <r>
    <x v="6"/>
    <x v="0"/>
    <n v="8737"/>
    <x v="0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3"/>
  </r>
  <r>
    <x v="6"/>
    <x v="0"/>
    <n v="8804"/>
    <x v="0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n v="3"/>
  </r>
  <r>
    <x v="6"/>
    <x v="0"/>
    <n v="8836"/>
    <x v="0"/>
    <x v="4"/>
    <s v="SUCRALFATE"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n v="2"/>
    <n v="1"/>
    <m/>
    <m/>
    <m/>
    <n v="1"/>
    <m/>
    <m/>
    <m/>
    <n v="1"/>
    <m/>
    <m/>
    <m/>
    <n v="1"/>
    <m/>
    <m/>
    <n v="13"/>
  </r>
  <r>
    <x v="6"/>
    <x v="0"/>
    <n v="8836"/>
    <x v="0"/>
    <x v="3"/>
    <s v="ESOMEPRAZOLE MAGNESIUM"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n v="1"/>
    <m/>
    <n v="12"/>
  </r>
  <r>
    <x v="6"/>
    <x v="0"/>
    <n v="1126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6"/>
    <x v="0"/>
    <n v="5916"/>
    <x v="1"/>
    <x v="3"/>
    <s v="RABEPRAZOLE SODIUM"/>
    <m/>
    <n v="1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n v="4"/>
  </r>
  <r>
    <x v="6"/>
    <x v="0"/>
    <n v="7510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1"/>
    <n v="4"/>
  </r>
  <r>
    <x v="6"/>
    <x v="0"/>
    <n v="21257"/>
    <x v="1"/>
    <x v="3"/>
    <s v="RABEPRAZOLE SODIUM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3"/>
  </r>
  <r>
    <x v="6"/>
    <x v="0"/>
    <n v="30286"/>
    <x v="1"/>
    <x v="3"/>
    <s v="RABEPRAZOLE SODIUM"/>
    <m/>
    <n v="1"/>
    <n v="1"/>
    <n v="1"/>
    <n v="1"/>
    <n v="1"/>
    <n v="1"/>
    <n v="1"/>
    <n v="1"/>
    <n v="1"/>
    <n v="1"/>
    <n v="2"/>
    <n v="1"/>
    <m/>
    <n v="2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2"/>
    <n v="2"/>
    <n v="1"/>
    <n v="1"/>
    <m/>
    <n v="2"/>
    <n v="51"/>
  </r>
  <r>
    <x v="6"/>
    <x v="0"/>
    <n v="124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6"/>
    <x v="0"/>
    <n v="1242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6"/>
    <x v="0"/>
    <n v="124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6"/>
    <x v="0"/>
    <n v="192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6"/>
    <x v="0"/>
    <n v="251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n v="1"/>
    <m/>
    <m/>
    <m/>
    <n v="1"/>
    <m/>
    <m/>
    <m/>
    <m/>
    <m/>
    <m/>
    <m/>
    <n v="4"/>
  </r>
  <r>
    <x v="6"/>
    <x v="0"/>
    <n v="2511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n v="2"/>
  </r>
  <r>
    <x v="6"/>
    <x v="0"/>
    <n v="8317"/>
    <x v="0"/>
    <x v="3"/>
    <s v="OMEPRAZOLE MAGNESIUM"/>
    <m/>
    <m/>
    <m/>
    <n v="1"/>
    <m/>
    <m/>
    <m/>
    <m/>
    <m/>
    <m/>
    <m/>
    <m/>
    <m/>
    <m/>
    <m/>
    <m/>
    <m/>
    <n v="1"/>
    <m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n v="8"/>
  </r>
  <r>
    <x v="6"/>
    <x v="0"/>
    <n v="33418"/>
    <x v="0"/>
    <x v="3"/>
    <s v="RABEPRAZOLE SODIUM"/>
    <n v="1"/>
    <m/>
    <m/>
    <n v="1"/>
    <m/>
    <n v="1"/>
    <m/>
    <m/>
    <m/>
    <m/>
    <n v="1"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6"/>
  </r>
  <r>
    <x v="6"/>
    <x v="0"/>
    <n v="1601"/>
    <x v="1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n v="2"/>
  </r>
  <r>
    <x v="6"/>
    <x v="0"/>
    <n v="226"/>
    <x v="0"/>
    <x v="3"/>
    <s v="ESOMEPRAZOLE MAGNES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  <m/>
    <m/>
    <m/>
    <n v="5"/>
  </r>
  <r>
    <x v="6"/>
    <x v="0"/>
    <n v="1336"/>
    <x v="0"/>
    <x v="3"/>
    <s v="RABEPRAZOLE SODIUM"/>
    <m/>
    <m/>
    <m/>
    <m/>
    <n v="1"/>
    <m/>
    <m/>
    <m/>
    <m/>
    <m/>
    <n v="1"/>
    <m/>
    <m/>
    <m/>
    <n v="1"/>
    <m/>
    <m/>
    <m/>
    <m/>
    <n v="1"/>
    <m/>
    <m/>
    <m/>
    <m/>
    <n v="1"/>
    <n v="1"/>
    <m/>
    <m/>
    <m/>
    <n v="1"/>
    <m/>
    <m/>
    <m/>
    <n v="1"/>
    <m/>
    <m/>
    <m/>
    <n v="1"/>
    <m/>
    <m/>
    <m/>
    <n v="1"/>
    <m/>
    <m/>
    <m/>
    <m/>
    <n v="10"/>
  </r>
  <r>
    <x v="6"/>
    <x v="0"/>
    <n v="4254"/>
    <x v="0"/>
    <x v="3"/>
    <s v="RABEPRAZOLE SODIUM"/>
    <m/>
    <n v="1"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n v="6"/>
  </r>
  <r>
    <x v="6"/>
    <x v="0"/>
    <n v="623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6"/>
    <x v="0"/>
    <n v="7493"/>
    <x v="0"/>
    <x v="3"/>
    <s v="RABEPRAZOLE SOD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n v="3"/>
  </r>
  <r>
    <x v="6"/>
    <x v="0"/>
    <n v="751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511"/>
    <x v="0"/>
    <x v="3"/>
    <s v="ESOMEPRAZOLE MAGNES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3"/>
  </r>
  <r>
    <x v="6"/>
    <x v="0"/>
    <n v="809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093"/>
    <x v="0"/>
    <x v="3"/>
    <s v="RABE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2"/>
    <m/>
    <m/>
    <m/>
    <n v="1"/>
    <m/>
    <m/>
    <m/>
    <n v="1"/>
    <m/>
    <m/>
    <m/>
    <m/>
    <m/>
    <n v="1"/>
    <m/>
    <m/>
    <n v="6"/>
  </r>
  <r>
    <x v="6"/>
    <x v="0"/>
    <n v="8357"/>
    <x v="0"/>
    <x v="3"/>
    <s v="RABEPRAZOLE SODIUM"/>
    <m/>
    <n v="1"/>
    <m/>
    <m/>
    <m/>
    <n v="1"/>
    <m/>
    <m/>
    <m/>
    <m/>
    <n v="2"/>
    <m/>
    <n v="1"/>
    <n v="1"/>
    <m/>
    <m/>
    <n v="1"/>
    <m/>
    <m/>
    <m/>
    <m/>
    <n v="1"/>
    <m/>
    <m/>
    <n v="1"/>
    <m/>
    <m/>
    <m/>
    <n v="1"/>
    <m/>
    <m/>
    <m/>
    <n v="1"/>
    <m/>
    <m/>
    <m/>
    <n v="1"/>
    <m/>
    <m/>
    <m/>
    <n v="1"/>
    <m/>
    <m/>
    <m/>
    <m/>
    <m/>
    <n v="13"/>
  </r>
  <r>
    <x v="6"/>
    <x v="0"/>
    <n v="9430"/>
    <x v="0"/>
    <x v="3"/>
    <s v="OMEPRAZOLE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n v="3"/>
    <m/>
    <m/>
    <m/>
    <m/>
    <n v="5"/>
  </r>
  <r>
    <x v="6"/>
    <x v="0"/>
    <n v="10390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3"/>
  </r>
  <r>
    <x v="6"/>
    <x v="0"/>
    <n v="14315"/>
    <x v="0"/>
    <x v="3"/>
    <s v="RABEPRAZOLE SODIUM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6"/>
    <x v="0"/>
    <n v="3649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4250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4250"/>
    <x v="1"/>
    <x v="3"/>
    <s v="RABEPRAZOLE SODIUM"/>
    <m/>
    <m/>
    <m/>
    <n v="1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4"/>
  </r>
  <r>
    <x v="6"/>
    <x v="0"/>
    <n v="4564"/>
    <x v="1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6"/>
    <x v="0"/>
    <n v="7288"/>
    <x v="1"/>
    <x v="3"/>
    <s v="RABEPRAZOLE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6"/>
    <x v="0"/>
    <n v="7292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653"/>
    <x v="1"/>
    <x v="3"/>
    <s v="PANTOPRAZOLE MAGNES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6"/>
    <x v="0"/>
    <n v="18430"/>
    <x v="1"/>
    <x v="3"/>
    <s v="ESOMEPRAZOLE MAGNESIUM"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4"/>
  </r>
  <r>
    <x v="6"/>
    <x v="0"/>
    <n v="55"/>
    <x v="0"/>
    <x v="1"/>
    <s v="RANITIDINE HCL"/>
    <m/>
    <m/>
    <m/>
    <n v="1"/>
    <m/>
    <m/>
    <m/>
    <n v="1"/>
    <m/>
    <n v="1"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2"/>
  </r>
  <r>
    <x v="6"/>
    <x v="0"/>
    <n v="55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87"/>
    <x v="0"/>
    <x v="3"/>
    <s v="RABEPRAZOLE SODIUM"/>
    <m/>
    <n v="1"/>
    <m/>
    <n v="1"/>
    <m/>
    <n v="1"/>
    <m/>
    <n v="1"/>
    <m/>
    <n v="1"/>
    <m/>
    <n v="1"/>
    <m/>
    <n v="1"/>
    <n v="1"/>
    <m/>
    <n v="1"/>
    <m/>
    <n v="1"/>
    <m/>
    <n v="1"/>
    <m/>
    <m/>
    <n v="3"/>
    <m/>
    <n v="1"/>
    <n v="1"/>
    <n v="1"/>
    <m/>
    <m/>
    <m/>
    <m/>
    <m/>
    <m/>
    <m/>
    <m/>
    <m/>
    <m/>
    <m/>
    <m/>
    <m/>
    <m/>
    <m/>
    <m/>
    <m/>
    <m/>
    <n v="17"/>
  </r>
  <r>
    <x v="6"/>
    <x v="0"/>
    <n v="1311"/>
    <x v="0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3"/>
  </r>
  <r>
    <x v="6"/>
    <x v="0"/>
    <n v="1899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591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661"/>
    <x v="0"/>
    <x v="3"/>
    <s v="ESOMEPRAZOLE MAGNESIUM"/>
    <m/>
    <m/>
    <m/>
    <m/>
    <m/>
    <m/>
    <m/>
    <m/>
    <m/>
    <m/>
    <m/>
    <m/>
    <m/>
    <m/>
    <m/>
    <m/>
    <m/>
    <m/>
    <n v="1"/>
    <n v="1"/>
    <m/>
    <m/>
    <n v="1"/>
    <m/>
    <n v="1"/>
    <m/>
    <n v="1"/>
    <m/>
    <n v="2"/>
    <m/>
    <m/>
    <m/>
    <m/>
    <n v="1"/>
    <m/>
    <m/>
    <m/>
    <n v="1"/>
    <m/>
    <m/>
    <m/>
    <n v="1"/>
    <m/>
    <m/>
    <m/>
    <n v="1"/>
    <n v="11"/>
  </r>
  <r>
    <x v="6"/>
    <x v="0"/>
    <n v="6661"/>
    <x v="0"/>
    <x v="3"/>
    <s v="OMEPRAZOLE MAGNESIUM"/>
    <m/>
    <m/>
    <m/>
    <n v="1"/>
    <m/>
    <m/>
    <m/>
    <n v="1"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6"/>
    <x v="0"/>
    <n v="6643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n v="2"/>
  </r>
  <r>
    <x v="6"/>
    <x v="0"/>
    <n v="664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6"/>
    <x v="0"/>
    <n v="8316"/>
    <x v="1"/>
    <x v="3"/>
    <s v="RABEPRAZOLE SODIUM"/>
    <m/>
    <m/>
    <n v="1"/>
    <m/>
    <m/>
    <m/>
    <n v="1"/>
    <m/>
    <m/>
    <m/>
    <n v="1"/>
    <m/>
    <m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n v="1"/>
    <m/>
    <m/>
    <n v="11"/>
  </r>
  <r>
    <x v="6"/>
    <x v="0"/>
    <n v="19133"/>
    <x v="1"/>
    <x v="3"/>
    <s v="PANTOPRAZOLE SODIUM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n v="3"/>
  </r>
  <r>
    <x v="6"/>
    <x v="0"/>
    <n v="39"/>
    <x v="0"/>
    <x v="0"/>
    <s v="ATOR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6"/>
    <x v="0"/>
    <n v="1832"/>
    <x v="0"/>
    <x v="0"/>
    <s v="PRAVASTATIN SODIUM"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5"/>
  </r>
  <r>
    <x v="6"/>
    <x v="0"/>
    <n v="2103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725"/>
    <x v="0"/>
    <x v="0"/>
    <s v="ROSUVASTATIN CALCIUM"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6"/>
    <x v="0"/>
    <n v="3581"/>
    <x v="0"/>
    <x v="0"/>
    <s v="PRAVASTATIN SOD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3"/>
  </r>
  <r>
    <x v="6"/>
    <x v="0"/>
    <n v="3605"/>
    <x v="0"/>
    <x v="0"/>
    <s v="ATORVASTATIN CALCIUM"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4"/>
  </r>
  <r>
    <x v="6"/>
    <x v="0"/>
    <n v="5214"/>
    <x v="0"/>
    <x v="0"/>
    <s v="ATOR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6"/>
    <x v="0"/>
    <n v="5289"/>
    <x v="0"/>
    <x v="0"/>
    <s v="SIMVASTATIN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3"/>
  </r>
  <r>
    <x v="6"/>
    <x v="0"/>
    <n v="7290"/>
    <x v="0"/>
    <x v="0"/>
    <s v="PRAVASTATIN SODIUM"/>
    <m/>
    <m/>
    <m/>
    <m/>
    <m/>
    <m/>
    <m/>
    <m/>
    <n v="2"/>
    <m/>
    <m/>
    <m/>
    <m/>
    <m/>
    <n v="1"/>
    <m/>
    <m/>
    <m/>
    <n v="1"/>
    <m/>
    <m/>
    <m/>
    <m/>
    <n v="1"/>
    <m/>
    <m/>
    <m/>
    <n v="2"/>
    <m/>
    <m/>
    <m/>
    <m/>
    <n v="1"/>
    <m/>
    <m/>
    <m/>
    <m/>
    <m/>
    <m/>
    <m/>
    <m/>
    <m/>
    <m/>
    <m/>
    <m/>
    <m/>
    <n v="8"/>
  </r>
  <r>
    <x v="6"/>
    <x v="0"/>
    <n v="729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  <m/>
    <n v="1"/>
    <m/>
    <m/>
    <m/>
    <n v="1"/>
    <m/>
    <m/>
    <m/>
    <n v="5"/>
  </r>
  <r>
    <x v="6"/>
    <x v="0"/>
    <n v="7573"/>
    <x v="0"/>
    <x v="0"/>
    <s v="PRAVASTATIN SODIUM"/>
    <m/>
    <m/>
    <m/>
    <m/>
    <m/>
    <m/>
    <m/>
    <m/>
    <m/>
    <n v="1"/>
    <m/>
    <m/>
    <m/>
    <m/>
    <m/>
    <m/>
    <m/>
    <m/>
    <m/>
    <n v="2"/>
    <m/>
    <m/>
    <m/>
    <n v="1"/>
    <m/>
    <m/>
    <m/>
    <n v="1"/>
    <m/>
    <m/>
    <m/>
    <n v="1"/>
    <m/>
    <m/>
    <m/>
    <n v="1"/>
    <m/>
    <m/>
    <m/>
    <n v="1"/>
    <m/>
    <m/>
    <m/>
    <n v="1"/>
    <m/>
    <m/>
    <n v="9"/>
  </r>
  <r>
    <x v="6"/>
    <x v="0"/>
    <n v="9436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n v="3"/>
  </r>
  <r>
    <x v="6"/>
    <x v="0"/>
    <n v="10644"/>
    <x v="0"/>
    <x v="0"/>
    <s v="ROSUVASTATIN CALC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n v="4"/>
  </r>
  <r>
    <x v="6"/>
    <x v="0"/>
    <n v="15143"/>
    <x v="0"/>
    <x v="0"/>
    <s v="PRAVASTATIN SODIUM"/>
    <m/>
    <m/>
    <m/>
    <m/>
    <m/>
    <m/>
    <m/>
    <m/>
    <m/>
    <m/>
    <m/>
    <n v="1"/>
    <m/>
    <m/>
    <m/>
    <m/>
    <n v="2"/>
    <m/>
    <m/>
    <m/>
    <n v="1"/>
    <m/>
    <m/>
    <m/>
    <n v="1"/>
    <m/>
    <m/>
    <m/>
    <n v="1"/>
    <m/>
    <m/>
    <m/>
    <n v="1"/>
    <m/>
    <m/>
    <n v="1"/>
    <m/>
    <m/>
    <m/>
    <m/>
    <m/>
    <n v="1"/>
    <m/>
    <m/>
    <n v="1"/>
    <m/>
    <n v="10"/>
  </r>
  <r>
    <x v="6"/>
    <x v="0"/>
    <n v="19250"/>
    <x v="0"/>
    <x v="8"/>
    <s v="FENOFIBRATE, MICRONIZED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3"/>
  </r>
  <r>
    <x v="6"/>
    <x v="0"/>
    <n v="22058"/>
    <x v="0"/>
    <x v="0"/>
    <s v="ATORVASTATIN CALCIUM"/>
    <m/>
    <m/>
    <m/>
    <m/>
    <m/>
    <m/>
    <m/>
    <m/>
    <n v="1"/>
    <m/>
    <m/>
    <n v="1"/>
    <m/>
    <m/>
    <m/>
    <n v="1"/>
    <m/>
    <m/>
    <n v="1"/>
    <n v="1"/>
    <m/>
    <m/>
    <m/>
    <n v="1"/>
    <m/>
    <m/>
    <m/>
    <n v="1"/>
    <m/>
    <m/>
    <m/>
    <m/>
    <m/>
    <m/>
    <n v="1"/>
    <m/>
    <m/>
    <m/>
    <m/>
    <m/>
    <m/>
    <m/>
    <m/>
    <m/>
    <m/>
    <m/>
    <n v="8"/>
  </r>
  <r>
    <x v="6"/>
    <x v="0"/>
    <n v="3138"/>
    <x v="1"/>
    <x v="0"/>
    <s v="ROSUVASTATIN CALC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m/>
    <n v="1"/>
    <n v="1"/>
    <n v="1"/>
    <n v="1"/>
    <n v="1"/>
    <n v="1"/>
    <n v="1"/>
    <n v="1"/>
    <n v="46"/>
  </r>
  <r>
    <x v="6"/>
    <x v="0"/>
    <n v="6213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</r>
  <r>
    <x v="6"/>
    <x v="0"/>
    <n v="7110"/>
    <x v="1"/>
    <x v="8"/>
    <s v="FENOFIBRATE, MICROCOATED"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6"/>
    <x v="0"/>
    <n v="7618"/>
    <x v="1"/>
    <x v="0"/>
    <s v="ATOR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n v="1"/>
    <m/>
    <m/>
    <n v="1"/>
    <m/>
    <m/>
    <m/>
    <n v="5"/>
  </r>
  <r>
    <x v="6"/>
    <x v="0"/>
    <n v="7865"/>
    <x v="1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796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980"/>
    <x v="1"/>
    <x v="0"/>
    <s v="ROSUVASTATIN CALCIUM"/>
    <m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n v="10"/>
  </r>
  <r>
    <x v="6"/>
    <x v="0"/>
    <n v="9931"/>
    <x v="1"/>
    <x v="0"/>
    <s v="ATORVASTATIN CALCIUM"/>
    <m/>
    <m/>
    <m/>
    <m/>
    <m/>
    <m/>
    <m/>
    <m/>
    <m/>
    <m/>
    <m/>
    <m/>
    <m/>
    <m/>
    <n v="2"/>
    <m/>
    <m/>
    <m/>
    <m/>
    <m/>
    <n v="1"/>
    <m/>
    <m/>
    <m/>
    <m/>
    <m/>
    <m/>
    <m/>
    <m/>
    <m/>
    <n v="1"/>
    <m/>
    <m/>
    <m/>
    <m/>
    <m/>
    <m/>
    <m/>
    <m/>
    <m/>
    <n v="1"/>
    <m/>
    <m/>
    <m/>
    <m/>
    <m/>
    <n v="5"/>
  </r>
  <r>
    <x v="6"/>
    <x v="0"/>
    <n v="11742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</r>
  <r>
    <x v="6"/>
    <x v="0"/>
    <n v="14719"/>
    <x v="1"/>
    <x v="0"/>
    <s v="ATORVASTATIN CALCIUM"/>
    <m/>
    <m/>
    <m/>
    <m/>
    <m/>
    <m/>
    <m/>
    <m/>
    <m/>
    <m/>
    <m/>
    <m/>
    <m/>
    <n v="2"/>
    <m/>
    <m/>
    <m/>
    <m/>
    <m/>
    <m/>
    <m/>
    <m/>
    <n v="1"/>
    <m/>
    <m/>
    <m/>
    <m/>
    <m/>
    <m/>
    <m/>
    <n v="1"/>
    <m/>
    <m/>
    <m/>
    <m/>
    <m/>
    <m/>
    <m/>
    <n v="1"/>
    <m/>
    <m/>
    <m/>
    <m/>
    <m/>
    <m/>
    <m/>
    <n v="5"/>
  </r>
  <r>
    <x v="6"/>
    <x v="0"/>
    <n v="28322"/>
    <x v="1"/>
    <x v="0"/>
    <s v="ROSUVASTATIN CALCIUM"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n v="1"/>
    <m/>
    <m/>
    <m/>
    <m/>
    <m/>
    <m/>
    <m/>
    <m/>
    <m/>
    <m/>
    <m/>
    <m/>
    <n v="1"/>
    <m/>
    <m/>
    <m/>
    <n v="4"/>
  </r>
  <r>
    <x v="6"/>
    <x v="0"/>
    <n v="29107"/>
    <x v="1"/>
    <x v="0"/>
    <s v="ATORVASTATIN CALCIUM"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n v="1"/>
    <m/>
    <m/>
    <m/>
    <m/>
    <m/>
    <m/>
    <m/>
    <m/>
    <m/>
    <m/>
    <m/>
    <m/>
    <n v="1"/>
    <m/>
    <n v="6"/>
  </r>
  <r>
    <x v="6"/>
    <x v="0"/>
    <n v="32354"/>
    <x v="1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6"/>
    <x v="0"/>
    <n v="3559"/>
    <x v="0"/>
    <x v="0"/>
    <s v="ATORVASTATIN CALCIUM"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n v="3"/>
  </r>
  <r>
    <x v="6"/>
    <x v="0"/>
    <n v="3794"/>
    <x v="0"/>
    <x v="0"/>
    <s v="ATORVASTATIN CALCIUM"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6"/>
    <x v="0"/>
    <n v="5216"/>
    <x v="0"/>
    <x v="0"/>
    <s v="ROSUVASTATIN CALCIUM"/>
    <m/>
    <m/>
    <m/>
    <n v="1"/>
    <m/>
    <m/>
    <m/>
    <m/>
    <m/>
    <m/>
    <n v="1"/>
    <m/>
    <m/>
    <m/>
    <n v="1"/>
    <m/>
    <n v="1"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m/>
    <n v="10"/>
  </r>
  <r>
    <x v="6"/>
    <x v="0"/>
    <n v="5233"/>
    <x v="0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5233"/>
    <x v="0"/>
    <x v="0"/>
    <s v="PRAVASTATIN SODIUM"/>
    <m/>
    <m/>
    <m/>
    <m/>
    <m/>
    <m/>
    <m/>
    <m/>
    <m/>
    <m/>
    <m/>
    <m/>
    <m/>
    <m/>
    <n v="2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4"/>
  </r>
  <r>
    <x v="6"/>
    <x v="0"/>
    <n v="6630"/>
    <x v="0"/>
    <x v="0"/>
    <s v="ROSUVASTATIN CALCIUM"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3"/>
  </r>
  <r>
    <x v="6"/>
    <x v="0"/>
    <n v="7379"/>
    <x v="0"/>
    <x v="0"/>
    <s v="ATORVASTATIN CALCIUM"/>
    <m/>
    <m/>
    <n v="1"/>
    <m/>
    <m/>
    <m/>
    <m/>
    <m/>
    <m/>
    <m/>
    <m/>
    <m/>
    <n v="1"/>
    <n v="1"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5"/>
  </r>
  <r>
    <x v="6"/>
    <x v="0"/>
    <n v="8318"/>
    <x v="0"/>
    <x v="0"/>
    <s v="LOVASTATIN"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4"/>
  </r>
  <r>
    <x v="6"/>
    <x v="0"/>
    <n v="8737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3"/>
  </r>
  <r>
    <x v="6"/>
    <x v="0"/>
    <n v="9383"/>
    <x v="0"/>
    <x v="0"/>
    <s v="LOVASTATIN"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4"/>
  </r>
  <r>
    <x v="6"/>
    <x v="0"/>
    <n v="10364"/>
    <x v="0"/>
    <x v="0"/>
    <s v="ROSUVASTATIN CALCIUM"/>
    <m/>
    <m/>
    <m/>
    <m/>
    <n v="1"/>
    <n v="1"/>
    <m/>
    <m/>
    <n v="2"/>
    <m/>
    <m/>
    <m/>
    <n v="1"/>
    <m/>
    <m/>
    <m/>
    <n v="1"/>
    <m/>
    <m/>
    <n v="1"/>
    <m/>
    <m/>
    <m/>
    <n v="1"/>
    <m/>
    <m/>
    <m/>
    <m/>
    <n v="1"/>
    <m/>
    <m/>
    <n v="1"/>
    <m/>
    <m/>
    <m/>
    <n v="1"/>
    <m/>
    <m/>
    <m/>
    <m/>
    <n v="1"/>
    <m/>
    <m/>
    <n v="1"/>
    <m/>
    <m/>
    <n v="13"/>
  </r>
  <r>
    <x v="6"/>
    <x v="0"/>
    <n v="11039"/>
    <x v="0"/>
    <x v="0"/>
    <s v="ATORVASTATIN CALCIUM"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6"/>
    <x v="0"/>
    <n v="11545"/>
    <x v="0"/>
    <x v="0"/>
    <s v="ATORVASTATIN CALCIUM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6"/>
    <x v="0"/>
    <n v="13566"/>
    <x v="0"/>
    <x v="0"/>
    <s v="ATORVASTATIN CALCIUM"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4"/>
  </r>
  <r>
    <x v="6"/>
    <x v="0"/>
    <n v="14806"/>
    <x v="0"/>
    <x v="0"/>
    <s v="SIMVASTATIN"/>
    <m/>
    <n v="1"/>
    <m/>
    <m/>
    <m/>
    <n v="1"/>
    <m/>
    <m/>
    <m/>
    <m/>
    <n v="1"/>
    <m/>
    <m/>
    <m/>
    <n v="1"/>
    <m/>
    <m/>
    <m/>
    <n v="2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n v="12"/>
  </r>
  <r>
    <x v="6"/>
    <x v="0"/>
    <n v="19579"/>
    <x v="0"/>
    <x v="0"/>
    <s v="ATORVASTATIN CALCIUM"/>
    <m/>
    <m/>
    <m/>
    <m/>
    <m/>
    <m/>
    <m/>
    <m/>
    <m/>
    <m/>
    <m/>
    <m/>
    <m/>
    <n v="1"/>
    <m/>
    <m/>
    <m/>
    <n v="1"/>
    <m/>
    <m/>
    <m/>
    <m/>
    <n v="1"/>
    <m/>
    <m/>
    <n v="1"/>
    <m/>
    <m/>
    <m/>
    <m/>
    <m/>
    <m/>
    <m/>
    <m/>
    <m/>
    <m/>
    <m/>
    <m/>
    <n v="1"/>
    <m/>
    <m/>
    <m/>
    <m/>
    <m/>
    <m/>
    <m/>
    <n v="5"/>
  </r>
  <r>
    <x v="6"/>
    <x v="0"/>
    <n v="27090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6"/>
    <x v="0"/>
    <n v="28382"/>
    <x v="0"/>
    <x v="0"/>
    <s v="ROSU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6"/>
    <x v="0"/>
    <n v="814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n v="1"/>
    <m/>
    <m/>
    <m/>
    <m/>
    <n v="1"/>
    <m/>
    <m/>
    <m/>
    <m/>
    <m/>
    <m/>
    <m/>
    <m/>
    <m/>
    <m/>
    <m/>
    <m/>
    <n v="1"/>
    <m/>
    <m/>
    <m/>
    <m/>
    <n v="4"/>
  </r>
  <r>
    <x v="6"/>
    <x v="0"/>
    <n v="1456"/>
    <x v="1"/>
    <x v="0"/>
    <s v="SIMVASTATIN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6"/>
    <x v="0"/>
    <n v="6514"/>
    <x v="1"/>
    <x v="0"/>
    <s v="ROSUVASTATIN CALCIUM"/>
    <n v="3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6"/>
  </r>
  <r>
    <x v="6"/>
    <x v="0"/>
    <n v="6604"/>
    <x v="1"/>
    <x v="8"/>
    <s v="FENOFIBRATE, MICROCOATED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3"/>
  </r>
  <r>
    <x v="6"/>
    <x v="0"/>
    <n v="6604"/>
    <x v="1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344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6"/>
    <x v="0"/>
    <n v="751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9491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6"/>
    <x v="0"/>
    <n v="9678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6"/>
    <x v="0"/>
    <n v="11117"/>
    <x v="1"/>
    <x v="0"/>
    <s v="ROSUVASTATIN CALCIUM"/>
    <n v="1"/>
    <m/>
    <m/>
    <m/>
    <n v="1"/>
    <m/>
    <m/>
    <m/>
    <m/>
    <n v="1"/>
    <m/>
    <m/>
    <m/>
    <m/>
    <n v="1"/>
    <m/>
    <m/>
    <m/>
    <m/>
    <m/>
    <m/>
    <m/>
    <m/>
    <m/>
    <m/>
    <m/>
    <m/>
    <n v="1"/>
    <n v="1"/>
    <m/>
    <m/>
    <m/>
    <n v="1"/>
    <m/>
    <m/>
    <n v="1"/>
    <m/>
    <m/>
    <m/>
    <m/>
    <m/>
    <n v="1"/>
    <m/>
    <m/>
    <m/>
    <n v="1"/>
    <n v="10"/>
  </r>
  <r>
    <x v="6"/>
    <x v="0"/>
    <n v="13565"/>
    <x v="1"/>
    <x v="0"/>
    <s v="ROSUVASTATIN CALCIUM"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4"/>
  </r>
  <r>
    <x v="6"/>
    <x v="0"/>
    <n v="20364"/>
    <x v="1"/>
    <x v="0"/>
    <s v="ATORVASTATIN CALCIUM"/>
    <m/>
    <m/>
    <m/>
    <n v="1"/>
    <m/>
    <m/>
    <m/>
    <m/>
    <m/>
    <m/>
    <m/>
    <m/>
    <m/>
    <n v="1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n v="4"/>
  </r>
  <r>
    <x v="6"/>
    <x v="0"/>
    <n v="30286"/>
    <x v="1"/>
    <x v="0"/>
    <s v="ROSUVASTATIN CALCIUM"/>
    <m/>
    <n v="1"/>
    <n v="1"/>
    <n v="1"/>
    <n v="1"/>
    <n v="1"/>
    <n v="1"/>
    <n v="1"/>
    <n v="1"/>
    <n v="1"/>
    <n v="1"/>
    <n v="2"/>
    <n v="1"/>
    <m/>
    <n v="2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2"/>
    <n v="2"/>
    <n v="2"/>
    <n v="1"/>
    <n v="1"/>
    <m/>
    <n v="2"/>
    <n v="51"/>
  </r>
  <r>
    <x v="7"/>
    <x v="1"/>
    <n v="1755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7"/>
    <x v="1"/>
    <n v="6001"/>
    <x v="1"/>
    <x v="0"/>
    <s v="ROSU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7"/>
    <x v="1"/>
    <n v="7505"/>
    <x v="1"/>
    <x v="0"/>
    <s v="ROSUVASTATIN CALCIUM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7"/>
    <x v="1"/>
    <n v="15506"/>
    <x v="1"/>
    <x v="0"/>
    <s v="ATORVASTATIN CALCIUM"/>
    <m/>
    <m/>
    <m/>
    <m/>
    <m/>
    <m/>
    <m/>
    <m/>
    <n v="1"/>
    <m/>
    <m/>
    <m/>
    <m/>
    <n v="1"/>
    <m/>
    <m/>
    <m/>
    <m/>
    <m/>
    <n v="1"/>
    <m/>
    <m/>
    <m/>
    <n v="1"/>
    <m/>
    <m/>
    <m/>
    <m/>
    <n v="1"/>
    <m/>
    <m/>
    <m/>
    <m/>
    <n v="1"/>
    <m/>
    <m/>
    <m/>
    <m/>
    <n v="1"/>
    <m/>
    <m/>
    <m/>
    <m/>
    <m/>
    <m/>
    <m/>
    <n v="7"/>
  </r>
  <r>
    <x v="7"/>
    <x v="1"/>
    <n v="16935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7"/>
    <x v="1"/>
    <n v="1951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7"/>
    <x v="1"/>
    <n v="6224"/>
    <x v="1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4"/>
  </r>
  <r>
    <x v="7"/>
    <x v="1"/>
    <n v="17443"/>
    <x v="1"/>
    <x v="0"/>
    <s v="ROSU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n v="4"/>
  </r>
  <r>
    <x v="7"/>
    <x v="1"/>
    <n v="1436"/>
    <x v="0"/>
    <x v="3"/>
    <s v="PANTOPRAZOLE SODIUM"/>
    <m/>
    <m/>
    <m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7"/>
    <x v="1"/>
    <n v="175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7"/>
    <x v="1"/>
    <n v="10232"/>
    <x v="0"/>
    <x v="0"/>
    <s v="ROSUVASTATIN CALCIUM"/>
    <n v="2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"/>
  </r>
  <r>
    <x v="7"/>
    <x v="1"/>
    <n v="32529"/>
    <x v="0"/>
    <x v="0"/>
    <s v="SIMVASTATIN"/>
    <m/>
    <m/>
    <m/>
    <m/>
    <m/>
    <n v="1"/>
    <m/>
    <m/>
    <m/>
    <m/>
    <m/>
    <m/>
    <m/>
    <m/>
    <m/>
    <n v="1"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5"/>
  </r>
  <r>
    <x v="7"/>
    <x v="1"/>
    <n v="5945"/>
    <x v="1"/>
    <x v="0"/>
    <s v="ATORVASTATIN CALCIUM"/>
    <m/>
    <n v="1"/>
    <m/>
    <m/>
    <m/>
    <m/>
    <n v="1"/>
    <m/>
    <m/>
    <m/>
    <n v="1"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n v="11"/>
  </r>
  <r>
    <x v="7"/>
    <x v="1"/>
    <n v="5945"/>
    <x v="1"/>
    <x v="6"/>
    <s v="EZETIMIBE"/>
    <m/>
    <n v="1"/>
    <m/>
    <m/>
    <m/>
    <m/>
    <n v="1"/>
    <m/>
    <m/>
    <m/>
    <n v="1"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n v="11"/>
  </r>
  <r>
    <x v="7"/>
    <x v="1"/>
    <n v="10805"/>
    <x v="1"/>
    <x v="0"/>
    <s v="ATORVASTATIN CALCIUM"/>
    <m/>
    <m/>
    <m/>
    <m/>
    <n v="1"/>
    <m/>
    <m/>
    <m/>
    <n v="1"/>
    <m/>
    <m/>
    <m/>
    <m/>
    <m/>
    <m/>
    <n v="1"/>
    <m/>
    <n v="2"/>
    <m/>
    <n v="1"/>
    <n v="1"/>
    <n v="1"/>
    <m/>
    <n v="1"/>
    <m/>
    <n v="1"/>
    <m/>
    <m/>
    <n v="1"/>
    <m/>
    <m/>
    <m/>
    <m/>
    <m/>
    <m/>
    <m/>
    <n v="1"/>
    <m/>
    <m/>
    <m/>
    <m/>
    <m/>
    <m/>
    <m/>
    <n v="1"/>
    <m/>
    <n v="13"/>
  </r>
  <r>
    <x v="7"/>
    <x v="1"/>
    <n v="16935"/>
    <x v="1"/>
    <x v="0"/>
    <s v="ROSUVASTATIN CALCIUM"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</r>
  <r>
    <x v="7"/>
    <x v="1"/>
    <n v="20274"/>
    <x v="1"/>
    <x v="8"/>
    <s v="FENOFIBRATE, NANOCRYSTALLIZED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</r>
  <r>
    <x v="7"/>
    <x v="1"/>
    <n v="20274"/>
    <x v="1"/>
    <x v="6"/>
    <s v="EZETIMIBE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</r>
  <r>
    <x v="8"/>
    <x v="1"/>
    <n v="755"/>
    <x v="0"/>
    <x v="3"/>
    <s v="PANTOPRAZOLE SOD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855"/>
    <x v="0"/>
    <x v="3"/>
    <s v="PANTOPRAZOLE MAGNESIUM"/>
    <m/>
    <m/>
    <n v="1"/>
    <m/>
    <m/>
    <m/>
    <n v="1"/>
    <m/>
    <m/>
    <m/>
    <n v="1"/>
    <m/>
    <m/>
    <m/>
    <n v="1"/>
    <m/>
    <m/>
    <m/>
    <n v="1"/>
    <m/>
    <m/>
    <m/>
    <m/>
    <n v="1"/>
    <m/>
    <m/>
    <m/>
    <m/>
    <n v="1"/>
    <m/>
    <m/>
    <m/>
    <m/>
    <n v="1"/>
    <n v="1"/>
    <m/>
    <m/>
    <m/>
    <m/>
    <n v="1"/>
    <m/>
    <m/>
    <n v="1"/>
    <m/>
    <m/>
    <m/>
    <n v="11"/>
  </r>
  <r>
    <x v="8"/>
    <x v="1"/>
    <n v="1752"/>
    <x v="0"/>
    <x v="0"/>
    <s v="ROSUVASTATIN CALCIUM"/>
    <m/>
    <m/>
    <m/>
    <n v="1"/>
    <m/>
    <m/>
    <m/>
    <n v="1"/>
    <m/>
    <m/>
    <n v="1"/>
    <m/>
    <m/>
    <m/>
    <m/>
    <n v="3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9"/>
  </r>
  <r>
    <x v="8"/>
    <x v="1"/>
    <n v="4237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m/>
    <m/>
    <m/>
    <m/>
    <m/>
    <m/>
    <m/>
    <n v="1"/>
    <m/>
    <m/>
    <m/>
    <n v="5"/>
  </r>
  <r>
    <x v="8"/>
    <x v="1"/>
    <n v="5926"/>
    <x v="0"/>
    <x v="1"/>
    <s v="RANITIDINE HCL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3"/>
  </r>
  <r>
    <x v="8"/>
    <x v="1"/>
    <n v="9159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3"/>
  </r>
  <r>
    <x v="8"/>
    <x v="1"/>
    <n v="9773"/>
    <x v="0"/>
    <x v="0"/>
    <s v="ROSUVASTATIN CALCIUM"/>
    <m/>
    <m/>
    <m/>
    <n v="1"/>
    <m/>
    <m/>
    <m/>
    <n v="1"/>
    <m/>
    <m/>
    <m/>
    <m/>
    <m/>
    <n v="1"/>
    <m/>
    <n v="1"/>
    <n v="1"/>
    <m/>
    <n v="1"/>
    <n v="1"/>
    <m/>
    <n v="1"/>
    <n v="1"/>
    <m/>
    <n v="1"/>
    <m/>
    <m/>
    <m/>
    <m/>
    <m/>
    <m/>
    <m/>
    <m/>
    <m/>
    <m/>
    <m/>
    <m/>
    <m/>
    <m/>
    <m/>
    <m/>
    <m/>
    <m/>
    <m/>
    <m/>
    <m/>
    <n v="10"/>
  </r>
  <r>
    <x v="8"/>
    <x v="1"/>
    <n v="10044"/>
    <x v="0"/>
    <x v="0"/>
    <s v="ROSUVASTATIN CALCIUM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8"/>
    <x v="1"/>
    <n v="10044"/>
    <x v="0"/>
    <x v="6"/>
    <s v="EZETIMIBE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8"/>
    <x v="1"/>
    <n v="10686"/>
    <x v="0"/>
    <x v="1"/>
    <s v="RANITIDINE HCL"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n v="1"/>
    <m/>
    <m/>
    <m/>
    <m/>
    <m/>
    <m/>
    <m/>
    <m/>
    <m/>
    <m/>
    <m/>
    <m/>
    <m/>
    <m/>
    <m/>
    <n v="3"/>
  </r>
  <r>
    <x v="8"/>
    <x v="1"/>
    <n v="10808"/>
    <x v="0"/>
    <x v="0"/>
    <s v="ATORVASTATIN CALCIUM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8"/>
    <x v="1"/>
    <n v="12899"/>
    <x v="0"/>
    <x v="2"/>
    <s v="MISOPROSTOL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13036"/>
    <x v="0"/>
    <x v="0"/>
    <s v="ROSUVASTATIN CALCIUM"/>
    <m/>
    <m/>
    <m/>
    <n v="1"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n v="1"/>
    <m/>
    <m/>
    <m/>
    <m/>
    <m/>
    <m/>
    <m/>
    <n v="5"/>
  </r>
  <r>
    <x v="8"/>
    <x v="1"/>
    <n v="13099"/>
    <x v="0"/>
    <x v="3"/>
    <s v="PANTOPRAZOLE MAGNESIUM"/>
    <m/>
    <m/>
    <m/>
    <m/>
    <m/>
    <m/>
    <m/>
    <m/>
    <m/>
    <m/>
    <m/>
    <m/>
    <m/>
    <m/>
    <m/>
    <n v="3"/>
    <m/>
    <n v="1"/>
    <m/>
    <n v="1"/>
    <m/>
    <m/>
    <m/>
    <m/>
    <m/>
    <m/>
    <m/>
    <n v="2"/>
    <m/>
    <m/>
    <m/>
    <m/>
    <m/>
    <n v="1"/>
    <m/>
    <m/>
    <m/>
    <m/>
    <m/>
    <m/>
    <m/>
    <m/>
    <m/>
    <m/>
    <m/>
    <m/>
    <n v="8"/>
  </r>
  <r>
    <x v="8"/>
    <x v="1"/>
    <n v="13099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13549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n v="3"/>
  </r>
  <r>
    <x v="8"/>
    <x v="1"/>
    <n v="14671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8"/>
    <x v="1"/>
    <n v="18798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3"/>
  </r>
  <r>
    <x v="8"/>
    <x v="1"/>
    <n v="18914"/>
    <x v="0"/>
    <x v="0"/>
    <s v="ROSUVASTATIN CALCIUM"/>
    <m/>
    <m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n v="5"/>
  </r>
  <r>
    <x v="8"/>
    <x v="1"/>
    <n v="2120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2625"/>
    <x v="0"/>
    <x v="3"/>
    <s v="RABEPRAZOLE SODIUM"/>
    <m/>
    <m/>
    <m/>
    <m/>
    <m/>
    <n v="1"/>
    <m/>
    <m/>
    <m/>
    <m/>
    <m/>
    <m/>
    <m/>
    <m/>
    <m/>
    <m/>
    <n v="1"/>
    <m/>
    <n v="1"/>
    <m/>
    <m/>
    <m/>
    <m/>
    <m/>
    <m/>
    <m/>
    <m/>
    <m/>
    <m/>
    <n v="2"/>
    <m/>
    <m/>
    <m/>
    <m/>
    <m/>
    <m/>
    <m/>
    <m/>
    <m/>
    <m/>
    <m/>
    <m/>
    <m/>
    <n v="1"/>
    <m/>
    <m/>
    <n v="6"/>
  </r>
  <r>
    <x v="8"/>
    <x v="1"/>
    <n v="22846"/>
    <x v="0"/>
    <x v="0"/>
    <s v="ATORVASTATIN CALCIUM"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8"/>
    <x v="1"/>
    <n v="2284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9657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4190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8"/>
    <x v="1"/>
    <n v="4190"/>
    <x v="1"/>
    <x v="3"/>
    <s v="RABEPRAZOLE SODIUM"/>
    <m/>
    <m/>
    <n v="1"/>
    <m/>
    <m/>
    <m/>
    <m/>
    <m/>
    <n v="1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5"/>
  </r>
  <r>
    <x v="8"/>
    <x v="1"/>
    <n v="5035"/>
    <x v="1"/>
    <x v="0"/>
    <s v="ROSUVASTATIN CALCIUM"/>
    <n v="1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4"/>
  </r>
  <r>
    <x v="8"/>
    <x v="1"/>
    <n v="12799"/>
    <x v="1"/>
    <x v="0"/>
    <s v="ATORVASTATIN CALCIUM"/>
    <m/>
    <m/>
    <n v="1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4"/>
  </r>
  <r>
    <x v="8"/>
    <x v="1"/>
    <n v="14128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21949"/>
    <x v="1"/>
    <x v="0"/>
    <s v="ROSUVASTATIN CALCIUM"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n v="3"/>
  </r>
  <r>
    <x v="8"/>
    <x v="1"/>
    <n v="246"/>
    <x v="0"/>
    <x v="0"/>
    <s v="ROSUVASTATIN CALCIUM"/>
    <m/>
    <m/>
    <n v="1"/>
    <m/>
    <m/>
    <m/>
    <n v="1"/>
    <m/>
    <n v="1"/>
    <m/>
    <m/>
    <m/>
    <m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1"/>
  </r>
  <r>
    <x v="8"/>
    <x v="1"/>
    <n v="922"/>
    <x v="0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922"/>
    <x v="0"/>
    <x v="0"/>
    <s v="ATORVASTATIN CALCIUM"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n v="1"/>
    <n v="1"/>
    <m/>
    <m/>
    <n v="1"/>
    <m/>
    <m/>
    <m/>
    <n v="1"/>
    <m/>
    <m/>
    <n v="13"/>
  </r>
  <r>
    <x v="8"/>
    <x v="1"/>
    <n v="1368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8"/>
    <x v="1"/>
    <n v="2115"/>
    <x v="0"/>
    <x v="0"/>
    <s v="ATORVASTATIN CALCIUM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8"/>
    <x v="1"/>
    <n v="2158"/>
    <x v="0"/>
    <x v="0"/>
    <s v="ROSUVASTATIN CALCIUM"/>
    <m/>
    <m/>
    <m/>
    <m/>
    <m/>
    <m/>
    <m/>
    <n v="1"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n v="1"/>
    <m/>
    <m/>
    <m/>
    <m/>
    <m/>
    <m/>
    <m/>
    <n v="4"/>
  </r>
  <r>
    <x v="8"/>
    <x v="1"/>
    <n v="2295"/>
    <x v="0"/>
    <x v="0"/>
    <s v="ATORVASTATIN CALCIUM"/>
    <m/>
    <m/>
    <m/>
    <m/>
    <n v="1"/>
    <m/>
    <m/>
    <m/>
    <n v="1"/>
    <m/>
    <m/>
    <m/>
    <m/>
    <n v="2"/>
    <m/>
    <m/>
    <m/>
    <n v="1"/>
    <m/>
    <m/>
    <m/>
    <n v="1"/>
    <n v="1"/>
    <m/>
    <m/>
    <m/>
    <n v="1"/>
    <m/>
    <m/>
    <m/>
    <m/>
    <m/>
    <m/>
    <n v="1"/>
    <m/>
    <m/>
    <n v="1"/>
    <m/>
    <m/>
    <n v="1"/>
    <m/>
    <m/>
    <n v="1"/>
    <m/>
    <m/>
    <n v="1"/>
    <n v="13"/>
  </r>
  <r>
    <x v="8"/>
    <x v="1"/>
    <n v="2295"/>
    <x v="0"/>
    <x v="3"/>
    <s v="RABEPRAZOLE SODIUM"/>
    <m/>
    <m/>
    <m/>
    <m/>
    <n v="1"/>
    <m/>
    <m/>
    <m/>
    <n v="1"/>
    <m/>
    <m/>
    <m/>
    <m/>
    <n v="1"/>
    <m/>
    <m/>
    <m/>
    <n v="1"/>
    <m/>
    <m/>
    <m/>
    <n v="1"/>
    <n v="1"/>
    <m/>
    <m/>
    <m/>
    <n v="1"/>
    <m/>
    <m/>
    <m/>
    <m/>
    <m/>
    <m/>
    <n v="1"/>
    <m/>
    <m/>
    <n v="1"/>
    <m/>
    <m/>
    <n v="1"/>
    <m/>
    <m/>
    <n v="1"/>
    <m/>
    <m/>
    <n v="1"/>
    <n v="12"/>
  </r>
  <r>
    <x v="8"/>
    <x v="1"/>
    <n v="2299"/>
    <x v="0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8"/>
    <x v="1"/>
    <n v="2643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8"/>
    <x v="1"/>
    <n v="3939"/>
    <x v="0"/>
    <x v="3"/>
    <s v="RABEPRAZOLE SODIUM"/>
    <m/>
    <m/>
    <m/>
    <m/>
    <m/>
    <m/>
    <n v="2"/>
    <m/>
    <m/>
    <m/>
    <m/>
    <m/>
    <m/>
    <m/>
    <m/>
    <n v="2"/>
    <m/>
    <m/>
    <m/>
    <m/>
    <m/>
    <m/>
    <n v="1"/>
    <m/>
    <m/>
    <m/>
    <m/>
    <m/>
    <m/>
    <m/>
    <m/>
    <n v="4"/>
    <n v="1"/>
    <m/>
    <n v="1"/>
    <m/>
    <m/>
    <m/>
    <m/>
    <m/>
    <n v="2"/>
    <m/>
    <m/>
    <m/>
    <m/>
    <m/>
    <n v="13"/>
  </r>
  <r>
    <x v="8"/>
    <x v="1"/>
    <n v="3973"/>
    <x v="0"/>
    <x v="3"/>
    <s v="ESOMEPRAZOLE MAGNES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8"/>
    <x v="1"/>
    <n v="4012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n v="1"/>
    <m/>
    <m/>
    <m/>
    <n v="1"/>
    <m/>
    <m/>
    <m/>
    <m/>
    <m/>
    <m/>
    <m/>
    <m/>
    <m/>
    <n v="1"/>
    <m/>
    <n v="5"/>
  </r>
  <r>
    <x v="8"/>
    <x v="1"/>
    <n v="4080"/>
    <x v="0"/>
    <x v="0"/>
    <s v="ATORVASTATIN CALCIUM"/>
    <n v="1"/>
    <m/>
    <m/>
    <n v="1"/>
    <m/>
    <m/>
    <m/>
    <m/>
    <n v="1"/>
    <m/>
    <m/>
    <m/>
    <m/>
    <n v="1"/>
    <m/>
    <m/>
    <m/>
    <m/>
    <m/>
    <n v="1"/>
    <m/>
    <m/>
    <m/>
    <n v="1"/>
    <m/>
    <m/>
    <m/>
    <m/>
    <m/>
    <m/>
    <n v="1"/>
    <m/>
    <m/>
    <m/>
    <m/>
    <m/>
    <m/>
    <m/>
    <m/>
    <m/>
    <m/>
    <m/>
    <m/>
    <m/>
    <n v="1"/>
    <m/>
    <n v="8"/>
  </r>
  <r>
    <x v="8"/>
    <x v="1"/>
    <n v="4177"/>
    <x v="0"/>
    <x v="0"/>
    <s v="ROSUVASTATIN CALC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8"/>
    <x v="1"/>
    <n v="4177"/>
    <x v="0"/>
    <x v="3"/>
    <s v="RABE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8"/>
    <x v="1"/>
    <n v="4221"/>
    <x v="0"/>
    <x v="0"/>
    <s v="ATOR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8"/>
    <x v="1"/>
    <n v="4330"/>
    <x v="0"/>
    <x v="3"/>
    <s v="ESOMEPRAZOLE MAGNESIUM"/>
    <m/>
    <m/>
    <m/>
    <n v="1"/>
    <m/>
    <m/>
    <m/>
    <m/>
    <m/>
    <n v="1"/>
    <m/>
    <m/>
    <m/>
    <n v="1"/>
    <m/>
    <m/>
    <m/>
    <m/>
    <n v="1"/>
    <m/>
    <m/>
    <m/>
    <m/>
    <n v="2"/>
    <m/>
    <m/>
    <m/>
    <m/>
    <m/>
    <m/>
    <m/>
    <m/>
    <m/>
    <m/>
    <m/>
    <m/>
    <m/>
    <m/>
    <n v="1"/>
    <m/>
    <m/>
    <m/>
    <m/>
    <m/>
    <m/>
    <m/>
    <n v="7"/>
  </r>
  <r>
    <x v="8"/>
    <x v="1"/>
    <n v="4706"/>
    <x v="0"/>
    <x v="0"/>
    <s v="ROSUVASTATIN CALCIUM"/>
    <m/>
    <m/>
    <m/>
    <m/>
    <m/>
    <m/>
    <n v="1"/>
    <m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n v="5"/>
  </r>
  <r>
    <x v="8"/>
    <x v="1"/>
    <n v="5141"/>
    <x v="0"/>
    <x v="3"/>
    <s v="PANTOPRAZOLE SODIUM"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3"/>
  </r>
  <r>
    <x v="8"/>
    <x v="1"/>
    <n v="5581"/>
    <x v="0"/>
    <x v="0"/>
    <s v="ATORVASTATIN CALCIUM"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n v="4"/>
  </r>
  <r>
    <x v="8"/>
    <x v="1"/>
    <n v="558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558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5699"/>
    <x v="0"/>
    <x v="0"/>
    <s v="ATORVASTATIN CALC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3"/>
  </r>
  <r>
    <x v="8"/>
    <x v="1"/>
    <n v="5766"/>
    <x v="0"/>
    <x v="3"/>
    <s v="RABEPRAZOLE SOD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  <m/>
    <m/>
    <m/>
    <m/>
    <m/>
    <m/>
    <m/>
    <m/>
    <n v="5"/>
  </r>
  <r>
    <x v="8"/>
    <x v="1"/>
    <n v="6182"/>
    <x v="0"/>
    <x v="0"/>
    <s v="SIMVASTATIN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n v="3"/>
    <n v="1"/>
    <n v="1"/>
    <n v="1"/>
    <n v="1"/>
    <n v="1"/>
    <n v="1"/>
    <n v="1"/>
    <n v="1"/>
    <n v="1"/>
    <n v="1"/>
    <n v="1"/>
    <m/>
    <m/>
    <m/>
    <n v="1"/>
    <n v="22"/>
  </r>
  <r>
    <x v="8"/>
    <x v="1"/>
    <n v="6474"/>
    <x v="0"/>
    <x v="3"/>
    <s v="PANTOPRAZOLE SODIUM"/>
    <m/>
    <m/>
    <n v="1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4"/>
  </r>
  <r>
    <x v="8"/>
    <x v="1"/>
    <n v="6675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6997"/>
    <x v="0"/>
    <x v="0"/>
    <s v="ATORVASTATIN CALCIUM"/>
    <m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5"/>
  </r>
  <r>
    <x v="8"/>
    <x v="1"/>
    <n v="7109"/>
    <x v="0"/>
    <x v="3"/>
    <s v="RABEPRAZOLE SOD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8"/>
    <x v="1"/>
    <n v="7156"/>
    <x v="0"/>
    <x v="3"/>
    <s v="RABE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7849"/>
    <x v="0"/>
    <x v="3"/>
    <s v="LANSOPRAZOLE"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3"/>
  </r>
  <r>
    <x v="8"/>
    <x v="1"/>
    <n v="7952"/>
    <x v="0"/>
    <x v="3"/>
    <s v="PANTOPRAZOLE SODIUM"/>
    <n v="2"/>
    <m/>
    <m/>
    <m/>
    <m/>
    <m/>
    <m/>
    <m/>
    <m/>
    <n v="1"/>
    <m/>
    <m/>
    <m/>
    <m/>
    <m/>
    <m/>
    <m/>
    <m/>
    <m/>
    <n v="2"/>
    <m/>
    <m/>
    <m/>
    <m/>
    <m/>
    <m/>
    <n v="1"/>
    <m/>
    <m/>
    <m/>
    <m/>
    <n v="1"/>
    <m/>
    <m/>
    <m/>
    <m/>
    <n v="1"/>
    <m/>
    <m/>
    <m/>
    <m/>
    <m/>
    <m/>
    <n v="1"/>
    <m/>
    <m/>
    <n v="9"/>
  </r>
  <r>
    <x v="8"/>
    <x v="1"/>
    <n v="8163"/>
    <x v="0"/>
    <x v="0"/>
    <s v="ROSUVASTATIN CALCIUM"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8"/>
    <x v="1"/>
    <n v="8285"/>
    <x v="0"/>
    <x v="9"/>
    <s v="COLESTIPOL HCL"/>
    <n v="1"/>
    <m/>
    <m/>
    <m/>
    <m/>
    <n v="2"/>
    <m/>
    <m/>
    <n v="1"/>
    <m/>
    <m/>
    <m/>
    <m/>
    <n v="1"/>
    <m/>
    <m/>
    <m/>
    <n v="1"/>
    <m/>
    <m/>
    <m/>
    <m/>
    <n v="1"/>
    <m/>
    <m/>
    <m/>
    <n v="1"/>
    <m/>
    <m/>
    <m/>
    <m/>
    <n v="1"/>
    <m/>
    <m/>
    <m/>
    <m/>
    <n v="1"/>
    <m/>
    <m/>
    <m/>
    <n v="1"/>
    <m/>
    <m/>
    <m/>
    <m/>
    <n v="1"/>
    <n v="12"/>
  </r>
  <r>
    <x v="8"/>
    <x v="1"/>
    <n v="8285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n v="1"/>
    <n v="3"/>
  </r>
  <r>
    <x v="8"/>
    <x v="1"/>
    <n v="8929"/>
    <x v="0"/>
    <x v="3"/>
    <s v="RABEPRAZOLE SODIUM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3"/>
  </r>
  <r>
    <x v="8"/>
    <x v="1"/>
    <n v="8950"/>
    <x v="0"/>
    <x v="2"/>
    <s v="MISOPROSTOL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9419"/>
    <x v="0"/>
    <x v="7"/>
    <s v="PINAVERIUM BROMIDE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3"/>
  </r>
  <r>
    <x v="8"/>
    <x v="1"/>
    <n v="9419"/>
    <x v="0"/>
    <x v="3"/>
    <s v="PANTOPRAZOLE SOD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3"/>
  </r>
  <r>
    <x v="8"/>
    <x v="1"/>
    <n v="9534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</r>
  <r>
    <x v="8"/>
    <x v="1"/>
    <n v="10339"/>
    <x v="0"/>
    <x v="3"/>
    <s v="ESOMEPRAZOLE MAGNESIUM"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n v="4"/>
  </r>
  <r>
    <x v="8"/>
    <x v="1"/>
    <n v="11846"/>
    <x v="0"/>
    <x v="3"/>
    <s v="OMEPRAZOLE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1184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8"/>
    <x v="1"/>
    <n v="13005"/>
    <x v="0"/>
    <x v="9"/>
    <s v="CHOLESTYRAMINE/ASPARTAME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n v="3"/>
  </r>
  <r>
    <x v="8"/>
    <x v="1"/>
    <n v="13005"/>
    <x v="0"/>
    <x v="0"/>
    <s v="ROSUVASTATIN CALCIUM"/>
    <m/>
    <m/>
    <m/>
    <n v="1"/>
    <m/>
    <m/>
    <n v="1"/>
    <m/>
    <m/>
    <m/>
    <m/>
    <n v="1"/>
    <m/>
    <m/>
    <n v="1"/>
    <m/>
    <m/>
    <m/>
    <n v="1"/>
    <m/>
    <m/>
    <m/>
    <m/>
    <n v="1"/>
    <m/>
    <m/>
    <n v="1"/>
    <m/>
    <m/>
    <m/>
    <m/>
    <n v="1"/>
    <n v="1"/>
    <m/>
    <n v="1"/>
    <n v="1"/>
    <m/>
    <m/>
    <n v="3"/>
    <m/>
    <n v="1"/>
    <n v="1"/>
    <n v="1"/>
    <n v="1"/>
    <n v="1"/>
    <n v="1"/>
    <n v="20"/>
  </r>
  <r>
    <x v="8"/>
    <x v="1"/>
    <n v="13587"/>
    <x v="0"/>
    <x v="3"/>
    <s v="RABEPRAZOLE SODIUM"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8"/>
    <x v="1"/>
    <n v="14200"/>
    <x v="0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14205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14512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3"/>
  </r>
  <r>
    <x v="8"/>
    <x v="1"/>
    <n v="14696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8"/>
    <x v="1"/>
    <n v="14969"/>
    <x v="0"/>
    <x v="3"/>
    <s v="ESOMEPRAZOLE MAGNESIUM"/>
    <m/>
    <m/>
    <n v="1"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4"/>
  </r>
  <r>
    <x v="8"/>
    <x v="1"/>
    <n v="15491"/>
    <x v="0"/>
    <x v="3"/>
    <s v="RABEPRAZOLE SODIUM"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8"/>
    <x v="1"/>
    <n v="16926"/>
    <x v="0"/>
    <x v="0"/>
    <s v="ROSUVASTATIN CALCIUM"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</r>
  <r>
    <x v="8"/>
    <x v="1"/>
    <n v="17768"/>
    <x v="0"/>
    <x v="3"/>
    <s v="RABEPRAZOLE SODIUM"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8"/>
    <x v="1"/>
    <n v="18625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8625"/>
    <x v="0"/>
    <x v="3"/>
    <s v="PANTOPRAZOLE SOD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8"/>
    <x v="1"/>
    <n v="19096"/>
    <x v="0"/>
    <x v="0"/>
    <s v="ATORVASTATIN CALCIUM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n v="11"/>
  </r>
  <r>
    <x v="8"/>
    <x v="1"/>
    <n v="19166"/>
    <x v="0"/>
    <x v="3"/>
    <s v="ESOMEPRAZOLE MAGNESIUM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8"/>
    <x v="1"/>
    <n v="20219"/>
    <x v="0"/>
    <x v="0"/>
    <s v="ROSU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8"/>
    <x v="1"/>
    <n v="2078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358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8"/>
    <x v="1"/>
    <n v="21454"/>
    <x v="0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</r>
  <r>
    <x v="8"/>
    <x v="1"/>
    <n v="21631"/>
    <x v="0"/>
    <x v="3"/>
    <s v="RABEPRAZOLE SODIUM"/>
    <m/>
    <m/>
    <n v="2"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5"/>
  </r>
  <r>
    <x v="8"/>
    <x v="1"/>
    <n v="2168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8"/>
    <x v="1"/>
    <n v="21883"/>
    <x v="0"/>
    <x v="3"/>
    <s v="RABEPRAZOLE SODIUM"/>
    <m/>
    <m/>
    <m/>
    <m/>
    <m/>
    <m/>
    <n v="2"/>
    <m/>
    <m/>
    <m/>
    <m/>
    <m/>
    <m/>
    <m/>
    <m/>
    <m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n v="5"/>
  </r>
  <r>
    <x v="8"/>
    <x v="1"/>
    <n v="25350"/>
    <x v="0"/>
    <x v="0"/>
    <s v="ATORVASTATIN CALC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25350"/>
    <x v="0"/>
    <x v="3"/>
    <s v="PANTOPRAZOLE SODIUM"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n v="6"/>
  </r>
  <r>
    <x v="8"/>
    <x v="1"/>
    <n v="26522"/>
    <x v="0"/>
    <x v="3"/>
    <s v="ESOMEPRAZOLE MAGNESIUM"/>
    <m/>
    <n v="1"/>
    <m/>
    <m/>
    <m/>
    <m/>
    <m/>
    <n v="2"/>
    <m/>
    <m/>
    <m/>
    <m/>
    <m/>
    <m/>
    <m/>
    <m/>
    <n v="1"/>
    <m/>
    <m/>
    <m/>
    <m/>
    <m/>
    <m/>
    <m/>
    <n v="1"/>
    <m/>
    <m/>
    <m/>
    <m/>
    <m/>
    <m/>
    <m/>
    <m/>
    <m/>
    <n v="1"/>
    <m/>
    <m/>
    <m/>
    <m/>
    <m/>
    <m/>
    <m/>
    <n v="1"/>
    <m/>
    <m/>
    <m/>
    <n v="7"/>
  </r>
  <r>
    <x v="8"/>
    <x v="1"/>
    <n v="28093"/>
    <x v="0"/>
    <x v="1"/>
    <s v="RANITIDINE HCL"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8"/>
    <x v="1"/>
    <n v="28093"/>
    <x v="0"/>
    <x v="0"/>
    <s v="ATORVASTATIN CALCIUM"/>
    <m/>
    <m/>
    <n v="2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1"/>
    <m/>
    <m/>
    <m/>
    <m/>
    <m/>
    <m/>
    <m/>
    <m/>
    <m/>
    <m/>
    <m/>
    <n v="6"/>
  </r>
  <r>
    <x v="8"/>
    <x v="1"/>
    <n v="30721"/>
    <x v="0"/>
    <x v="1"/>
    <s v="RANITIDINE HCL"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n v="4"/>
  </r>
  <r>
    <x v="8"/>
    <x v="1"/>
    <n v="30721"/>
    <x v="0"/>
    <x v="3"/>
    <s v="ESOMEPRAZOLE MAGNESIUM"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4"/>
  </r>
  <r>
    <x v="8"/>
    <x v="1"/>
    <n v="30983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n v="3"/>
  </r>
  <r>
    <x v="8"/>
    <x v="1"/>
    <n v="31373"/>
    <x v="0"/>
    <x v="3"/>
    <s v="ESOMEPRAZOLE MAGNES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8"/>
    <x v="1"/>
    <n v="31758"/>
    <x v="0"/>
    <x v="3"/>
    <s v="RABEPRAZOLE SODIUM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3"/>
  </r>
  <r>
    <x v="8"/>
    <x v="1"/>
    <n v="32149"/>
    <x v="0"/>
    <x v="3"/>
    <s v="PANTOPRAZOLE MAGNES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32747"/>
    <x v="0"/>
    <x v="6"/>
    <s v="EZETIMIBE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n v="41"/>
  </r>
  <r>
    <x v="8"/>
    <x v="1"/>
    <n v="32747"/>
    <x v="0"/>
    <x v="3"/>
    <s v="RABEPRAZOLE SODIUM"/>
    <m/>
    <m/>
    <m/>
    <n v="1"/>
    <m/>
    <m/>
    <m/>
    <n v="1"/>
    <m/>
    <m/>
    <m/>
    <m/>
    <n v="1"/>
    <m/>
    <m/>
    <m/>
    <n v="1"/>
    <m/>
    <m/>
    <m/>
    <n v="1"/>
    <m/>
    <m/>
    <n v="1"/>
    <n v="1"/>
    <m/>
    <m/>
    <m/>
    <n v="1"/>
    <m/>
    <m/>
    <m/>
    <m/>
    <n v="1"/>
    <m/>
    <m/>
    <m/>
    <n v="1"/>
    <m/>
    <m/>
    <m/>
    <m/>
    <m/>
    <m/>
    <m/>
    <m/>
    <n v="10"/>
  </r>
  <r>
    <x v="8"/>
    <x v="1"/>
    <n v="33634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8"/>
    <x v="1"/>
    <n v="33634"/>
    <x v="0"/>
    <x v="0"/>
    <s v="SIMVASTATIN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n v="3"/>
  </r>
  <r>
    <x v="8"/>
    <x v="1"/>
    <n v="45"/>
    <x v="1"/>
    <x v="0"/>
    <s v="FLUVASTATIN SODIUM"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3"/>
  </r>
  <r>
    <x v="8"/>
    <x v="1"/>
    <n v="45"/>
    <x v="1"/>
    <x v="6"/>
    <s v="EZETIMIBE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8"/>
    <x v="1"/>
    <n v="4079"/>
    <x v="1"/>
    <x v="0"/>
    <s v="ATORVASTATIN CALCIUM"/>
    <m/>
    <m/>
    <m/>
    <m/>
    <m/>
    <m/>
    <n v="1"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5"/>
  </r>
  <r>
    <x v="8"/>
    <x v="1"/>
    <n v="5767"/>
    <x v="1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n v="1"/>
    <m/>
    <m/>
    <m/>
    <m/>
    <n v="4"/>
  </r>
  <r>
    <x v="8"/>
    <x v="1"/>
    <n v="5805"/>
    <x v="1"/>
    <x v="8"/>
    <s v="FENOFIBRATE, NANOCRYSTALLIZED"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n v="4"/>
  </r>
  <r>
    <x v="8"/>
    <x v="1"/>
    <n v="5805"/>
    <x v="1"/>
    <x v="6"/>
    <s v="EZETIMIBE"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n v="5"/>
  </r>
  <r>
    <x v="8"/>
    <x v="1"/>
    <n v="6190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8"/>
    <x v="1"/>
    <n v="7498"/>
    <x v="1"/>
    <x v="0"/>
    <s v="ROSUVASTATIN CALCIUM"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8"/>
    <x v="1"/>
    <n v="7932"/>
    <x v="1"/>
    <x v="0"/>
    <s v="ATORVASTATIN CALCIUM"/>
    <m/>
    <m/>
    <n v="1"/>
    <m/>
    <m/>
    <m/>
    <n v="1"/>
    <m/>
    <m/>
    <m/>
    <m/>
    <m/>
    <m/>
    <n v="1"/>
    <m/>
    <m/>
    <n v="1"/>
    <m/>
    <n v="1"/>
    <m/>
    <n v="1"/>
    <m/>
    <m/>
    <m/>
    <n v="1"/>
    <m/>
    <m/>
    <m/>
    <n v="1"/>
    <m/>
    <m/>
    <m/>
    <n v="1"/>
    <m/>
    <m/>
    <m/>
    <n v="1"/>
    <m/>
    <m/>
    <m/>
    <m/>
    <n v="1"/>
    <m/>
    <m/>
    <n v="1"/>
    <m/>
    <n v="12"/>
  </r>
  <r>
    <x v="8"/>
    <x v="1"/>
    <n v="8164"/>
    <x v="1"/>
    <x v="0"/>
    <s v="ROSUVASTATIN CALCIUM"/>
    <m/>
    <m/>
    <n v="2"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8"/>
    <x v="1"/>
    <n v="13110"/>
    <x v="1"/>
    <x v="0"/>
    <s v="ROSUVASTATIN CALCIUM"/>
    <m/>
    <m/>
    <m/>
    <n v="2"/>
    <n v="3"/>
    <m/>
    <m/>
    <n v="2"/>
    <m/>
    <m/>
    <n v="2"/>
    <m/>
    <m/>
    <n v="2"/>
    <m/>
    <m/>
    <m/>
    <n v="2"/>
    <m/>
    <m/>
    <m/>
    <n v="2"/>
    <m/>
    <m/>
    <n v="2"/>
    <m/>
    <n v="2"/>
    <m/>
    <m/>
    <m/>
    <m/>
    <n v="2"/>
    <m/>
    <m/>
    <n v="2"/>
    <m/>
    <m/>
    <n v="2"/>
    <m/>
    <n v="2"/>
    <m/>
    <n v="2"/>
    <m/>
    <n v="2"/>
    <n v="2"/>
    <m/>
    <n v="33"/>
  </r>
  <r>
    <x v="8"/>
    <x v="1"/>
    <n v="18763"/>
    <x v="1"/>
    <x v="3"/>
    <s v="ESOMEPRAZOLE MAGNESIUM"/>
    <m/>
    <n v="1"/>
    <m/>
    <m/>
    <m/>
    <m/>
    <n v="1"/>
    <m/>
    <m/>
    <m/>
    <n v="1"/>
    <m/>
    <m/>
    <m/>
    <m/>
    <n v="1"/>
    <m/>
    <m/>
    <m/>
    <m/>
    <n v="1"/>
    <m/>
    <m/>
    <m/>
    <m/>
    <n v="1"/>
    <m/>
    <m/>
    <m/>
    <n v="1"/>
    <m/>
    <m/>
    <m/>
    <m/>
    <n v="1"/>
    <m/>
    <m/>
    <n v="1"/>
    <m/>
    <m/>
    <m/>
    <m/>
    <m/>
    <n v="1"/>
    <m/>
    <m/>
    <n v="10"/>
  </r>
  <r>
    <x v="8"/>
    <x v="1"/>
    <n v="19067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8"/>
    <x v="1"/>
    <n v="21236"/>
    <x v="1"/>
    <x v="0"/>
    <s v="ROSUVASTATIN CALC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8"/>
    <x v="1"/>
    <n v="26445"/>
    <x v="1"/>
    <x v="3"/>
    <s v="ESOMEPRAZOLE MAGNESIUM"/>
    <m/>
    <n v="1"/>
    <m/>
    <m/>
    <m/>
    <m/>
    <n v="1"/>
    <m/>
    <m/>
    <m/>
    <m/>
    <m/>
    <m/>
    <m/>
    <m/>
    <n v="2"/>
    <m/>
    <m/>
    <m/>
    <n v="1"/>
    <m/>
    <m/>
    <m/>
    <m/>
    <m/>
    <m/>
    <n v="2"/>
    <m/>
    <m/>
    <m/>
    <m/>
    <m/>
    <m/>
    <m/>
    <n v="1"/>
    <m/>
    <m/>
    <m/>
    <m/>
    <m/>
    <m/>
    <n v="2"/>
    <m/>
    <n v="2"/>
    <m/>
    <m/>
    <n v="12"/>
  </r>
  <r>
    <x v="8"/>
    <x v="1"/>
    <n v="26688"/>
    <x v="1"/>
    <x v="3"/>
    <s v="ESOMEPRAZOLE MAGNESIUM"/>
    <m/>
    <m/>
    <m/>
    <n v="1"/>
    <m/>
    <m/>
    <m/>
    <n v="1"/>
    <m/>
    <m/>
    <m/>
    <m/>
    <m/>
    <m/>
    <m/>
    <m/>
    <m/>
    <m/>
    <n v="1"/>
    <m/>
    <m/>
    <m/>
    <n v="1"/>
    <m/>
    <m/>
    <m/>
    <m/>
    <m/>
    <m/>
    <m/>
    <m/>
    <m/>
    <m/>
    <m/>
    <n v="1"/>
    <m/>
    <m/>
    <m/>
    <m/>
    <m/>
    <m/>
    <m/>
    <m/>
    <m/>
    <m/>
    <m/>
    <n v="5"/>
  </r>
  <r>
    <x v="8"/>
    <x v="1"/>
    <n v="1317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8"/>
    <x v="1"/>
    <n v="1448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8"/>
    <x v="1"/>
    <n v="1009"/>
    <x v="0"/>
    <x v="1"/>
    <s v="RANITIDINE HCL"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n v="1"/>
    <m/>
    <m/>
    <m/>
    <m/>
    <m/>
    <m/>
    <m/>
    <m/>
    <n v="3"/>
  </r>
  <r>
    <x v="8"/>
    <x v="1"/>
    <n v="2115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15"/>
    <x v="0"/>
    <x v="3"/>
    <s v="OMEPRAZOLE"/>
    <n v="1"/>
    <n v="1"/>
    <n v="1"/>
    <n v="1"/>
    <n v="1"/>
    <n v="1"/>
    <n v="1"/>
    <n v="1"/>
    <n v="1"/>
    <m/>
    <n v="2"/>
    <m/>
    <m/>
    <m/>
    <n v="1"/>
    <m/>
    <n v="1"/>
    <n v="1"/>
    <n v="1"/>
    <n v="1"/>
    <n v="1"/>
    <n v="1"/>
    <n v="1"/>
    <n v="1"/>
    <n v="1"/>
    <n v="1"/>
    <n v="2"/>
    <n v="1"/>
    <m/>
    <m/>
    <n v="1"/>
    <n v="1"/>
    <n v="1"/>
    <n v="1"/>
    <n v="1"/>
    <n v="1"/>
    <m/>
    <m/>
    <m/>
    <m/>
    <m/>
    <m/>
    <m/>
    <m/>
    <m/>
    <m/>
    <n v="31"/>
  </r>
  <r>
    <x v="8"/>
    <x v="1"/>
    <n v="2115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58"/>
    <x v="0"/>
    <x v="1"/>
    <s v="RANITIDINE HCL"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8"/>
    <x v="1"/>
    <n v="2158"/>
    <x v="0"/>
    <x v="3"/>
    <s v="RABEPRAZOLE SODIUM"/>
    <n v="2"/>
    <m/>
    <m/>
    <m/>
    <n v="1"/>
    <m/>
    <m/>
    <m/>
    <m/>
    <m/>
    <m/>
    <m/>
    <m/>
    <m/>
    <n v="1"/>
    <m/>
    <m/>
    <n v="1"/>
    <m/>
    <m/>
    <m/>
    <m/>
    <m/>
    <m/>
    <n v="2"/>
    <m/>
    <m/>
    <m/>
    <m/>
    <m/>
    <m/>
    <n v="2"/>
    <m/>
    <n v="1"/>
    <m/>
    <m/>
    <m/>
    <n v="1"/>
    <m/>
    <m/>
    <m/>
    <n v="1"/>
    <m/>
    <m/>
    <m/>
    <m/>
    <n v="12"/>
  </r>
  <r>
    <x v="8"/>
    <x v="1"/>
    <n v="378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4576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n v="3"/>
  </r>
  <r>
    <x v="8"/>
    <x v="1"/>
    <n v="5935"/>
    <x v="0"/>
    <x v="3"/>
    <s v="RABEPRAZOLE SOD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n v="3"/>
  </r>
  <r>
    <x v="8"/>
    <x v="1"/>
    <n v="770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014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1082"/>
    <x v="0"/>
    <x v="3"/>
    <s v="ESOMEPRAZOLE MAGNESIUM"/>
    <m/>
    <m/>
    <m/>
    <m/>
    <n v="1"/>
    <m/>
    <m/>
    <m/>
    <m/>
    <n v="1"/>
    <m/>
    <m/>
    <m/>
    <m/>
    <m/>
    <m/>
    <n v="1"/>
    <m/>
    <m/>
    <m/>
    <n v="1"/>
    <m/>
    <m/>
    <m/>
    <n v="3"/>
    <m/>
    <m/>
    <m/>
    <m/>
    <m/>
    <m/>
    <n v="1"/>
    <m/>
    <m/>
    <m/>
    <m/>
    <m/>
    <m/>
    <n v="1"/>
    <m/>
    <m/>
    <m/>
    <n v="1"/>
    <m/>
    <m/>
    <m/>
    <n v="10"/>
  </r>
  <r>
    <x v="8"/>
    <x v="1"/>
    <n v="11494"/>
    <x v="0"/>
    <x v="3"/>
    <s v="ESOMEPRAZOLE MAGNESIUM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n v="1"/>
    <m/>
    <n v="4"/>
  </r>
  <r>
    <x v="8"/>
    <x v="1"/>
    <n v="11624"/>
    <x v="0"/>
    <x v="3"/>
    <s v="RABEPRAZOLE SODIUM"/>
    <m/>
    <m/>
    <m/>
    <n v="1"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8"/>
    <x v="1"/>
    <n v="13005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3005"/>
    <x v="0"/>
    <x v="3"/>
    <s v="OMEPRAZOLE"/>
    <m/>
    <m/>
    <m/>
    <n v="1"/>
    <m/>
    <m/>
    <n v="1"/>
    <m/>
    <m/>
    <m/>
    <m/>
    <n v="1"/>
    <m/>
    <m/>
    <n v="1"/>
    <m/>
    <m/>
    <m/>
    <n v="1"/>
    <m/>
    <m/>
    <m/>
    <m/>
    <n v="1"/>
    <m/>
    <m/>
    <n v="1"/>
    <m/>
    <m/>
    <m/>
    <m/>
    <n v="1"/>
    <n v="1"/>
    <m/>
    <n v="1"/>
    <n v="1"/>
    <m/>
    <m/>
    <n v="3"/>
    <m/>
    <n v="1"/>
    <n v="1"/>
    <n v="1"/>
    <n v="1"/>
    <n v="1"/>
    <n v="1"/>
    <n v="20"/>
  </r>
  <r>
    <x v="8"/>
    <x v="1"/>
    <n v="1338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n v="2"/>
  </r>
  <r>
    <x v="8"/>
    <x v="1"/>
    <n v="18546"/>
    <x v="0"/>
    <x v="3"/>
    <s v="OMEPRAZOLE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8"/>
    <x v="1"/>
    <n v="20428"/>
    <x v="0"/>
    <x v="3"/>
    <s v="ESOMEPRAZOLE MAGNESIUM"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8"/>
    <x v="1"/>
    <n v="22446"/>
    <x v="0"/>
    <x v="1"/>
    <s v="RANITIDINE HCL"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m/>
    <m/>
    <m/>
    <m/>
    <m/>
    <m/>
    <m/>
    <m/>
    <m/>
    <m/>
    <m/>
    <n v="1"/>
    <m/>
    <m/>
    <m/>
    <m/>
    <m/>
    <n v="4"/>
  </r>
  <r>
    <x v="8"/>
    <x v="1"/>
    <n v="2336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1749"/>
    <x v="0"/>
    <x v="3"/>
    <s v="OMEPRAZOLE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n v="3"/>
  </r>
  <r>
    <x v="8"/>
    <x v="1"/>
    <n v="45"/>
    <x v="1"/>
    <x v="3"/>
    <s v="ESOMEPRAZOLE MAGNES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n v="3"/>
  </r>
  <r>
    <x v="8"/>
    <x v="1"/>
    <n v="1646"/>
    <x v="1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3"/>
  </r>
  <r>
    <x v="8"/>
    <x v="1"/>
    <n v="18798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n v="4"/>
  </r>
  <r>
    <x v="8"/>
    <x v="1"/>
    <n v="246"/>
    <x v="0"/>
    <x v="3"/>
    <s v="OMEPRAZOLE"/>
    <m/>
    <m/>
    <n v="1"/>
    <m/>
    <m/>
    <m/>
    <n v="1"/>
    <m/>
    <n v="1"/>
    <m/>
    <m/>
    <m/>
    <m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1"/>
  </r>
  <r>
    <x v="8"/>
    <x v="1"/>
    <n v="264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8"/>
    <x v="1"/>
    <n v="953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2740"/>
    <x v="0"/>
    <x v="3"/>
    <s v="PANTOPRAZOLE SODIUM"/>
    <n v="1"/>
    <n v="1"/>
    <m/>
    <m/>
    <n v="1"/>
    <m/>
    <m/>
    <m/>
    <n v="1"/>
    <m/>
    <m/>
    <m/>
    <n v="1"/>
    <m/>
    <m/>
    <m/>
    <n v="1"/>
    <m/>
    <m/>
    <m/>
    <n v="1"/>
    <m/>
    <m/>
    <m/>
    <m/>
    <n v="2"/>
    <m/>
    <m/>
    <n v="1"/>
    <m/>
    <m/>
    <m/>
    <n v="1"/>
    <m/>
    <m/>
    <m/>
    <n v="1"/>
    <m/>
    <m/>
    <m/>
    <m/>
    <n v="1"/>
    <m/>
    <m/>
    <n v="1"/>
    <m/>
    <n v="14"/>
  </r>
  <r>
    <x v="8"/>
    <x v="1"/>
    <n v="19638"/>
    <x v="0"/>
    <x v="3"/>
    <s v="OMEPRAZOLE"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8"/>
    <x v="1"/>
    <n v="13110"/>
    <x v="1"/>
    <x v="3"/>
    <s v="RABEPRAZOLE SODIUM"/>
    <m/>
    <m/>
    <m/>
    <n v="1"/>
    <n v="1"/>
    <m/>
    <m/>
    <n v="1"/>
    <m/>
    <m/>
    <n v="1"/>
    <m/>
    <m/>
    <n v="1"/>
    <m/>
    <m/>
    <m/>
    <n v="1"/>
    <m/>
    <m/>
    <m/>
    <n v="1"/>
    <m/>
    <m/>
    <n v="1"/>
    <m/>
    <n v="1"/>
    <m/>
    <m/>
    <m/>
    <m/>
    <n v="1"/>
    <m/>
    <m/>
    <n v="1"/>
    <m/>
    <m/>
    <n v="1"/>
    <m/>
    <n v="1"/>
    <m/>
    <n v="1"/>
    <m/>
    <n v="1"/>
    <n v="2"/>
    <m/>
    <n v="17"/>
  </r>
  <r>
    <x v="8"/>
    <x v="1"/>
    <n v="4992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8"/>
    <x v="1"/>
    <n v="6997"/>
    <x v="0"/>
    <x v="3"/>
    <s v="PANTOPRAZOLE SODIUM"/>
    <m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5"/>
  </r>
  <r>
    <x v="8"/>
    <x v="1"/>
    <n v="8163"/>
    <x v="0"/>
    <x v="3"/>
    <s v="RABEPRAZOLE SODIUM"/>
    <m/>
    <m/>
    <m/>
    <m/>
    <m/>
    <m/>
    <m/>
    <m/>
    <m/>
    <m/>
    <m/>
    <m/>
    <m/>
    <m/>
    <n v="1"/>
    <m/>
    <m/>
    <m/>
    <m/>
    <m/>
    <m/>
    <n v="2"/>
    <m/>
    <m/>
    <m/>
    <n v="2"/>
    <m/>
    <m/>
    <m/>
    <n v="1"/>
    <m/>
    <m/>
    <m/>
    <m/>
    <n v="2"/>
    <m/>
    <m/>
    <n v="1"/>
    <m/>
    <m/>
    <m/>
    <m/>
    <m/>
    <n v="1"/>
    <m/>
    <m/>
    <n v="10"/>
  </r>
  <r>
    <x v="8"/>
    <x v="1"/>
    <n v="19096"/>
    <x v="0"/>
    <x v="3"/>
    <s v="RABEPRAZOLE SODIUM"/>
    <m/>
    <m/>
    <m/>
    <n v="1"/>
    <m/>
    <m/>
    <m/>
    <n v="1"/>
    <m/>
    <m/>
    <m/>
    <n v="1"/>
    <m/>
    <m/>
    <m/>
    <n v="1"/>
    <m/>
    <m/>
    <m/>
    <n v="1"/>
    <m/>
    <m/>
    <m/>
    <n v="1"/>
    <n v="1"/>
    <m/>
    <m/>
    <n v="1"/>
    <m/>
    <m/>
    <m/>
    <n v="1"/>
    <m/>
    <m/>
    <m/>
    <n v="1"/>
    <m/>
    <m/>
    <m/>
    <n v="1"/>
    <m/>
    <m/>
    <m/>
    <n v="1"/>
    <m/>
    <m/>
    <n v="12"/>
  </r>
  <r>
    <x v="8"/>
    <x v="1"/>
    <n v="6190"/>
    <x v="1"/>
    <x v="3"/>
    <s v="ESOMEPRAZOLE MAGNES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8"/>
    <x v="1"/>
    <n v="749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755"/>
    <x v="0"/>
    <x v="0"/>
    <s v="FLUVASTATIN SODIUM"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8"/>
    <x v="1"/>
    <n v="855"/>
    <x v="0"/>
    <x v="0"/>
    <s v="ROSUVASTATIN CALCIUM"/>
    <n v="1"/>
    <m/>
    <m/>
    <m/>
    <m/>
    <n v="1"/>
    <m/>
    <m/>
    <m/>
    <m/>
    <m/>
    <m/>
    <m/>
    <m/>
    <m/>
    <m/>
    <m/>
    <m/>
    <n v="1"/>
    <m/>
    <m/>
    <m/>
    <n v="1"/>
    <m/>
    <m/>
    <m/>
    <n v="1"/>
    <m/>
    <m/>
    <m/>
    <m/>
    <m/>
    <m/>
    <n v="1"/>
    <m/>
    <m/>
    <m/>
    <n v="1"/>
    <m/>
    <m/>
    <m/>
    <n v="1"/>
    <m/>
    <m/>
    <m/>
    <n v="1"/>
    <n v="9"/>
  </r>
  <r>
    <x v="8"/>
    <x v="1"/>
    <n v="1478"/>
    <x v="0"/>
    <x v="0"/>
    <s v="ROSUVASTATIN CALC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8"/>
    <x v="1"/>
    <n v="3960"/>
    <x v="0"/>
    <x v="0"/>
    <s v="ROSUVASTATIN CALCIUM"/>
    <m/>
    <m/>
    <m/>
    <m/>
    <n v="1"/>
    <n v="1"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n v="4"/>
  </r>
  <r>
    <x v="8"/>
    <x v="1"/>
    <n v="5926"/>
    <x v="0"/>
    <x v="0"/>
    <s v="ROSU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3"/>
  </r>
  <r>
    <x v="8"/>
    <x v="1"/>
    <n v="8165"/>
    <x v="0"/>
    <x v="0"/>
    <s v="ROSUVASTATIN CALCIUM"/>
    <m/>
    <m/>
    <n v="1"/>
    <m/>
    <m/>
    <m/>
    <n v="1"/>
    <n v="1"/>
    <m/>
    <n v="1"/>
    <m/>
    <m/>
    <m/>
    <m/>
    <m/>
    <n v="2"/>
    <m/>
    <m/>
    <m/>
    <n v="1"/>
    <m/>
    <m/>
    <m/>
    <n v="1"/>
    <m/>
    <m/>
    <m/>
    <n v="1"/>
    <m/>
    <m/>
    <m/>
    <m/>
    <n v="1"/>
    <m/>
    <m/>
    <n v="1"/>
    <m/>
    <m/>
    <m/>
    <n v="1"/>
    <m/>
    <m/>
    <n v="1"/>
    <m/>
    <m/>
    <n v="1"/>
    <n v="14"/>
  </r>
  <r>
    <x v="8"/>
    <x v="1"/>
    <n v="8286"/>
    <x v="0"/>
    <x v="0"/>
    <s v="ATORVASTATIN CALCIUM"/>
    <m/>
    <m/>
    <m/>
    <m/>
    <m/>
    <m/>
    <m/>
    <n v="1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4"/>
  </r>
  <r>
    <x v="8"/>
    <x v="1"/>
    <n v="11087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8"/>
    <x v="1"/>
    <n v="11635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n v="2"/>
  </r>
  <r>
    <x v="8"/>
    <x v="1"/>
    <n v="13697"/>
    <x v="0"/>
    <x v="0"/>
    <s v="ROSUVASTATIN CALC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8"/>
    <x v="1"/>
    <n v="16925"/>
    <x v="0"/>
    <x v="0"/>
    <s v="ATORVASTATIN CALCIUM"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n v="4"/>
  </r>
  <r>
    <x v="8"/>
    <x v="1"/>
    <n v="22625"/>
    <x v="0"/>
    <x v="0"/>
    <s v="ROSUVASTATIN CALCIUM"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1"/>
    <m/>
    <m/>
    <m/>
    <m/>
    <n v="1"/>
    <m/>
    <m/>
    <m/>
    <n v="5"/>
  </r>
  <r>
    <x v="8"/>
    <x v="1"/>
    <n v="25168"/>
    <x v="0"/>
    <x v="0"/>
    <s v="ROSUVASTATIN CALCIUM"/>
    <m/>
    <m/>
    <m/>
    <m/>
    <n v="1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4"/>
  </r>
  <r>
    <x v="8"/>
    <x v="1"/>
    <n v="30113"/>
    <x v="0"/>
    <x v="0"/>
    <s v="PRAVASTATIN SOD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8"/>
    <x v="1"/>
    <n v="984"/>
    <x v="1"/>
    <x v="0"/>
    <s v="ROSUVASTATIN CALC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6832"/>
    <x v="1"/>
    <x v="0"/>
    <s v="ROSUVASTATIN CALCIUM"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n v="5"/>
  </r>
  <r>
    <x v="8"/>
    <x v="1"/>
    <n v="11495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8"/>
    <x v="1"/>
    <n v="12593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8"/>
    <x v="1"/>
    <n v="22087"/>
    <x v="1"/>
    <x v="0"/>
    <s v="ROSUVASTATIN CALCIUM"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4"/>
  </r>
  <r>
    <x v="8"/>
    <x v="1"/>
    <n v="1261"/>
    <x v="0"/>
    <x v="8"/>
    <s v="GEMFIBROZIL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8"/>
    <x v="1"/>
    <n v="1261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</r>
  <r>
    <x v="8"/>
    <x v="1"/>
    <n v="4248"/>
    <x v="0"/>
    <x v="8"/>
    <s v="FENOFIBRATE, NANOCRYSTALLIZED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8"/>
    <x v="1"/>
    <n v="4248"/>
    <x v="0"/>
    <x v="0"/>
    <s v="ROSUVASTATIN CALCIUM"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4"/>
  </r>
  <r>
    <x v="8"/>
    <x v="1"/>
    <n v="4248"/>
    <x v="0"/>
    <x v="6"/>
    <s v="EZETIMIBE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8"/>
    <x v="1"/>
    <n v="4867"/>
    <x v="0"/>
    <x v="0"/>
    <s v="ROSUVASTATIN CALC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m/>
    <n v="2"/>
    <n v="1"/>
    <n v="1"/>
    <n v="1"/>
    <n v="1"/>
    <n v="1"/>
    <n v="1"/>
    <n v="47"/>
  </r>
  <r>
    <x v="8"/>
    <x v="1"/>
    <n v="5141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n v="2"/>
  </r>
  <r>
    <x v="8"/>
    <x v="1"/>
    <n v="5935"/>
    <x v="0"/>
    <x v="8"/>
    <s v="FENOFIBRATE, MICRONIZED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n v="3"/>
  </r>
  <r>
    <x v="8"/>
    <x v="1"/>
    <n v="7952"/>
    <x v="0"/>
    <x v="0"/>
    <s v="ROSUVASTATIN CALCIUM"/>
    <n v="1"/>
    <m/>
    <m/>
    <m/>
    <m/>
    <m/>
    <m/>
    <n v="1"/>
    <m/>
    <m/>
    <m/>
    <m/>
    <n v="1"/>
    <m/>
    <m/>
    <m/>
    <m/>
    <m/>
    <n v="1"/>
    <m/>
    <m/>
    <m/>
    <m/>
    <m/>
    <m/>
    <m/>
    <n v="1"/>
    <m/>
    <m/>
    <m/>
    <m/>
    <n v="1"/>
    <m/>
    <m/>
    <m/>
    <m/>
    <n v="1"/>
    <m/>
    <m/>
    <m/>
    <m/>
    <m/>
    <m/>
    <n v="1"/>
    <m/>
    <m/>
    <n v="8"/>
  </r>
  <r>
    <x v="8"/>
    <x v="1"/>
    <n v="8648"/>
    <x v="0"/>
    <x v="0"/>
    <s v="ROSUVASTATIN CALCIUM"/>
    <m/>
    <m/>
    <m/>
    <m/>
    <m/>
    <m/>
    <m/>
    <m/>
    <m/>
    <m/>
    <m/>
    <m/>
    <m/>
    <m/>
    <m/>
    <m/>
    <m/>
    <m/>
    <m/>
    <m/>
    <n v="2"/>
    <m/>
    <m/>
    <m/>
    <m/>
    <m/>
    <n v="1"/>
    <m/>
    <m/>
    <m/>
    <m/>
    <m/>
    <m/>
    <m/>
    <m/>
    <m/>
    <m/>
    <m/>
    <m/>
    <m/>
    <m/>
    <m/>
    <m/>
    <m/>
    <m/>
    <m/>
    <n v="3"/>
  </r>
  <r>
    <x v="8"/>
    <x v="1"/>
    <n v="8930"/>
    <x v="0"/>
    <x v="0"/>
    <s v="ATORVASTATIN CALCIUM"/>
    <m/>
    <m/>
    <m/>
    <m/>
    <m/>
    <m/>
    <m/>
    <m/>
    <m/>
    <m/>
    <m/>
    <m/>
    <m/>
    <m/>
    <n v="1"/>
    <m/>
    <n v="1"/>
    <m/>
    <m/>
    <m/>
    <n v="1"/>
    <m/>
    <m/>
    <m/>
    <n v="1"/>
    <m/>
    <m/>
    <m/>
    <m/>
    <m/>
    <m/>
    <m/>
    <m/>
    <m/>
    <m/>
    <m/>
    <n v="1"/>
    <m/>
    <m/>
    <m/>
    <m/>
    <m/>
    <m/>
    <m/>
    <m/>
    <m/>
    <n v="5"/>
  </r>
  <r>
    <x v="8"/>
    <x v="1"/>
    <n v="9062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n v="4"/>
  </r>
  <r>
    <x v="8"/>
    <x v="1"/>
    <n v="9492"/>
    <x v="0"/>
    <x v="0"/>
    <s v="ROSUVASTATIN CALCIUM"/>
    <m/>
    <m/>
    <m/>
    <m/>
    <m/>
    <m/>
    <m/>
    <m/>
    <n v="2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2"/>
    <m/>
    <m/>
    <n v="6"/>
  </r>
  <r>
    <x v="8"/>
    <x v="1"/>
    <n v="9891"/>
    <x v="0"/>
    <x v="0"/>
    <s v="ROSUVASTATIN CALC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8"/>
    <x v="1"/>
    <n v="10392"/>
    <x v="0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n v="1"/>
    <m/>
    <n v="4"/>
  </r>
  <r>
    <x v="8"/>
    <x v="1"/>
    <n v="11624"/>
    <x v="0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n v="3"/>
  </r>
  <r>
    <x v="8"/>
    <x v="1"/>
    <n v="13587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n v="1"/>
    <m/>
    <m/>
    <m/>
    <m/>
    <m/>
    <m/>
    <m/>
    <m/>
    <m/>
    <m/>
    <n v="3"/>
  </r>
  <r>
    <x v="8"/>
    <x v="1"/>
    <n v="14205"/>
    <x v="0"/>
    <x v="0"/>
    <s v="FLUVASTATIN SODIUM"/>
    <m/>
    <n v="1"/>
    <m/>
    <m/>
    <m/>
    <m/>
    <m/>
    <m/>
    <m/>
    <m/>
    <m/>
    <n v="1"/>
    <m/>
    <m/>
    <m/>
    <m/>
    <m/>
    <m/>
    <n v="1"/>
    <m/>
    <m/>
    <m/>
    <m/>
    <m/>
    <m/>
    <m/>
    <n v="2"/>
    <m/>
    <m/>
    <m/>
    <m/>
    <m/>
    <m/>
    <m/>
    <m/>
    <m/>
    <m/>
    <m/>
    <m/>
    <n v="1"/>
    <m/>
    <m/>
    <m/>
    <m/>
    <m/>
    <m/>
    <n v="6"/>
  </r>
  <r>
    <x v="8"/>
    <x v="1"/>
    <n v="14356"/>
    <x v="0"/>
    <x v="0"/>
    <s v="ROSUVASTATIN CALCIUM"/>
    <m/>
    <m/>
    <m/>
    <m/>
    <m/>
    <m/>
    <m/>
    <n v="1"/>
    <m/>
    <m/>
    <n v="1"/>
    <n v="1"/>
    <m/>
    <m/>
    <m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n v="7"/>
  </r>
  <r>
    <x v="8"/>
    <x v="1"/>
    <n v="14448"/>
    <x v="0"/>
    <x v="6"/>
    <s v="EZETIMIBE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3"/>
  </r>
  <r>
    <x v="8"/>
    <x v="1"/>
    <n v="19728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3"/>
  </r>
  <r>
    <x v="8"/>
    <x v="1"/>
    <n v="20502"/>
    <x v="0"/>
    <x v="0"/>
    <s v="ROSU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30582"/>
    <x v="0"/>
    <x v="8"/>
    <s v="FENOFIBRATE, MICRONIZED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30582"/>
    <x v="0"/>
    <x v="8"/>
    <s v="GEMFIBROZIL"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n v="2"/>
    <m/>
    <m/>
    <m/>
    <m/>
    <m/>
    <m/>
    <m/>
    <n v="2"/>
    <m/>
    <m/>
    <m/>
    <m/>
    <m/>
    <n v="6"/>
  </r>
  <r>
    <x v="8"/>
    <x v="1"/>
    <n v="30582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1201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646"/>
    <x v="1"/>
    <x v="0"/>
    <s v="ATORVASTATIN CALC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3"/>
  </r>
  <r>
    <x v="8"/>
    <x v="1"/>
    <n v="2157"/>
    <x v="1"/>
    <x v="0"/>
    <s v="ATORVASTATIN CALCIUM"/>
    <m/>
    <m/>
    <m/>
    <m/>
    <m/>
    <m/>
    <m/>
    <n v="1"/>
    <m/>
    <m/>
    <m/>
    <m/>
    <m/>
    <m/>
    <m/>
    <n v="1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4"/>
  </r>
  <r>
    <x v="8"/>
    <x v="1"/>
    <n v="6746"/>
    <x v="1"/>
    <x v="0"/>
    <s v="ROSUVASTATIN CALCIUM"/>
    <m/>
    <m/>
    <m/>
    <m/>
    <m/>
    <m/>
    <m/>
    <m/>
    <n v="1"/>
    <m/>
    <m/>
    <m/>
    <m/>
    <m/>
    <m/>
    <m/>
    <m/>
    <m/>
    <m/>
    <m/>
    <m/>
    <n v="1"/>
    <m/>
    <m/>
    <m/>
    <n v="1"/>
    <m/>
    <m/>
    <m/>
    <m/>
    <m/>
    <m/>
    <m/>
    <m/>
    <n v="1"/>
    <m/>
    <m/>
    <m/>
    <m/>
    <m/>
    <m/>
    <m/>
    <m/>
    <m/>
    <m/>
    <m/>
    <n v="4"/>
  </r>
  <r>
    <x v="8"/>
    <x v="1"/>
    <n v="31349"/>
    <x v="1"/>
    <x v="0"/>
    <s v="PRAVASTATIN SOD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9"/>
    <x v="1"/>
    <n v="1865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865"/>
    <x v="0"/>
    <x v="3"/>
    <s v="PANTOPRAZOLE MAGNES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9"/>
    <x v="1"/>
    <n v="3556"/>
    <x v="0"/>
    <x v="3"/>
    <s v="ESOMEPRAZOLE MAGNESIUM"/>
    <m/>
    <m/>
    <m/>
    <m/>
    <m/>
    <m/>
    <m/>
    <m/>
    <m/>
    <m/>
    <m/>
    <n v="6"/>
    <m/>
    <m/>
    <n v="2"/>
    <m/>
    <m/>
    <m/>
    <n v="2"/>
    <m/>
    <m/>
    <m/>
    <n v="2"/>
    <n v="2"/>
    <m/>
    <n v="2"/>
    <m/>
    <n v="2"/>
    <m/>
    <m/>
    <n v="2"/>
    <n v="2"/>
    <m/>
    <n v="2"/>
    <m/>
    <n v="2"/>
    <m/>
    <n v="2"/>
    <m/>
    <n v="2"/>
    <m/>
    <n v="2"/>
    <m/>
    <n v="2"/>
    <m/>
    <n v="2"/>
    <n v="36"/>
  </r>
  <r>
    <x v="9"/>
    <x v="1"/>
    <n v="3812"/>
    <x v="0"/>
    <x v="1"/>
    <s v="RANITIDINE HCL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9"/>
    <x v="1"/>
    <n v="4951"/>
    <x v="0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5258"/>
    <x v="0"/>
    <x v="0"/>
    <s v="PRAVASTATIN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</r>
  <r>
    <x v="9"/>
    <x v="1"/>
    <n v="5872"/>
    <x v="0"/>
    <x v="0"/>
    <s v="ATORVASTATIN CALCIUM"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n v="5"/>
  </r>
  <r>
    <x v="9"/>
    <x v="1"/>
    <n v="5872"/>
    <x v="0"/>
    <x v="3"/>
    <s v="PANTOPRAZOLE MAGNESIUM"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n v="2"/>
    <m/>
    <m/>
    <m/>
    <m/>
    <m/>
    <m/>
    <m/>
    <m/>
    <m/>
    <m/>
    <m/>
    <m/>
    <m/>
    <m/>
    <m/>
    <m/>
    <n v="4"/>
  </r>
  <r>
    <x v="9"/>
    <x v="1"/>
    <n v="724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8050"/>
    <x v="0"/>
    <x v="3"/>
    <s v="PANTOPRAZOLE SODIUM"/>
    <m/>
    <n v="1"/>
    <m/>
    <m/>
    <m/>
    <m/>
    <m/>
    <m/>
    <m/>
    <n v="1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5"/>
  </r>
  <r>
    <x v="9"/>
    <x v="1"/>
    <n v="8591"/>
    <x v="0"/>
    <x v="3"/>
    <s v="RABE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n v="2"/>
  </r>
  <r>
    <x v="9"/>
    <x v="1"/>
    <n v="11345"/>
    <x v="0"/>
    <x v="0"/>
    <s v="ATORVASTATIN CALCIUM"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n v="1"/>
    <m/>
    <m/>
    <m/>
    <m/>
    <m/>
    <m/>
    <m/>
    <m/>
    <m/>
    <m/>
    <m/>
    <n v="2"/>
    <m/>
    <m/>
    <m/>
    <n v="5"/>
  </r>
  <r>
    <x v="9"/>
    <x v="1"/>
    <n v="11345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1359"/>
    <x v="0"/>
    <x v="3"/>
    <s v="RABEPRAZOLE SOD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3"/>
  </r>
  <r>
    <x v="9"/>
    <x v="1"/>
    <n v="15147"/>
    <x v="0"/>
    <x v="3"/>
    <s v="RABEPRAZOLE SODIUM"/>
    <m/>
    <m/>
    <m/>
    <m/>
    <m/>
    <m/>
    <m/>
    <m/>
    <n v="1"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n v="4"/>
  </r>
  <r>
    <x v="9"/>
    <x v="1"/>
    <n v="20597"/>
    <x v="0"/>
    <x v="1"/>
    <s v="RANITIDINE HCL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n v="3"/>
  </r>
  <r>
    <x v="9"/>
    <x v="1"/>
    <n v="20597"/>
    <x v="0"/>
    <x v="0"/>
    <s v="ATORVASTATIN CALCIUM"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3"/>
  </r>
  <r>
    <x v="9"/>
    <x v="1"/>
    <n v="25633"/>
    <x v="0"/>
    <x v="1"/>
    <s v="RANITIDINE HCL"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4"/>
  </r>
  <r>
    <x v="9"/>
    <x v="1"/>
    <n v="25633"/>
    <x v="0"/>
    <x v="3"/>
    <s v="RABEPRAZOLE SODIUM"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2647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61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862"/>
    <x v="0"/>
    <x v="3"/>
    <s v="PANTOPRAZOLE MAGNESIUM"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4"/>
  </r>
  <r>
    <x v="9"/>
    <x v="1"/>
    <n v="29207"/>
    <x v="0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n v="1"/>
    <m/>
    <m/>
    <m/>
    <m/>
    <m/>
    <m/>
    <n v="1"/>
    <m/>
    <m/>
    <m/>
    <n v="4"/>
  </r>
  <r>
    <x v="9"/>
    <x v="1"/>
    <n v="31437"/>
    <x v="0"/>
    <x v="3"/>
    <s v="PANTO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33049"/>
    <x v="0"/>
    <x v="1"/>
    <s v="RANITIDINE HCL"/>
    <m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9"/>
    <x v="1"/>
    <n v="33049"/>
    <x v="0"/>
    <x v="3"/>
    <s v="PANTO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303"/>
    <x v="1"/>
    <x v="3"/>
    <s v="PANTOPRAZOLE SODIUM"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n v="1"/>
    <m/>
    <m/>
    <m/>
    <m/>
    <m/>
    <n v="1"/>
    <m/>
    <m/>
    <m/>
    <m/>
    <m/>
    <m/>
    <n v="4"/>
  </r>
  <r>
    <x v="9"/>
    <x v="1"/>
    <n v="534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n v="1"/>
    <m/>
    <m/>
    <m/>
    <n v="1"/>
    <m/>
    <m/>
    <m/>
    <n v="4"/>
  </r>
  <r>
    <x v="9"/>
    <x v="1"/>
    <n v="1038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"/>
    <m/>
    <m/>
    <m/>
    <n v="6"/>
  </r>
  <r>
    <x v="9"/>
    <x v="1"/>
    <n v="1081"/>
    <x v="1"/>
    <x v="3"/>
    <s v="ESOMEPRAZOLE MAGNESIUM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1231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231"/>
    <x v="1"/>
    <x v="3"/>
    <s v="RABEPRAZOLE SODIUM"/>
    <m/>
    <m/>
    <m/>
    <n v="1"/>
    <m/>
    <m/>
    <m/>
    <m/>
    <m/>
    <m/>
    <m/>
    <n v="1"/>
    <m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  <m/>
    <m/>
    <m/>
    <n v="9"/>
  </r>
  <r>
    <x v="9"/>
    <x v="1"/>
    <n v="5392"/>
    <x v="1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9"/>
    <x v="1"/>
    <n v="5871"/>
    <x v="1"/>
    <x v="0"/>
    <s v="ATOR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9"/>
    <x v="1"/>
    <n v="6077"/>
    <x v="1"/>
    <x v="0"/>
    <s v="ATORVASTATIN CALCIUM"/>
    <m/>
    <m/>
    <n v="1"/>
    <m/>
    <m/>
    <m/>
    <m/>
    <n v="2"/>
    <m/>
    <m/>
    <m/>
    <n v="1"/>
    <m/>
    <m/>
    <m/>
    <n v="1"/>
    <m/>
    <m/>
    <n v="1"/>
    <m/>
    <m/>
    <m/>
    <n v="1"/>
    <m/>
    <m/>
    <m/>
    <n v="3"/>
    <m/>
    <m/>
    <m/>
    <m/>
    <m/>
    <m/>
    <m/>
    <m/>
    <m/>
    <m/>
    <m/>
    <m/>
    <m/>
    <m/>
    <m/>
    <m/>
    <m/>
    <m/>
    <m/>
    <n v="10"/>
  </r>
  <r>
    <x v="9"/>
    <x v="1"/>
    <n v="8076"/>
    <x v="1"/>
    <x v="0"/>
    <s v="ATORVASTATIN CALCIUM"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n v="4"/>
  </r>
  <r>
    <x v="9"/>
    <x v="1"/>
    <n v="8435"/>
    <x v="1"/>
    <x v="0"/>
    <s v="ROSU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4"/>
  </r>
  <r>
    <x v="9"/>
    <x v="1"/>
    <n v="945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9"/>
    <x v="1"/>
    <n v="9475"/>
    <x v="1"/>
    <x v="0"/>
    <s v="ROSUVASTATIN CALCIUM"/>
    <m/>
    <m/>
    <m/>
    <m/>
    <m/>
    <m/>
    <m/>
    <n v="1"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n v="1"/>
    <m/>
    <m/>
    <m/>
    <m/>
    <m/>
    <m/>
    <n v="4"/>
  </r>
  <r>
    <x v="9"/>
    <x v="1"/>
    <n v="9694"/>
    <x v="1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9"/>
    <x v="1"/>
    <n v="10126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1"/>
    <m/>
    <m/>
    <n v="2"/>
    <m/>
    <m/>
    <m/>
    <n v="5"/>
  </r>
  <r>
    <x v="9"/>
    <x v="1"/>
    <n v="1014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2317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n v="1"/>
    <m/>
    <m/>
    <m/>
    <m/>
    <m/>
    <m/>
    <m/>
    <m/>
    <n v="4"/>
  </r>
  <r>
    <x v="9"/>
    <x v="1"/>
    <n v="12997"/>
    <x v="1"/>
    <x v="0"/>
    <s v="ATORVASTATIN CALCIUM"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n v="4"/>
  </r>
  <r>
    <x v="9"/>
    <x v="1"/>
    <n v="13753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4747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9"/>
    <x v="1"/>
    <n v="1609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n v="2"/>
  </r>
  <r>
    <x v="9"/>
    <x v="1"/>
    <n v="16645"/>
    <x v="1"/>
    <x v="1"/>
    <s v="RANITIDINE HCL"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9"/>
    <x v="1"/>
    <n v="18475"/>
    <x v="1"/>
    <x v="3"/>
    <s v="RABEPRAZOLE SODIUM"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9"/>
    <x v="1"/>
    <n v="18915"/>
    <x v="1"/>
    <x v="0"/>
    <s v="ATORVASTATIN CALCIUM"/>
    <m/>
    <m/>
    <m/>
    <n v="1"/>
    <m/>
    <m/>
    <m/>
    <n v="1"/>
    <m/>
    <m/>
    <m/>
    <m/>
    <n v="1"/>
    <m/>
    <n v="1"/>
    <m/>
    <m/>
    <m/>
    <m/>
    <n v="1"/>
    <m/>
    <m/>
    <m/>
    <n v="1"/>
    <m/>
    <m/>
    <m/>
    <m/>
    <n v="1"/>
    <m/>
    <m/>
    <n v="1"/>
    <m/>
    <m/>
    <n v="1"/>
    <m/>
    <m/>
    <m/>
    <m/>
    <m/>
    <n v="1"/>
    <m/>
    <m/>
    <m/>
    <n v="1"/>
    <m/>
    <n v="11"/>
  </r>
  <r>
    <x v="9"/>
    <x v="1"/>
    <n v="19498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9824"/>
    <x v="1"/>
    <x v="3"/>
    <s v="RABEPRAZOLE SODIUM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20202"/>
    <x v="1"/>
    <x v="3"/>
    <s v="RABEPRAZOLE SODIUM"/>
    <m/>
    <m/>
    <m/>
    <m/>
    <m/>
    <m/>
    <m/>
    <m/>
    <m/>
    <m/>
    <m/>
    <m/>
    <m/>
    <m/>
    <n v="1"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n v="3"/>
  </r>
  <r>
    <x v="9"/>
    <x v="1"/>
    <n v="23207"/>
    <x v="1"/>
    <x v="0"/>
    <s v="SIMVASTATIN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2488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n v="1"/>
    <m/>
    <m/>
    <m/>
    <m/>
    <n v="2"/>
    <m/>
    <m/>
    <m/>
    <n v="1"/>
    <m/>
    <m/>
    <m/>
    <n v="6"/>
  </r>
  <r>
    <x v="9"/>
    <x v="1"/>
    <n v="2488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9"/>
    <x v="1"/>
    <n v="24885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</r>
  <r>
    <x v="9"/>
    <x v="1"/>
    <n v="2488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5652"/>
    <x v="1"/>
    <x v="6"/>
    <s v="EZETIMIBE"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26285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318"/>
    <x v="1"/>
    <x v="3"/>
    <s v="PANTOPRAZOLE SODIUM"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4"/>
  </r>
  <r>
    <x v="9"/>
    <x v="1"/>
    <n v="2648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9"/>
    <x v="1"/>
    <n v="2648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m/>
    <m/>
    <m/>
    <m/>
    <m/>
    <m/>
    <m/>
    <m/>
    <m/>
    <m/>
    <m/>
    <m/>
    <m/>
    <m/>
    <m/>
    <n v="3"/>
  </r>
  <r>
    <x v="9"/>
    <x v="1"/>
    <n v="26482"/>
    <x v="1"/>
    <x v="3"/>
    <s v="PANTO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</r>
  <r>
    <x v="9"/>
    <x v="1"/>
    <n v="26653"/>
    <x v="1"/>
    <x v="0"/>
    <s v="ATORVASTATIN CALCIUM"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n v="1"/>
    <m/>
    <n v="4"/>
  </r>
  <r>
    <x v="9"/>
    <x v="1"/>
    <n v="26680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26896"/>
    <x v="1"/>
    <x v="3"/>
    <s v="PANTOPRAZOLE SOD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9"/>
    <x v="1"/>
    <n v="26906"/>
    <x v="1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90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9"/>
    <x v="1"/>
    <n v="26906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90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7592"/>
    <x v="1"/>
    <x v="0"/>
    <s v="ATORVASTATIN CALCIUM"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m/>
    <m/>
    <m/>
    <m/>
    <n v="1"/>
    <n v="6"/>
  </r>
  <r>
    <x v="9"/>
    <x v="1"/>
    <n v="28304"/>
    <x v="1"/>
    <x v="0"/>
    <s v="ATORVASTATIN CALCIUM"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n v="4"/>
  </r>
  <r>
    <x v="9"/>
    <x v="1"/>
    <n v="28373"/>
    <x v="1"/>
    <x v="0"/>
    <s v="ATORVASTATIN CALC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9"/>
    <x v="1"/>
    <n v="29468"/>
    <x v="1"/>
    <x v="3"/>
    <s v="PANTOPRAZOLE MAGNES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</r>
  <r>
    <x v="9"/>
    <x v="1"/>
    <n v="30062"/>
    <x v="1"/>
    <x v="0"/>
    <s v="ATORVASTATIN CALCIUM"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n v="5"/>
  </r>
  <r>
    <x v="9"/>
    <x v="1"/>
    <n v="32614"/>
    <x v="1"/>
    <x v="3"/>
    <s v="PANTOPRAZOLE SOD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2"/>
    <m/>
    <m/>
    <m/>
    <n v="5"/>
  </r>
  <r>
    <x v="9"/>
    <x v="1"/>
    <n v="32846"/>
    <x v="1"/>
    <x v="0"/>
    <s v="ATORVASTATIN CALC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9"/>
    <x v="1"/>
    <n v="33371"/>
    <x v="1"/>
    <x v="1"/>
    <s v="RANITIDINE HCL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9"/>
    <x v="1"/>
    <n v="636"/>
    <x v="0"/>
    <x v="0"/>
    <s v="ATORVASTATIN CALCIUM"/>
    <n v="1"/>
    <n v="1"/>
    <n v="1"/>
    <n v="1"/>
    <n v="1"/>
    <n v="1"/>
    <n v="1"/>
    <n v="1"/>
    <n v="1"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</r>
  <r>
    <x v="9"/>
    <x v="1"/>
    <n v="1039"/>
    <x v="0"/>
    <x v="3"/>
    <s v="PANTOPRAZOLE MAGNES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2472"/>
    <x v="0"/>
    <x v="1"/>
    <s v="CIMETIDINE"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n v="11"/>
  </r>
  <r>
    <x v="9"/>
    <x v="1"/>
    <n v="470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4941"/>
    <x v="0"/>
    <x v="0"/>
    <s v="LOVASTATIN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32"/>
  </r>
  <r>
    <x v="9"/>
    <x v="1"/>
    <n v="4941"/>
    <x v="0"/>
    <x v="3"/>
    <s v="OMEPRAZOLE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32"/>
  </r>
  <r>
    <x v="9"/>
    <x v="1"/>
    <n v="555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5551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6406"/>
    <x v="0"/>
    <x v="3"/>
    <s v="OME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8047"/>
    <x v="0"/>
    <x v="3"/>
    <s v="OMEPRAZOLE"/>
    <m/>
    <m/>
    <m/>
    <m/>
    <m/>
    <m/>
    <m/>
    <m/>
    <m/>
    <m/>
    <m/>
    <m/>
    <m/>
    <m/>
    <n v="1"/>
    <m/>
    <m/>
    <m/>
    <n v="1"/>
    <m/>
    <m/>
    <m/>
    <m/>
    <n v="1"/>
    <m/>
    <m/>
    <m/>
    <m/>
    <n v="1"/>
    <m/>
    <m/>
    <m/>
    <n v="1"/>
    <m/>
    <m/>
    <m/>
    <m/>
    <n v="1"/>
    <m/>
    <m/>
    <m/>
    <m/>
    <n v="2"/>
    <m/>
    <m/>
    <m/>
    <n v="8"/>
  </r>
  <r>
    <x v="9"/>
    <x v="1"/>
    <n v="8582"/>
    <x v="0"/>
    <x v="0"/>
    <s v="ATOR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9"/>
    <x v="1"/>
    <n v="8664"/>
    <x v="0"/>
    <x v="3"/>
    <s v="RABEPRAZOLE SODIUM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n v="4"/>
  </r>
  <r>
    <x v="9"/>
    <x v="1"/>
    <n v="11746"/>
    <x v="0"/>
    <x v="3"/>
    <s v="PANTOPRAZOLE SODIUM"/>
    <n v="1"/>
    <m/>
    <m/>
    <m/>
    <n v="1"/>
    <m/>
    <m/>
    <n v="1"/>
    <m/>
    <m/>
    <m/>
    <m/>
    <m/>
    <m/>
    <m/>
    <n v="1"/>
    <m/>
    <m/>
    <m/>
    <n v="1"/>
    <m/>
    <m/>
    <m/>
    <m/>
    <m/>
    <m/>
    <n v="1"/>
    <m/>
    <m/>
    <m/>
    <n v="1"/>
    <m/>
    <m/>
    <m/>
    <m/>
    <n v="1"/>
    <m/>
    <m/>
    <m/>
    <m/>
    <n v="1"/>
    <m/>
    <m/>
    <m/>
    <m/>
    <n v="1"/>
    <n v="10"/>
  </r>
  <r>
    <x v="9"/>
    <x v="1"/>
    <n v="13742"/>
    <x v="0"/>
    <x v="3"/>
    <s v="LANSOPRAZOLE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9"/>
    <x v="1"/>
    <n v="14437"/>
    <x v="0"/>
    <x v="3"/>
    <s v="ESOMEPRAZOLE MAGNESIUM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3"/>
  </r>
  <r>
    <x v="9"/>
    <x v="1"/>
    <n v="16232"/>
    <x v="0"/>
    <x v="3"/>
    <s v="PANTO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6232"/>
    <x v="0"/>
    <x v="3"/>
    <s v="PANTO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7223"/>
    <x v="0"/>
    <x v="3"/>
    <s v="PANTO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9412"/>
    <x v="0"/>
    <x v="3"/>
    <s v="RABEPRAZOLE SOD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9"/>
    <x v="1"/>
    <n v="19722"/>
    <x v="0"/>
    <x v="3"/>
    <s v="OMEPRAZOLE"/>
    <n v="1"/>
    <m/>
    <m/>
    <m/>
    <m/>
    <m/>
    <n v="1"/>
    <m/>
    <m/>
    <m/>
    <n v="1"/>
    <m/>
    <m/>
    <m/>
    <m/>
    <n v="2"/>
    <m/>
    <m/>
    <m/>
    <m/>
    <n v="1"/>
    <m/>
    <m/>
    <m/>
    <m/>
    <n v="1"/>
    <m/>
    <m/>
    <m/>
    <m/>
    <n v="1"/>
    <m/>
    <m/>
    <m/>
    <m/>
    <m/>
    <n v="1"/>
    <m/>
    <m/>
    <m/>
    <m/>
    <n v="1"/>
    <m/>
    <m/>
    <m/>
    <m/>
    <n v="10"/>
  </r>
  <r>
    <x v="9"/>
    <x v="1"/>
    <n v="19722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0002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9"/>
    <x v="1"/>
    <n v="20002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9"/>
    <x v="1"/>
    <n v="20002"/>
    <x v="0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9"/>
    <x v="1"/>
    <n v="21982"/>
    <x v="0"/>
    <x v="1"/>
    <s v="CIMETIDINE"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n v="2"/>
  </r>
  <r>
    <x v="9"/>
    <x v="1"/>
    <n v="2198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9"/>
    <x v="1"/>
    <n v="22636"/>
    <x v="0"/>
    <x v="3"/>
    <s v="OMEPRAZOLE"/>
    <m/>
    <m/>
    <n v="1"/>
    <m/>
    <m/>
    <m/>
    <n v="2"/>
    <m/>
    <m/>
    <m/>
    <n v="1"/>
    <m/>
    <m/>
    <m/>
    <n v="1"/>
    <m/>
    <m/>
    <m/>
    <n v="1"/>
    <m/>
    <m/>
    <n v="1"/>
    <n v="1"/>
    <n v="1"/>
    <n v="1"/>
    <n v="1"/>
    <n v="1"/>
    <n v="1"/>
    <n v="1"/>
    <n v="1"/>
    <n v="1"/>
    <m/>
    <m/>
    <n v="3"/>
    <n v="1"/>
    <n v="1"/>
    <n v="1"/>
    <n v="1"/>
    <n v="1"/>
    <n v="1"/>
    <n v="1"/>
    <n v="1"/>
    <n v="1"/>
    <n v="1"/>
    <n v="1"/>
    <n v="1"/>
    <n v="31"/>
  </r>
  <r>
    <x v="9"/>
    <x v="1"/>
    <n v="2286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9"/>
    <x v="1"/>
    <n v="2681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9531"/>
    <x v="0"/>
    <x v="3"/>
    <s v="RABEPRAZOLE SODIUM"/>
    <m/>
    <m/>
    <m/>
    <m/>
    <n v="1"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n v="4"/>
  </r>
  <r>
    <x v="9"/>
    <x v="1"/>
    <n v="33300"/>
    <x v="0"/>
    <x v="3"/>
    <s v="PANTO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9"/>
    <x v="1"/>
    <n v="33519"/>
    <x v="0"/>
    <x v="3"/>
    <s v="OMEPRAZOLE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723"/>
    <x v="1"/>
    <x v="0"/>
    <s v="ATORVASTATIN CALCIUM"/>
    <m/>
    <m/>
    <m/>
    <n v="1"/>
    <m/>
    <n v="1"/>
    <m/>
    <m/>
    <n v="1"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</r>
  <r>
    <x v="9"/>
    <x v="1"/>
    <n v="207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078"/>
    <x v="1"/>
    <x v="3"/>
    <s v="RABEPRAZOLE SOD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  <m/>
    <m/>
    <m/>
    <m/>
    <m/>
    <m/>
    <m/>
    <m/>
    <m/>
    <m/>
    <m/>
    <m/>
    <m/>
    <m/>
    <m/>
    <m/>
    <n v="4"/>
  </r>
  <r>
    <x v="9"/>
    <x v="1"/>
    <n v="253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77"/>
    <x v="1"/>
    <x v="0"/>
    <s v="ATORVASTATIN CALCIUM"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m/>
    <n v="1"/>
    <m/>
    <m/>
    <n v="1"/>
    <m/>
    <n v="2"/>
    <m/>
    <n v="1"/>
    <m/>
    <n v="1"/>
    <m/>
    <n v="1"/>
    <m/>
    <n v="1"/>
    <m/>
    <n v="1"/>
    <m/>
    <n v="23"/>
  </r>
  <r>
    <x v="9"/>
    <x v="1"/>
    <n v="3377"/>
    <x v="1"/>
    <x v="3"/>
    <s v="RABEPRAZOLE SODIUM"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m/>
    <n v="1"/>
    <m/>
    <m/>
    <n v="1"/>
    <m/>
    <n v="1"/>
    <m/>
    <n v="1"/>
    <m/>
    <m/>
    <m/>
    <m/>
    <m/>
    <m/>
    <m/>
    <m/>
    <m/>
    <n v="18"/>
  </r>
  <r>
    <x v="9"/>
    <x v="1"/>
    <n v="3962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9"/>
    <x v="1"/>
    <n v="4449"/>
    <x v="1"/>
    <x v="0"/>
    <s v="PRAVASTATIN SOD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9"/>
    <x v="1"/>
    <n v="5550"/>
    <x v="1"/>
    <x v="2"/>
    <s v="MISOPROSTOL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5782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9"/>
    <x v="1"/>
    <n v="5782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n v="2"/>
  </r>
  <r>
    <x v="9"/>
    <x v="1"/>
    <n v="5808"/>
    <x v="1"/>
    <x v="1"/>
    <s v="RANITIDINE HCL"/>
    <m/>
    <m/>
    <m/>
    <n v="1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4"/>
  </r>
  <r>
    <x v="9"/>
    <x v="1"/>
    <n v="580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5808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678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6781"/>
    <x v="1"/>
    <x v="3"/>
    <s v="RABEPRAZOLE SODIUM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680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9"/>
    <x v="1"/>
    <n v="7588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9"/>
    <x v="1"/>
    <n v="7588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7732"/>
    <x v="1"/>
    <x v="3"/>
    <s v="ESOMEPRAZOLE MAGNESIUM"/>
    <n v="1"/>
    <m/>
    <m/>
    <m/>
    <n v="1"/>
    <m/>
    <m/>
    <m/>
    <n v="1"/>
    <m/>
    <m/>
    <n v="1"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n v="6"/>
  </r>
  <r>
    <x v="9"/>
    <x v="1"/>
    <n v="7732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9"/>
    <x v="1"/>
    <n v="8046"/>
    <x v="1"/>
    <x v="0"/>
    <s v="ATOR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9"/>
    <x v="1"/>
    <n v="8091"/>
    <x v="1"/>
    <x v="3"/>
    <s v="RABEPRAZOLE SODIUM"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n v="1"/>
    <m/>
    <n v="1"/>
    <m/>
    <m/>
    <m/>
    <n v="1"/>
    <m/>
    <m/>
    <m/>
    <n v="1"/>
    <m/>
    <m/>
    <m/>
    <n v="1"/>
    <n v="12"/>
  </r>
  <r>
    <x v="9"/>
    <x v="1"/>
    <n v="8420"/>
    <x v="1"/>
    <x v="0"/>
    <s v="ROSUVASTATIN CALCIUM"/>
    <m/>
    <n v="1"/>
    <m/>
    <m/>
    <m/>
    <m/>
    <m/>
    <m/>
    <m/>
    <m/>
    <n v="1"/>
    <m/>
    <m/>
    <n v="1"/>
    <m/>
    <m/>
    <m/>
    <n v="2"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1"/>
  </r>
  <r>
    <x v="9"/>
    <x v="1"/>
    <n v="8614"/>
    <x v="1"/>
    <x v="3"/>
    <s v="RABEPRAZOLE SODIUM"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9"/>
    <x v="1"/>
    <n v="9038"/>
    <x v="1"/>
    <x v="1"/>
    <s v="RANITIDINE HCL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9"/>
    <x v="1"/>
    <n v="9386"/>
    <x v="1"/>
    <x v="0"/>
    <s v="SIMVASTATIN"/>
    <n v="1"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4"/>
  </r>
  <r>
    <x v="9"/>
    <x v="1"/>
    <n v="9386"/>
    <x v="1"/>
    <x v="3"/>
    <s v="PANTO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9464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3"/>
  </r>
  <r>
    <x v="9"/>
    <x v="1"/>
    <n v="9562"/>
    <x v="1"/>
    <x v="0"/>
    <s v="ATORVASTATIN CALCIUM"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9"/>
    <x v="1"/>
    <n v="10103"/>
    <x v="1"/>
    <x v="3"/>
    <s v="RABEPRAZOLE SODIUM"/>
    <m/>
    <m/>
    <m/>
    <m/>
    <m/>
    <m/>
    <m/>
    <m/>
    <n v="2"/>
    <m/>
    <m/>
    <m/>
    <m/>
    <m/>
    <n v="1"/>
    <m/>
    <n v="1"/>
    <m/>
    <m/>
    <m/>
    <m/>
    <m/>
    <m/>
    <m/>
    <m/>
    <m/>
    <n v="1"/>
    <m/>
    <m/>
    <m/>
    <m/>
    <m/>
    <m/>
    <m/>
    <n v="1"/>
    <m/>
    <m/>
    <m/>
    <m/>
    <m/>
    <m/>
    <m/>
    <n v="2"/>
    <m/>
    <m/>
    <m/>
    <n v="8"/>
  </r>
  <r>
    <x v="9"/>
    <x v="1"/>
    <n v="12312"/>
    <x v="1"/>
    <x v="3"/>
    <s v="PANTOPRAZOLE MAGNESIUM"/>
    <m/>
    <m/>
    <m/>
    <m/>
    <m/>
    <m/>
    <m/>
    <m/>
    <m/>
    <m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9"/>
    <x v="1"/>
    <n v="12312"/>
    <x v="1"/>
    <x v="3"/>
    <s v="PANTOPRAZOLE SODIUM"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9"/>
    <x v="1"/>
    <n v="1231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n v="1"/>
    <m/>
    <m/>
    <m/>
    <n v="3"/>
  </r>
  <r>
    <x v="9"/>
    <x v="1"/>
    <n v="1274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9"/>
    <x v="1"/>
    <n v="13535"/>
    <x v="1"/>
    <x v="3"/>
    <s v="RABEPRAZOLE SODIUM"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n v="3"/>
  </r>
  <r>
    <x v="9"/>
    <x v="1"/>
    <n v="14993"/>
    <x v="1"/>
    <x v="3"/>
    <s v="RABEPRAZOLE SODIUM"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4"/>
  </r>
  <r>
    <x v="9"/>
    <x v="1"/>
    <n v="1508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</r>
  <r>
    <x v="9"/>
    <x v="1"/>
    <n v="16033"/>
    <x v="1"/>
    <x v="3"/>
    <s v="RABEPRAZOLE SODIUM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</r>
  <r>
    <x v="9"/>
    <x v="1"/>
    <n v="16202"/>
    <x v="1"/>
    <x v="3"/>
    <s v="PANTOPRAZOLE MAGNESIUM"/>
    <m/>
    <m/>
    <m/>
    <n v="1"/>
    <m/>
    <m/>
    <m/>
    <m/>
    <m/>
    <n v="1"/>
    <m/>
    <m/>
    <m/>
    <m/>
    <m/>
    <n v="1"/>
    <m/>
    <m/>
    <m/>
    <n v="1"/>
    <m/>
    <m/>
    <m/>
    <m/>
    <n v="1"/>
    <m/>
    <m/>
    <m/>
    <m/>
    <m/>
    <m/>
    <m/>
    <m/>
    <n v="1"/>
    <m/>
    <m/>
    <m/>
    <m/>
    <m/>
    <m/>
    <m/>
    <m/>
    <m/>
    <m/>
    <m/>
    <m/>
    <n v="6"/>
  </r>
  <r>
    <x v="9"/>
    <x v="1"/>
    <n v="1744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7448"/>
    <x v="1"/>
    <x v="3"/>
    <s v="PANTOPRAZOLE SODIUM"/>
    <m/>
    <m/>
    <m/>
    <m/>
    <m/>
    <n v="1"/>
    <m/>
    <m/>
    <m/>
    <m/>
    <m/>
    <m/>
    <m/>
    <m/>
    <m/>
    <n v="1"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n v="5"/>
  </r>
  <r>
    <x v="9"/>
    <x v="1"/>
    <n v="17950"/>
    <x v="1"/>
    <x v="0"/>
    <s v="ATORVASTATIN CALCIUM"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n v="1"/>
    <m/>
    <n v="5"/>
  </r>
  <r>
    <x v="9"/>
    <x v="1"/>
    <n v="17950"/>
    <x v="1"/>
    <x v="3"/>
    <s v="RABEPRAZOLE SOD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  <m/>
    <n v="5"/>
  </r>
  <r>
    <x v="9"/>
    <x v="1"/>
    <n v="18034"/>
    <x v="1"/>
    <x v="0"/>
    <s v="ATORVASTATIN CALCIUM"/>
    <m/>
    <n v="1"/>
    <m/>
    <m/>
    <m/>
    <n v="1"/>
    <m/>
    <m/>
    <m/>
    <n v="1"/>
    <m/>
    <m/>
    <n v="1"/>
    <m/>
    <m/>
    <m/>
    <n v="1"/>
    <m/>
    <m/>
    <m/>
    <m/>
    <n v="1"/>
    <m/>
    <m/>
    <m/>
    <m/>
    <m/>
    <m/>
    <m/>
    <m/>
    <n v="1"/>
    <m/>
    <m/>
    <m/>
    <n v="1"/>
    <m/>
    <m/>
    <m/>
    <m/>
    <m/>
    <m/>
    <m/>
    <m/>
    <m/>
    <m/>
    <m/>
    <n v="8"/>
  </r>
  <r>
    <x v="9"/>
    <x v="1"/>
    <n v="18703"/>
    <x v="1"/>
    <x v="3"/>
    <s v="PANTOPRAZOLE MAGNESIUM"/>
    <m/>
    <m/>
    <m/>
    <m/>
    <m/>
    <n v="1"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4"/>
  </r>
  <r>
    <x v="9"/>
    <x v="1"/>
    <n v="19004"/>
    <x v="1"/>
    <x v="3"/>
    <s v="PANTOPRAZOLE SODIUM"/>
    <m/>
    <m/>
    <m/>
    <m/>
    <n v="1"/>
    <m/>
    <m/>
    <m/>
    <n v="1"/>
    <m/>
    <m/>
    <m/>
    <n v="1"/>
    <m/>
    <m/>
    <m/>
    <m/>
    <m/>
    <m/>
    <m/>
    <m/>
    <n v="2"/>
    <m/>
    <m/>
    <m/>
    <m/>
    <m/>
    <m/>
    <m/>
    <m/>
    <m/>
    <m/>
    <m/>
    <m/>
    <m/>
    <m/>
    <m/>
    <m/>
    <n v="4"/>
    <m/>
    <m/>
    <m/>
    <m/>
    <m/>
    <m/>
    <m/>
    <n v="9"/>
  </r>
  <r>
    <x v="9"/>
    <x v="1"/>
    <n v="19954"/>
    <x v="1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n v="2"/>
  </r>
  <r>
    <x v="9"/>
    <x v="1"/>
    <n v="21663"/>
    <x v="1"/>
    <x v="3"/>
    <s v="RABEPRAZOLE SODIUM"/>
    <m/>
    <m/>
    <m/>
    <m/>
    <m/>
    <m/>
    <n v="1"/>
    <m/>
    <m/>
    <m/>
    <m/>
    <m/>
    <m/>
    <n v="1"/>
    <m/>
    <m/>
    <m/>
    <m/>
    <m/>
    <m/>
    <m/>
    <n v="1"/>
    <m/>
    <m/>
    <m/>
    <m/>
    <m/>
    <m/>
    <m/>
    <m/>
    <m/>
    <n v="1"/>
    <m/>
    <m/>
    <m/>
    <m/>
    <m/>
    <m/>
    <m/>
    <m/>
    <m/>
    <n v="1"/>
    <m/>
    <m/>
    <m/>
    <m/>
    <n v="5"/>
  </r>
  <r>
    <x v="9"/>
    <x v="1"/>
    <n v="23766"/>
    <x v="1"/>
    <x v="3"/>
    <s v="ESOMEPRAZOLE MAGNES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9"/>
    <x v="1"/>
    <n v="2376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9"/>
    <x v="1"/>
    <n v="2661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9"/>
    <x v="1"/>
    <n v="26610"/>
    <x v="1"/>
    <x v="3"/>
    <s v="PANTOPRAZOLE SODIUM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26839"/>
    <x v="1"/>
    <x v="3"/>
    <s v="PANTOPRAZOLE SOD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9"/>
    <x v="1"/>
    <n v="27144"/>
    <x v="1"/>
    <x v="3"/>
    <s v="OMEPRAZOLE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9"/>
    <x v="1"/>
    <n v="28140"/>
    <x v="1"/>
    <x v="3"/>
    <s v="PANTOPRAZOLE MAGNESIUM"/>
    <m/>
    <n v="1"/>
    <m/>
    <m/>
    <m/>
    <m/>
    <n v="1"/>
    <m/>
    <m/>
    <m/>
    <m/>
    <m/>
    <n v="1"/>
    <m/>
    <m/>
    <m/>
    <m/>
    <m/>
    <n v="1"/>
    <m/>
    <m/>
    <m/>
    <m/>
    <n v="1"/>
    <m/>
    <m/>
    <m/>
    <m/>
    <m/>
    <n v="1"/>
    <m/>
    <m/>
    <m/>
    <m/>
    <m/>
    <n v="1"/>
    <m/>
    <m/>
    <m/>
    <m/>
    <m/>
    <n v="1"/>
    <m/>
    <m/>
    <m/>
    <m/>
    <n v="8"/>
  </r>
  <r>
    <x v="9"/>
    <x v="1"/>
    <n v="28572"/>
    <x v="1"/>
    <x v="3"/>
    <s v="PANTOPRAZOLE MAGNES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n v="3"/>
  </r>
  <r>
    <x v="9"/>
    <x v="1"/>
    <n v="29950"/>
    <x v="1"/>
    <x v="0"/>
    <s v="ATORVASTATIN CALCIUM"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30421"/>
    <x v="1"/>
    <x v="3"/>
    <s v="LANSOPRAZOLE"/>
    <m/>
    <n v="2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n v="5"/>
  </r>
  <r>
    <x v="9"/>
    <x v="1"/>
    <n v="3044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0441"/>
    <x v="1"/>
    <x v="3"/>
    <s v="PANTOPRAZOLE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n v="4"/>
  </r>
  <r>
    <x v="9"/>
    <x v="1"/>
    <n v="32634"/>
    <x v="1"/>
    <x v="3"/>
    <s v="ESOMEPRAZOLE MAGNES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32709"/>
    <x v="1"/>
    <x v="3"/>
    <s v="PANTOPRAZOLE SOD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9"/>
    <x v="1"/>
    <n v="3312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263"/>
    <x v="1"/>
    <x v="3"/>
    <s v="RABEPRAZOLE SODIUM"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9"/>
    <x v="1"/>
    <n v="33715"/>
    <x v="1"/>
    <x v="0"/>
    <s v="ROSUVASTATIN CALCIUM"/>
    <m/>
    <m/>
    <n v="1"/>
    <m/>
    <m/>
    <m/>
    <m/>
    <m/>
    <m/>
    <m/>
    <m/>
    <m/>
    <m/>
    <n v="1"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n v="1"/>
    <m/>
    <n v="7"/>
  </r>
  <r>
    <x v="9"/>
    <x v="1"/>
    <n v="7733"/>
    <x v="0"/>
    <x v="3"/>
    <s v="ESOMEPRAZOLE MAGNESIUM"/>
    <n v="1"/>
    <m/>
    <m/>
    <m/>
    <m/>
    <m/>
    <m/>
    <m/>
    <m/>
    <m/>
    <m/>
    <n v="1"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n v="4"/>
  </r>
  <r>
    <x v="9"/>
    <x v="1"/>
    <n v="773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2"/>
  </r>
  <r>
    <x v="9"/>
    <x v="1"/>
    <n v="2376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  <m/>
    <m/>
    <m/>
    <n v="1"/>
    <n v="4"/>
  </r>
  <r>
    <x v="9"/>
    <x v="1"/>
    <n v="26365"/>
    <x v="0"/>
    <x v="3"/>
    <s v="OMEPRAZOLE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9"/>
    <x v="1"/>
    <n v="29000"/>
    <x v="0"/>
    <x v="7"/>
    <s v="PINAVERIUM BROMIDE"/>
    <m/>
    <n v="1"/>
    <m/>
    <m/>
    <m/>
    <m/>
    <m/>
    <m/>
    <m/>
    <n v="1"/>
    <m/>
    <m/>
    <m/>
    <n v="1"/>
    <m/>
    <m/>
    <m/>
    <m/>
    <m/>
    <m/>
    <m/>
    <n v="1"/>
    <m/>
    <m/>
    <m/>
    <n v="1"/>
    <m/>
    <m/>
    <m/>
    <m/>
    <m/>
    <m/>
    <m/>
    <n v="1"/>
    <m/>
    <m/>
    <m/>
    <n v="2"/>
    <m/>
    <m/>
    <m/>
    <m/>
    <m/>
    <m/>
    <m/>
    <n v="1"/>
    <n v="9"/>
  </r>
  <r>
    <x v="9"/>
    <x v="1"/>
    <n v="19857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9"/>
    <x v="1"/>
    <n v="1132"/>
    <x v="0"/>
    <x v="3"/>
    <s v="RABE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9"/>
    <x v="1"/>
    <n v="2109"/>
    <x v="0"/>
    <x v="3"/>
    <s v="PANTOPRAZOLE MAGNES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  <m/>
    <m/>
    <m/>
    <m/>
    <m/>
    <m/>
    <m/>
    <m/>
    <m/>
    <m/>
    <m/>
    <m/>
    <m/>
    <n v="4"/>
  </r>
  <r>
    <x v="9"/>
    <x v="1"/>
    <n v="2833"/>
    <x v="0"/>
    <x v="1"/>
    <s v="RANITIDINE HCL"/>
    <m/>
    <n v="2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9"/>
    <x v="1"/>
    <n v="4208"/>
    <x v="0"/>
    <x v="3"/>
    <s v="OMEPRAZOLE"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3"/>
  </r>
  <r>
    <x v="9"/>
    <x v="1"/>
    <n v="5567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9"/>
    <x v="1"/>
    <n v="5567"/>
    <x v="0"/>
    <x v="3"/>
    <s v="PANTO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2"/>
  </r>
  <r>
    <x v="9"/>
    <x v="1"/>
    <n v="33808"/>
    <x v="0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9"/>
    <x v="1"/>
    <n v="4449"/>
    <x v="1"/>
    <x v="3"/>
    <s v="PANTOPRAZOLE SOD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9"/>
    <x v="1"/>
    <n v="5055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9"/>
    <x v="1"/>
    <n v="505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9"/>
    <x v="1"/>
    <n v="14912"/>
    <x v="1"/>
    <x v="3"/>
    <s v="OMEPRAZOLE"/>
    <n v="2"/>
    <m/>
    <m/>
    <m/>
    <m/>
    <n v="1"/>
    <m/>
    <m/>
    <m/>
    <n v="1"/>
    <m/>
    <m/>
    <m/>
    <n v="1"/>
    <m/>
    <m/>
    <m/>
    <m/>
    <n v="1"/>
    <m/>
    <n v="1"/>
    <m/>
    <m/>
    <m/>
    <m/>
    <m/>
    <n v="1"/>
    <m/>
    <m/>
    <m/>
    <m/>
    <n v="1"/>
    <m/>
    <m/>
    <m/>
    <m/>
    <m/>
    <m/>
    <m/>
    <n v="2"/>
    <m/>
    <m/>
    <m/>
    <m/>
    <m/>
    <m/>
    <n v="11"/>
  </r>
  <r>
    <x v="9"/>
    <x v="1"/>
    <n v="30019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0019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1345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962"/>
    <x v="1"/>
    <x v="1"/>
    <s v="RANITIDINE HCL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3"/>
  </r>
  <r>
    <x v="9"/>
    <x v="1"/>
    <n v="5989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7592"/>
    <x v="1"/>
    <x v="3"/>
    <s v="OMEPRAZOLE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3"/>
  </r>
  <r>
    <x v="9"/>
    <x v="1"/>
    <n v="28806"/>
    <x v="1"/>
    <x v="1"/>
    <s v="RANITIDINE HCL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9356"/>
    <x v="0"/>
    <x v="3"/>
    <s v="PANTO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9"/>
    <x v="1"/>
    <n v="20479"/>
    <x v="0"/>
    <x v="3"/>
    <s v="PANTO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9"/>
    <x v="1"/>
    <n v="221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  <m/>
    <m/>
    <m/>
    <m/>
    <m/>
    <m/>
    <m/>
    <m/>
    <m/>
    <m/>
    <m/>
    <m/>
    <n v="4"/>
  </r>
  <r>
    <x v="9"/>
    <x v="1"/>
    <n v="613"/>
    <x v="1"/>
    <x v="1"/>
    <s v="RANITIDINE HCL"/>
    <m/>
    <m/>
    <m/>
    <n v="1"/>
    <m/>
    <m/>
    <m/>
    <m/>
    <m/>
    <m/>
    <m/>
    <m/>
    <n v="1"/>
    <m/>
    <m/>
    <m/>
    <m/>
    <m/>
    <m/>
    <m/>
    <n v="1"/>
    <m/>
    <m/>
    <m/>
    <m/>
    <m/>
    <m/>
    <m/>
    <m/>
    <m/>
    <m/>
    <m/>
    <n v="2"/>
    <m/>
    <m/>
    <m/>
    <m/>
    <m/>
    <m/>
    <m/>
    <n v="1"/>
    <m/>
    <m/>
    <m/>
    <m/>
    <m/>
    <n v="6"/>
  </r>
  <r>
    <x v="9"/>
    <x v="1"/>
    <n v="3962"/>
    <x v="1"/>
    <x v="3"/>
    <s v="OMEPRAZOLE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2"/>
  </r>
  <r>
    <x v="9"/>
    <x v="1"/>
    <n v="3962"/>
    <x v="1"/>
    <x v="3"/>
    <s v="OMEPRAZOLE MAGNES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396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8420"/>
    <x v="1"/>
    <x v="3"/>
    <s v="ESOMEPRAZOLE MAGNESIUM"/>
    <m/>
    <n v="1"/>
    <m/>
    <m/>
    <m/>
    <m/>
    <m/>
    <m/>
    <m/>
    <m/>
    <n v="1"/>
    <m/>
    <m/>
    <n v="1"/>
    <m/>
    <m/>
    <m/>
    <n v="2"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1"/>
  </r>
  <r>
    <x v="9"/>
    <x v="1"/>
    <n v="9464"/>
    <x v="1"/>
    <x v="3"/>
    <s v="RABEPRAZOLE SODIUM"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n v="5"/>
  </r>
  <r>
    <x v="9"/>
    <x v="1"/>
    <n v="13383"/>
    <x v="1"/>
    <x v="1"/>
    <s v="RANITIDINE HCL"/>
    <n v="1"/>
    <n v="1"/>
    <n v="2"/>
    <n v="1"/>
    <m/>
    <n v="1"/>
    <n v="1"/>
    <n v="3"/>
    <m/>
    <n v="1"/>
    <n v="2"/>
    <n v="1"/>
    <n v="1"/>
    <n v="1"/>
    <n v="1"/>
    <n v="2"/>
    <n v="1"/>
    <n v="1"/>
    <n v="2"/>
    <n v="1"/>
    <n v="1"/>
    <n v="1"/>
    <n v="1"/>
    <n v="2"/>
    <n v="1"/>
    <n v="1"/>
    <n v="3"/>
    <n v="1"/>
    <n v="1"/>
    <n v="1"/>
    <n v="1"/>
    <n v="1"/>
    <n v="1"/>
    <n v="2"/>
    <n v="1"/>
    <n v="1"/>
    <n v="2"/>
    <n v="1"/>
    <n v="1"/>
    <n v="1"/>
    <n v="1"/>
    <n v="1"/>
    <n v="1"/>
    <n v="1"/>
    <n v="1"/>
    <n v="1"/>
    <n v="55"/>
  </r>
  <r>
    <x v="9"/>
    <x v="1"/>
    <n v="18034"/>
    <x v="1"/>
    <x v="1"/>
    <s v="RANITIDINE HCL"/>
    <m/>
    <n v="1"/>
    <m/>
    <m/>
    <m/>
    <n v="1"/>
    <m/>
    <m/>
    <m/>
    <n v="1"/>
    <m/>
    <m/>
    <n v="1"/>
    <m/>
    <m/>
    <m/>
    <n v="1"/>
    <m/>
    <m/>
    <m/>
    <m/>
    <n v="1"/>
    <m/>
    <m/>
    <m/>
    <m/>
    <n v="1"/>
    <m/>
    <m/>
    <m/>
    <m/>
    <n v="1"/>
    <m/>
    <m/>
    <n v="1"/>
    <m/>
    <m/>
    <m/>
    <m/>
    <m/>
    <m/>
    <m/>
    <m/>
    <m/>
    <m/>
    <m/>
    <n v="9"/>
  </r>
  <r>
    <x v="9"/>
    <x v="1"/>
    <n v="2995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71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9"/>
    <x v="1"/>
    <n v="33715"/>
    <x v="1"/>
    <x v="3"/>
    <s v="LANSOPRAZOLE"/>
    <m/>
    <m/>
    <m/>
    <m/>
    <m/>
    <m/>
    <m/>
    <m/>
    <m/>
    <n v="1"/>
    <m/>
    <m/>
    <m/>
    <m/>
    <m/>
    <n v="1"/>
    <m/>
    <n v="1"/>
    <m/>
    <m/>
    <n v="1"/>
    <m/>
    <m/>
    <m/>
    <m/>
    <m/>
    <m/>
    <m/>
    <m/>
    <m/>
    <m/>
    <m/>
    <m/>
    <m/>
    <m/>
    <m/>
    <m/>
    <m/>
    <m/>
    <m/>
    <n v="1"/>
    <m/>
    <m/>
    <m/>
    <m/>
    <m/>
    <n v="5"/>
  </r>
  <r>
    <x v="9"/>
    <x v="1"/>
    <n v="21700"/>
    <x v="0"/>
    <x v="3"/>
    <s v="OMEPRAZOLE"/>
    <n v="1"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n v="3"/>
  </r>
  <r>
    <x v="9"/>
    <x v="1"/>
    <n v="20002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9"/>
    <x v="1"/>
    <n v="2000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n v="2"/>
  </r>
  <r>
    <x v="9"/>
    <x v="1"/>
    <n v="723"/>
    <x v="1"/>
    <x v="3"/>
    <s v="ESOMEPRAZOLE MAGNESIUM"/>
    <m/>
    <m/>
    <m/>
    <n v="1"/>
    <m/>
    <n v="1"/>
    <m/>
    <m/>
    <n v="1"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</r>
  <r>
    <x v="9"/>
    <x v="1"/>
    <n v="6624"/>
    <x v="1"/>
    <x v="3"/>
    <s v="RABE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9"/>
    <x v="1"/>
    <n v="8046"/>
    <x v="1"/>
    <x v="1"/>
    <s v="RANITIDINE HCL"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</r>
  <r>
    <x v="9"/>
    <x v="1"/>
    <n v="804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  <m/>
    <m/>
    <m/>
    <m/>
    <n v="3"/>
  </r>
  <r>
    <x v="9"/>
    <x v="1"/>
    <n v="8046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667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9"/>
    <x v="1"/>
    <n v="232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556"/>
    <x v="0"/>
    <x v="0"/>
    <s v="ROSUVASTATIN CALCIUM"/>
    <m/>
    <m/>
    <m/>
    <m/>
    <n v="2"/>
    <m/>
    <m/>
    <m/>
    <m/>
    <m/>
    <n v="2"/>
    <n v="6"/>
    <m/>
    <m/>
    <n v="2"/>
    <m/>
    <m/>
    <m/>
    <n v="2"/>
    <m/>
    <m/>
    <m/>
    <n v="2"/>
    <n v="2"/>
    <m/>
    <n v="2"/>
    <m/>
    <n v="2"/>
    <m/>
    <m/>
    <n v="2"/>
    <n v="2"/>
    <m/>
    <m/>
    <m/>
    <n v="2"/>
    <m/>
    <n v="2"/>
    <m/>
    <n v="2"/>
    <m/>
    <n v="2"/>
    <m/>
    <n v="2"/>
    <m/>
    <n v="2"/>
    <n v="38"/>
  </r>
  <r>
    <x v="9"/>
    <x v="1"/>
    <n v="3963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n v="3"/>
  </r>
  <r>
    <x v="9"/>
    <x v="1"/>
    <n v="8050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9"/>
    <x v="1"/>
    <n v="11987"/>
    <x v="0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9"/>
    <x v="1"/>
    <n v="25633"/>
    <x v="0"/>
    <x v="0"/>
    <s v="ATORVASTATIN CALCIUM"/>
    <m/>
    <n v="2"/>
    <m/>
    <m/>
    <m/>
    <n v="1"/>
    <m/>
    <m/>
    <m/>
    <m/>
    <n v="1"/>
    <m/>
    <m/>
    <m/>
    <n v="1"/>
    <m/>
    <m/>
    <m/>
    <n v="1"/>
    <m/>
    <m/>
    <m/>
    <m/>
    <n v="2"/>
    <m/>
    <m/>
    <m/>
    <m/>
    <m/>
    <m/>
    <m/>
    <m/>
    <m/>
    <m/>
    <m/>
    <n v="1"/>
    <m/>
    <m/>
    <m/>
    <m/>
    <m/>
    <m/>
    <m/>
    <m/>
    <m/>
    <m/>
    <n v="9"/>
  </r>
  <r>
    <x v="9"/>
    <x v="1"/>
    <n v="28462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9"/>
    <x v="1"/>
    <n v="271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9"/>
    <x v="1"/>
    <n v="336"/>
    <x v="1"/>
    <x v="0"/>
    <s v="ATORVASTATIN CALCIUM"/>
    <n v="1"/>
    <m/>
    <m/>
    <m/>
    <m/>
    <m/>
    <m/>
    <m/>
    <m/>
    <m/>
    <n v="1"/>
    <m/>
    <m/>
    <m/>
    <m/>
    <m/>
    <m/>
    <m/>
    <m/>
    <m/>
    <n v="2"/>
    <m/>
    <m/>
    <m/>
    <m/>
    <m/>
    <m/>
    <m/>
    <m/>
    <n v="1"/>
    <m/>
    <m/>
    <m/>
    <m/>
    <m/>
    <m/>
    <m/>
    <m/>
    <m/>
    <n v="1"/>
    <m/>
    <m/>
    <m/>
    <m/>
    <m/>
    <m/>
    <n v="6"/>
  </r>
  <r>
    <x v="9"/>
    <x v="1"/>
    <n v="1038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n v="2"/>
  </r>
  <r>
    <x v="9"/>
    <x v="1"/>
    <n v="1488"/>
    <x v="1"/>
    <x v="0"/>
    <s v="SIMVASTATIN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n v="4"/>
  </r>
  <r>
    <x v="9"/>
    <x v="1"/>
    <n v="4303"/>
    <x v="1"/>
    <x v="0"/>
    <s v="ATORVASTATIN CALC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9"/>
    <x v="1"/>
    <n v="6634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9"/>
    <x v="1"/>
    <n v="8333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3"/>
  </r>
  <r>
    <x v="9"/>
    <x v="1"/>
    <n v="9247"/>
    <x v="1"/>
    <x v="0"/>
    <s v="ROSUVASTATIN CALCIUM"/>
    <m/>
    <m/>
    <m/>
    <m/>
    <m/>
    <m/>
    <m/>
    <m/>
    <m/>
    <m/>
    <m/>
    <n v="1"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9"/>
    <x v="1"/>
    <n v="9299"/>
    <x v="1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4"/>
  </r>
  <r>
    <x v="9"/>
    <x v="1"/>
    <n v="10196"/>
    <x v="1"/>
    <x v="0"/>
    <s v="ATORVASTATIN CALC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9"/>
    <x v="1"/>
    <n v="10907"/>
    <x v="1"/>
    <x v="0"/>
    <s v="ATOR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11809"/>
    <x v="1"/>
    <x v="0"/>
    <s v="SIMVASTATIN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1"/>
    <n v="3"/>
    <m/>
    <m/>
    <m/>
    <m/>
    <m/>
    <m/>
    <n v="6"/>
  </r>
  <r>
    <x v="9"/>
    <x v="1"/>
    <n v="11948"/>
    <x v="1"/>
    <x v="0"/>
    <s v="ATORVASTATIN CALCIUM"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12136"/>
    <x v="1"/>
    <x v="0"/>
    <s v="ROSUVASTATIN CALC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3667"/>
    <x v="1"/>
    <x v="0"/>
    <s v="ROSUVASTATIN CALCIUM"/>
    <m/>
    <m/>
    <m/>
    <m/>
    <m/>
    <m/>
    <m/>
    <m/>
    <m/>
    <m/>
    <n v="1"/>
    <m/>
    <n v="1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1"/>
    <n v="5"/>
  </r>
  <r>
    <x v="9"/>
    <x v="1"/>
    <n v="16392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n v="3"/>
  </r>
  <r>
    <x v="9"/>
    <x v="1"/>
    <n v="17455"/>
    <x v="1"/>
    <x v="0"/>
    <s v="ROSUVASTATIN CALCIUM"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18475"/>
    <x v="1"/>
    <x v="0"/>
    <s v="ATORVASTATIN CALCIUM"/>
    <m/>
    <m/>
    <m/>
    <m/>
    <m/>
    <m/>
    <n v="1"/>
    <m/>
    <m/>
    <n v="1"/>
    <m/>
    <m/>
    <m/>
    <m/>
    <m/>
    <m/>
    <m/>
    <n v="1"/>
    <m/>
    <m/>
    <m/>
    <m/>
    <n v="1"/>
    <m/>
    <m/>
    <m/>
    <m/>
    <m/>
    <m/>
    <m/>
    <m/>
    <m/>
    <m/>
    <m/>
    <n v="1"/>
    <m/>
    <m/>
    <m/>
    <m/>
    <m/>
    <m/>
    <m/>
    <m/>
    <m/>
    <m/>
    <m/>
    <n v="5"/>
  </r>
  <r>
    <x v="9"/>
    <x v="1"/>
    <n v="19857"/>
    <x v="1"/>
    <x v="0"/>
    <s v="SIMVASTATIN"/>
    <m/>
    <m/>
    <m/>
    <m/>
    <m/>
    <m/>
    <m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n v="1"/>
    <m/>
    <m/>
    <m/>
    <m/>
    <n v="1"/>
    <n v="9"/>
  </r>
  <r>
    <x v="9"/>
    <x v="1"/>
    <n v="21715"/>
    <x v="1"/>
    <x v="0"/>
    <s v="ATORVASTATIN CALCIUM"/>
    <m/>
    <n v="1"/>
    <m/>
    <m/>
    <m/>
    <n v="1"/>
    <m/>
    <m/>
    <n v="1"/>
    <m/>
    <m/>
    <m/>
    <m/>
    <m/>
    <m/>
    <n v="1"/>
    <m/>
    <m/>
    <m/>
    <n v="1"/>
    <m/>
    <m/>
    <n v="1"/>
    <m/>
    <m/>
    <m/>
    <n v="1"/>
    <m/>
    <m/>
    <m/>
    <m/>
    <m/>
    <n v="1"/>
    <m/>
    <m/>
    <n v="1"/>
    <m/>
    <m/>
    <m/>
    <m/>
    <n v="1"/>
    <m/>
    <m/>
    <n v="1"/>
    <m/>
    <m/>
    <n v="11"/>
  </r>
  <r>
    <x v="9"/>
    <x v="1"/>
    <n v="26265"/>
    <x v="1"/>
    <x v="0"/>
    <s v="ROSUVASTATIN CALCIUM"/>
    <m/>
    <m/>
    <m/>
    <m/>
    <m/>
    <m/>
    <m/>
    <n v="1"/>
    <m/>
    <m/>
    <m/>
    <m/>
    <m/>
    <m/>
    <n v="1"/>
    <m/>
    <m/>
    <m/>
    <m/>
    <m/>
    <m/>
    <m/>
    <m/>
    <n v="1"/>
    <m/>
    <m/>
    <m/>
    <m/>
    <m/>
    <m/>
    <m/>
    <n v="1"/>
    <m/>
    <m/>
    <m/>
    <m/>
    <m/>
    <m/>
    <m/>
    <n v="1"/>
    <m/>
    <m/>
    <m/>
    <m/>
    <m/>
    <m/>
    <n v="5"/>
  </r>
  <r>
    <x v="9"/>
    <x v="1"/>
    <n v="26476"/>
    <x v="1"/>
    <x v="0"/>
    <s v="ROSUVASTATIN CALCIUM"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4"/>
  </r>
  <r>
    <x v="9"/>
    <x v="1"/>
    <n v="26896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9"/>
    <x v="1"/>
    <n v="27114"/>
    <x v="1"/>
    <x v="0"/>
    <s v="ROSUVASTATIN CALCIUM"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</r>
  <r>
    <x v="9"/>
    <x v="1"/>
    <n v="27896"/>
    <x v="1"/>
    <x v="0"/>
    <s v="ROSUVASTATIN CALCIUM"/>
    <n v="1"/>
    <m/>
    <m/>
    <m/>
    <m/>
    <m/>
    <m/>
    <n v="1"/>
    <m/>
    <m/>
    <m/>
    <m/>
    <m/>
    <m/>
    <m/>
    <m/>
    <n v="1"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n v="5"/>
  </r>
  <r>
    <x v="9"/>
    <x v="1"/>
    <n v="27904"/>
    <x v="1"/>
    <x v="0"/>
    <s v="SIMVASTATIN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9"/>
    <x v="1"/>
    <n v="32387"/>
    <x v="1"/>
    <x v="0"/>
    <s v="SIMVASTATIN"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4"/>
  </r>
  <r>
    <x v="9"/>
    <x v="1"/>
    <n v="2472"/>
    <x v="0"/>
    <x v="0"/>
    <s v="ATORVASTATIN CALCIUM"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n v="11"/>
  </r>
  <r>
    <x v="9"/>
    <x v="1"/>
    <n v="8047"/>
    <x v="0"/>
    <x v="0"/>
    <s v="SIMVASTATIN"/>
    <m/>
    <m/>
    <m/>
    <m/>
    <m/>
    <m/>
    <n v="1"/>
    <m/>
    <m/>
    <m/>
    <m/>
    <m/>
    <m/>
    <m/>
    <m/>
    <m/>
    <m/>
    <m/>
    <m/>
    <m/>
    <m/>
    <m/>
    <m/>
    <n v="1"/>
    <m/>
    <m/>
    <m/>
    <m/>
    <n v="1"/>
    <m/>
    <m/>
    <m/>
    <m/>
    <n v="1"/>
    <m/>
    <m/>
    <m/>
    <n v="1"/>
    <m/>
    <m/>
    <n v="1"/>
    <m/>
    <m/>
    <m/>
    <m/>
    <m/>
    <n v="6"/>
  </r>
  <r>
    <x v="9"/>
    <x v="1"/>
    <n v="13804"/>
    <x v="0"/>
    <x v="0"/>
    <s v="ROSUVASTATIN CALCIUM"/>
    <m/>
    <m/>
    <n v="1"/>
    <m/>
    <m/>
    <n v="1"/>
    <m/>
    <m/>
    <m/>
    <m/>
    <n v="2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1"/>
    <m/>
    <m/>
    <m/>
    <m/>
    <n v="7"/>
  </r>
  <r>
    <x v="9"/>
    <x v="1"/>
    <n v="14748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n v="2"/>
    <m/>
    <m/>
    <m/>
    <m/>
    <m/>
    <n v="4"/>
  </r>
  <r>
    <x v="9"/>
    <x v="1"/>
    <n v="19412"/>
    <x v="0"/>
    <x v="0"/>
    <s v="SIMVASTATIN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9"/>
    <x v="1"/>
    <n v="4258"/>
    <x v="1"/>
    <x v="0"/>
    <s v="ATOR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9"/>
    <x v="1"/>
    <n v="5055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9"/>
    <x v="1"/>
    <n v="5696"/>
    <x v="1"/>
    <x v="0"/>
    <s v="ROSUVASTATIN CALCIUM"/>
    <m/>
    <n v="1"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1"/>
  </r>
  <r>
    <x v="9"/>
    <x v="1"/>
    <n v="5696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7732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9"/>
    <x v="1"/>
    <n v="8083"/>
    <x v="1"/>
    <x v="0"/>
    <s v="SIMVASTATIN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4"/>
  </r>
  <r>
    <x v="9"/>
    <x v="1"/>
    <n v="8614"/>
    <x v="1"/>
    <x v="0"/>
    <s v="ATORVASTATIN CALCIUM"/>
    <m/>
    <m/>
    <m/>
    <n v="1"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n v="5"/>
  </r>
  <r>
    <x v="9"/>
    <x v="1"/>
    <n v="9038"/>
    <x v="1"/>
    <x v="8"/>
    <s v="GEMFIBROZIL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n v="3"/>
  </r>
  <r>
    <x v="9"/>
    <x v="1"/>
    <n v="10794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9"/>
    <x v="1"/>
    <n v="14775"/>
    <x v="1"/>
    <x v="0"/>
    <s v="ROSUVASTATIN CALC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9"/>
    <x v="1"/>
    <n v="16580"/>
    <x v="1"/>
    <x v="0"/>
    <s v="ATORVASTATIN CALCIUM"/>
    <m/>
    <m/>
    <m/>
    <m/>
    <m/>
    <m/>
    <m/>
    <m/>
    <m/>
    <m/>
    <m/>
    <n v="2"/>
    <m/>
    <m/>
    <m/>
    <m/>
    <m/>
    <m/>
    <m/>
    <m/>
    <m/>
    <m/>
    <m/>
    <m/>
    <n v="1"/>
    <m/>
    <m/>
    <m/>
    <n v="1"/>
    <m/>
    <m/>
    <m/>
    <m/>
    <m/>
    <m/>
    <m/>
    <m/>
    <m/>
    <m/>
    <n v="1"/>
    <m/>
    <m/>
    <m/>
    <m/>
    <m/>
    <m/>
    <n v="5"/>
  </r>
  <r>
    <x v="9"/>
    <x v="1"/>
    <n v="22291"/>
    <x v="1"/>
    <x v="0"/>
    <s v="ATORVASTATIN CALCIUM"/>
    <m/>
    <m/>
    <m/>
    <m/>
    <m/>
    <m/>
    <m/>
    <m/>
    <m/>
    <m/>
    <m/>
    <m/>
    <n v="1"/>
    <m/>
    <m/>
    <m/>
    <m/>
    <m/>
    <n v="1"/>
    <m/>
    <m/>
    <m/>
    <n v="1"/>
    <m/>
    <m/>
    <m/>
    <m/>
    <m/>
    <n v="2"/>
    <m/>
    <m/>
    <n v="1"/>
    <n v="1"/>
    <n v="2"/>
    <m/>
    <n v="1"/>
    <m/>
    <m/>
    <m/>
    <n v="2"/>
    <m/>
    <m/>
    <m/>
    <m/>
    <m/>
    <n v="1"/>
    <n v="13"/>
  </r>
  <r>
    <x v="9"/>
    <x v="1"/>
    <n v="27144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9"/>
    <x v="1"/>
    <n v="29599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9"/>
    <x v="1"/>
    <n v="32709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10"/>
    <x v="1"/>
    <n v="964"/>
    <x v="0"/>
    <x v="0"/>
    <s v="AMLODIPINE/ATORVASTATIN"/>
    <m/>
    <m/>
    <m/>
    <m/>
    <m/>
    <m/>
    <m/>
    <n v="1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4"/>
  </r>
  <r>
    <x v="10"/>
    <x v="1"/>
    <n v="1926"/>
    <x v="0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4260"/>
    <x v="0"/>
    <x v="0"/>
    <s v="PRAVASTATIN SODIUM"/>
    <n v="1"/>
    <m/>
    <m/>
    <n v="1"/>
    <m/>
    <m/>
    <m/>
    <n v="1"/>
    <m/>
    <m/>
    <m/>
    <n v="1"/>
    <m/>
    <m/>
    <m/>
    <n v="1"/>
    <m/>
    <m/>
    <m/>
    <m/>
    <n v="1"/>
    <m/>
    <n v="1"/>
    <m/>
    <m/>
    <m/>
    <m/>
    <n v="1"/>
    <m/>
    <m/>
    <n v="1"/>
    <m/>
    <m/>
    <m/>
    <n v="1"/>
    <m/>
    <m/>
    <m/>
    <n v="1"/>
    <m/>
    <m/>
    <m/>
    <n v="1"/>
    <m/>
    <m/>
    <m/>
    <n v="12"/>
  </r>
  <r>
    <x v="10"/>
    <x v="1"/>
    <n v="8058"/>
    <x v="0"/>
    <x v="0"/>
    <s v="SIMVASTATIN"/>
    <m/>
    <m/>
    <m/>
    <m/>
    <m/>
    <n v="1"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n v="3"/>
  </r>
  <r>
    <x v="10"/>
    <x v="1"/>
    <n v="8655"/>
    <x v="0"/>
    <x v="3"/>
    <s v="ESOMEPRAZOLE MAGNES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10"/>
    <x v="1"/>
    <n v="876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8832"/>
    <x v="0"/>
    <x v="3"/>
    <s v="RABEPRAZOLE SODIUM"/>
    <m/>
    <m/>
    <m/>
    <m/>
    <m/>
    <m/>
    <m/>
    <m/>
    <m/>
    <m/>
    <m/>
    <m/>
    <m/>
    <m/>
    <m/>
    <m/>
    <m/>
    <n v="1"/>
    <m/>
    <m/>
    <n v="1"/>
    <m/>
    <m/>
    <m/>
    <n v="1"/>
    <m/>
    <m/>
    <m/>
    <m/>
    <m/>
    <m/>
    <m/>
    <m/>
    <n v="2"/>
    <m/>
    <m/>
    <m/>
    <m/>
    <m/>
    <m/>
    <m/>
    <m/>
    <m/>
    <m/>
    <m/>
    <m/>
    <n v="5"/>
  </r>
  <r>
    <x v="10"/>
    <x v="1"/>
    <n v="9352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0"/>
    <x v="1"/>
    <n v="10927"/>
    <x v="0"/>
    <x v="0"/>
    <s v="SIMVASTATIN"/>
    <n v="1"/>
    <m/>
    <m/>
    <m/>
    <m/>
    <m/>
    <m/>
    <m/>
    <m/>
    <m/>
    <m/>
    <m/>
    <m/>
    <n v="1"/>
    <m/>
    <m/>
    <m/>
    <m/>
    <m/>
    <m/>
    <m/>
    <n v="1"/>
    <m/>
    <m/>
    <m/>
    <m/>
    <m/>
    <m/>
    <n v="3"/>
    <m/>
    <m/>
    <m/>
    <m/>
    <m/>
    <m/>
    <m/>
    <m/>
    <m/>
    <m/>
    <m/>
    <m/>
    <m/>
    <n v="2"/>
    <m/>
    <m/>
    <m/>
    <n v="8"/>
  </r>
  <r>
    <x v="10"/>
    <x v="1"/>
    <n v="1191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3783"/>
    <x v="0"/>
    <x v="3"/>
    <s v="RABEPRAZOLE SODIUM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n v="1"/>
    <m/>
    <n v="1"/>
    <m/>
    <m/>
    <m/>
    <n v="1"/>
    <m/>
    <m/>
    <m/>
    <n v="1"/>
    <m/>
    <m/>
    <m/>
    <n v="1"/>
    <m/>
    <m/>
    <m/>
    <n v="1"/>
    <n v="12"/>
  </r>
  <r>
    <x v="10"/>
    <x v="1"/>
    <n v="18077"/>
    <x v="0"/>
    <x v="0"/>
    <s v="ATORVASTATIN CALCIUM"/>
    <m/>
    <n v="1"/>
    <m/>
    <n v="1"/>
    <m/>
    <n v="1"/>
    <m/>
    <n v="1"/>
    <m/>
    <m/>
    <m/>
    <n v="1"/>
    <m/>
    <m/>
    <m/>
    <n v="2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n v="22"/>
  </r>
  <r>
    <x v="10"/>
    <x v="1"/>
    <n v="23469"/>
    <x v="0"/>
    <x v="1"/>
    <s v="RANITIDINE HCL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n v="4"/>
  </r>
  <r>
    <x v="10"/>
    <x v="1"/>
    <n v="2778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32131"/>
    <x v="0"/>
    <x v="0"/>
    <s v="ROSUVASTATIN CALCIUM"/>
    <m/>
    <m/>
    <m/>
    <m/>
    <m/>
    <n v="1"/>
    <m/>
    <m/>
    <m/>
    <m/>
    <m/>
    <m/>
    <m/>
    <m/>
    <m/>
    <m/>
    <m/>
    <m/>
    <n v="1"/>
    <m/>
    <m/>
    <m/>
    <m/>
    <m/>
    <m/>
    <m/>
    <m/>
    <n v="1"/>
    <m/>
    <m/>
    <m/>
    <n v="1"/>
    <m/>
    <m/>
    <m/>
    <m/>
    <m/>
    <m/>
    <m/>
    <m/>
    <m/>
    <m/>
    <m/>
    <m/>
    <n v="1"/>
    <m/>
    <n v="5"/>
  </r>
  <r>
    <x v="10"/>
    <x v="1"/>
    <n v="1318"/>
    <x v="1"/>
    <x v="0"/>
    <s v="ATORVASTATIN CALCIUM"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</r>
  <r>
    <x v="10"/>
    <x v="1"/>
    <n v="4066"/>
    <x v="1"/>
    <x v="8"/>
    <s v="FENOFIBRATE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n v="4"/>
  </r>
  <r>
    <x v="10"/>
    <x v="1"/>
    <n v="4066"/>
    <x v="1"/>
    <x v="8"/>
    <s v="FENOFIBRATE, MICROCOAT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0"/>
    <x v="1"/>
    <n v="4340"/>
    <x v="1"/>
    <x v="0"/>
    <s v="ATORVASTATIN CALC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10"/>
    <x v="1"/>
    <n v="4482"/>
    <x v="1"/>
    <x v="1"/>
    <s v="CIMETIDINE"/>
    <m/>
    <m/>
    <n v="1"/>
    <m/>
    <m/>
    <m/>
    <m/>
    <m/>
    <m/>
    <m/>
    <m/>
    <m/>
    <m/>
    <m/>
    <m/>
    <n v="1"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m/>
    <n v="5"/>
  </r>
  <r>
    <x v="10"/>
    <x v="1"/>
    <n v="448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6085"/>
    <x v="1"/>
    <x v="8"/>
    <s v="FENOFIBRATE, MICROCOATED"/>
    <m/>
    <m/>
    <m/>
    <m/>
    <m/>
    <n v="1"/>
    <m/>
    <m/>
    <m/>
    <m/>
    <m/>
    <n v="1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4"/>
  </r>
  <r>
    <x v="10"/>
    <x v="1"/>
    <n v="6085"/>
    <x v="1"/>
    <x v="0"/>
    <s v="ATORVASTATIN CALCIUM"/>
    <m/>
    <n v="2"/>
    <m/>
    <m/>
    <m/>
    <n v="1"/>
    <m/>
    <m/>
    <m/>
    <m/>
    <m/>
    <n v="1"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n v="8"/>
  </r>
  <r>
    <x v="10"/>
    <x v="1"/>
    <n v="647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0"/>
    <x v="1"/>
    <n v="8291"/>
    <x v="1"/>
    <x v="0"/>
    <s v="ATOR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3"/>
  </r>
  <r>
    <x v="10"/>
    <x v="1"/>
    <n v="8390"/>
    <x v="1"/>
    <x v="0"/>
    <s v="ROSUVASTATIN CALCIUM"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4"/>
  </r>
  <r>
    <x v="10"/>
    <x v="1"/>
    <n v="8444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3"/>
  </r>
  <r>
    <x v="10"/>
    <x v="1"/>
    <n v="10443"/>
    <x v="1"/>
    <x v="0"/>
    <s v="ATORVASTATIN CALCIUM"/>
    <m/>
    <m/>
    <m/>
    <n v="1"/>
    <m/>
    <m/>
    <m/>
    <n v="1"/>
    <m/>
    <m/>
    <m/>
    <m/>
    <m/>
    <m/>
    <m/>
    <n v="2"/>
    <m/>
    <m/>
    <m/>
    <m/>
    <m/>
    <m/>
    <m/>
    <m/>
    <n v="1"/>
    <m/>
    <m/>
    <m/>
    <m/>
    <m/>
    <m/>
    <n v="1"/>
    <m/>
    <m/>
    <m/>
    <m/>
    <m/>
    <m/>
    <n v="1"/>
    <m/>
    <m/>
    <m/>
    <m/>
    <m/>
    <n v="1"/>
    <m/>
    <n v="8"/>
  </r>
  <r>
    <x v="10"/>
    <x v="1"/>
    <n v="1169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1"/>
    <m/>
    <m/>
    <m/>
    <n v="1"/>
    <m/>
    <m/>
    <m/>
    <m/>
    <n v="4"/>
  </r>
  <r>
    <x v="10"/>
    <x v="1"/>
    <n v="11693"/>
    <x v="1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6767"/>
    <x v="1"/>
    <x v="3"/>
    <s v="PANTOPRAZOLE SODIUM"/>
    <m/>
    <m/>
    <m/>
    <m/>
    <m/>
    <m/>
    <m/>
    <m/>
    <m/>
    <n v="2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0"/>
    <x v="1"/>
    <n v="18260"/>
    <x v="1"/>
    <x v="0"/>
    <s v="ATORVASTATIN CALCIUM"/>
    <m/>
    <m/>
    <m/>
    <m/>
    <m/>
    <m/>
    <m/>
    <m/>
    <n v="1"/>
    <m/>
    <m/>
    <m/>
    <n v="1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4"/>
  </r>
  <r>
    <x v="10"/>
    <x v="1"/>
    <n v="33338"/>
    <x v="1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0"/>
    <x v="1"/>
    <n v="1156"/>
    <x v="0"/>
    <x v="1"/>
    <s v="RANITIDINE HCL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10"/>
    <x v="1"/>
    <n v="1571"/>
    <x v="0"/>
    <x v="3"/>
    <s v="RABEPRAZOLE SODIUM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</r>
  <r>
    <x v="10"/>
    <x v="1"/>
    <n v="5560"/>
    <x v="0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4"/>
  </r>
  <r>
    <x v="10"/>
    <x v="1"/>
    <n v="7887"/>
    <x v="0"/>
    <x v="3"/>
    <s v="ESOMEPRAZOLE MAGNESIUM"/>
    <n v="1"/>
    <m/>
    <m/>
    <m/>
    <m/>
    <m/>
    <m/>
    <n v="1"/>
    <m/>
    <m/>
    <n v="1"/>
    <m/>
    <m/>
    <m/>
    <m/>
    <m/>
    <n v="1"/>
    <m/>
    <m/>
    <m/>
    <m/>
    <n v="1"/>
    <m/>
    <m/>
    <m/>
    <m/>
    <m/>
    <m/>
    <m/>
    <n v="1"/>
    <m/>
    <m/>
    <m/>
    <m/>
    <m/>
    <m/>
    <m/>
    <m/>
    <m/>
    <m/>
    <m/>
    <m/>
    <n v="1"/>
    <m/>
    <m/>
    <m/>
    <n v="7"/>
  </r>
  <r>
    <x v="10"/>
    <x v="1"/>
    <n v="8103"/>
    <x v="0"/>
    <x v="3"/>
    <s v="RABEPRAZOLE SOD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  <m/>
    <m/>
    <m/>
    <n v="3"/>
  </r>
  <r>
    <x v="10"/>
    <x v="1"/>
    <n v="8175"/>
    <x v="0"/>
    <x v="0"/>
    <s v="LOVASTATIN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10"/>
    <x v="1"/>
    <n v="9483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10"/>
    <x v="1"/>
    <n v="9590"/>
    <x v="0"/>
    <x v="3"/>
    <s v="RABEPRAZOLE SODIUM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</r>
  <r>
    <x v="10"/>
    <x v="1"/>
    <n v="9987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10"/>
    <x v="1"/>
    <n v="12788"/>
    <x v="0"/>
    <x v="3"/>
    <s v="PANTO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2"/>
  </r>
  <r>
    <x v="10"/>
    <x v="1"/>
    <n v="14788"/>
    <x v="0"/>
    <x v="3"/>
    <s v="LANSOPRAZOLE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1478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4788"/>
    <x v="0"/>
    <x v="3"/>
    <s v="PANTOPRAZOLE SODIUM"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n v="2"/>
  </r>
  <r>
    <x v="10"/>
    <x v="1"/>
    <n v="15702"/>
    <x v="0"/>
    <x v="3"/>
    <s v="RABEPRAZOLE SOD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10"/>
    <x v="1"/>
    <n v="16709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7553"/>
    <x v="0"/>
    <x v="3"/>
    <s v="LANSOPRAZOLE"/>
    <m/>
    <m/>
    <m/>
    <m/>
    <m/>
    <m/>
    <m/>
    <n v="1"/>
    <m/>
    <m/>
    <m/>
    <m/>
    <n v="1"/>
    <m/>
    <m/>
    <m/>
    <n v="3"/>
    <m/>
    <m/>
    <m/>
    <m/>
    <m/>
    <m/>
    <m/>
    <m/>
    <m/>
    <m/>
    <n v="2"/>
    <m/>
    <m/>
    <m/>
    <m/>
    <n v="4"/>
    <m/>
    <m/>
    <m/>
    <m/>
    <m/>
    <m/>
    <m/>
    <m/>
    <m/>
    <m/>
    <m/>
    <m/>
    <m/>
    <n v="11"/>
  </r>
  <r>
    <x v="10"/>
    <x v="1"/>
    <n v="813"/>
    <x v="1"/>
    <x v="0"/>
    <s v="ATORVASTATIN CALCIUM"/>
    <m/>
    <m/>
    <m/>
    <n v="1"/>
    <m/>
    <m/>
    <m/>
    <m/>
    <n v="3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</r>
  <r>
    <x v="10"/>
    <x v="1"/>
    <n v="1988"/>
    <x v="1"/>
    <x v="0"/>
    <s v="SIMVASTATIN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  <m/>
    <m/>
    <m/>
    <m/>
    <n v="5"/>
  </r>
  <r>
    <x v="10"/>
    <x v="1"/>
    <n v="2100"/>
    <x v="1"/>
    <x v="1"/>
    <s v="RANITIDINE HCL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3734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10"/>
    <x v="1"/>
    <n v="4259"/>
    <x v="1"/>
    <x v="0"/>
    <s v="ATORVASTATIN CALCIUM"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m/>
    <m/>
    <n v="1"/>
    <m/>
    <m/>
    <m/>
    <n v="1"/>
    <m/>
    <m/>
    <m/>
    <n v="2"/>
    <m/>
    <m/>
    <m/>
    <n v="1"/>
    <m/>
    <m/>
    <n v="1"/>
    <m/>
    <n v="12"/>
  </r>
  <r>
    <x v="10"/>
    <x v="1"/>
    <n v="4804"/>
    <x v="1"/>
    <x v="0"/>
    <s v="ATORVASTATIN CALCIUM"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3"/>
  </r>
  <r>
    <x v="10"/>
    <x v="1"/>
    <n v="563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n v="2"/>
  </r>
  <r>
    <x v="10"/>
    <x v="1"/>
    <n v="5918"/>
    <x v="1"/>
    <x v="0"/>
    <s v="ATORVASTATIN CALCIUM"/>
    <m/>
    <n v="1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4"/>
  </r>
  <r>
    <x v="10"/>
    <x v="1"/>
    <n v="6395"/>
    <x v="1"/>
    <x v="0"/>
    <s v="ATORVASTATIN CALCIUM"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1"/>
    <m/>
    <m/>
    <m/>
    <m/>
    <n v="5"/>
  </r>
  <r>
    <x v="10"/>
    <x v="1"/>
    <n v="6691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n v="4"/>
  </r>
  <r>
    <x v="10"/>
    <x v="1"/>
    <n v="6691"/>
    <x v="1"/>
    <x v="9"/>
    <s v="CHOLESTYRAMINE/ASPARTAME"/>
    <m/>
    <m/>
    <m/>
    <m/>
    <m/>
    <m/>
    <m/>
    <m/>
    <n v="1"/>
    <m/>
    <m/>
    <m/>
    <n v="1"/>
    <m/>
    <m/>
    <m/>
    <n v="2"/>
    <m/>
    <m/>
    <m/>
    <m/>
    <m/>
    <m/>
    <n v="2"/>
    <m/>
    <m/>
    <m/>
    <m/>
    <m/>
    <n v="2"/>
    <m/>
    <m/>
    <m/>
    <m/>
    <m/>
    <n v="1"/>
    <m/>
    <m/>
    <m/>
    <m/>
    <m/>
    <n v="1"/>
    <m/>
    <m/>
    <m/>
    <m/>
    <n v="10"/>
  </r>
  <r>
    <x v="10"/>
    <x v="1"/>
    <n v="7190"/>
    <x v="1"/>
    <x v="3"/>
    <s v="RABEPRAZOLE SODIUM"/>
    <m/>
    <n v="1"/>
    <m/>
    <m/>
    <m/>
    <m/>
    <n v="1"/>
    <m/>
    <m/>
    <m/>
    <m/>
    <m/>
    <n v="1"/>
    <m/>
    <n v="1"/>
    <m/>
    <m/>
    <m/>
    <m/>
    <m/>
    <m/>
    <n v="1"/>
    <m/>
    <m/>
    <m/>
    <m/>
    <m/>
    <m/>
    <n v="1"/>
    <m/>
    <m/>
    <m/>
    <m/>
    <m/>
    <m/>
    <n v="1"/>
    <m/>
    <m/>
    <m/>
    <m/>
    <m/>
    <m/>
    <n v="1"/>
    <m/>
    <m/>
    <m/>
    <n v="8"/>
  </r>
  <r>
    <x v="10"/>
    <x v="1"/>
    <n v="7373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7533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10"/>
    <x v="1"/>
    <n v="7533"/>
    <x v="1"/>
    <x v="6"/>
    <s v="EZETIMIBE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10"/>
    <x v="1"/>
    <n v="798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0"/>
    <x v="1"/>
    <n v="8170"/>
    <x v="1"/>
    <x v="0"/>
    <s v="ATORVASTATIN CALCIUM"/>
    <n v="1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4"/>
  </r>
  <r>
    <x v="10"/>
    <x v="1"/>
    <n v="8565"/>
    <x v="1"/>
    <x v="0"/>
    <s v="FLUVASTATIN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m/>
    <m/>
    <m/>
    <m/>
    <m/>
    <m/>
    <m/>
    <m/>
    <m/>
    <m/>
    <m/>
    <n v="36"/>
  </r>
  <r>
    <x v="10"/>
    <x v="1"/>
    <n v="876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8958"/>
    <x v="1"/>
    <x v="0"/>
    <s v="ATORVASTATIN CALCIUM"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4"/>
  </r>
  <r>
    <x v="10"/>
    <x v="1"/>
    <n v="915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0"/>
    <x v="1"/>
    <n v="9346"/>
    <x v="1"/>
    <x v="0"/>
    <s v="ATORVASTATIN CALCIUM"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0"/>
    <x v="1"/>
    <n v="9346"/>
    <x v="1"/>
    <x v="3"/>
    <s v="RABEPRAZOLE SODIUM"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n v="3"/>
  </r>
  <r>
    <x v="10"/>
    <x v="1"/>
    <n v="11661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3"/>
  </r>
  <r>
    <x v="10"/>
    <x v="1"/>
    <n v="11661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  <m/>
    <m/>
    <m/>
    <n v="2"/>
    <m/>
    <m/>
    <m/>
    <m/>
    <n v="1"/>
    <m/>
    <n v="6"/>
  </r>
  <r>
    <x v="10"/>
    <x v="1"/>
    <n v="13303"/>
    <x v="1"/>
    <x v="0"/>
    <s v="ATORVASTATIN CALCIUM"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n v="3"/>
  </r>
  <r>
    <x v="10"/>
    <x v="1"/>
    <n v="13303"/>
    <x v="1"/>
    <x v="3"/>
    <s v="PANTOPRAZOLE MAGNESIUM"/>
    <m/>
    <m/>
    <m/>
    <m/>
    <m/>
    <n v="1"/>
    <m/>
    <m/>
    <m/>
    <m/>
    <n v="2"/>
    <m/>
    <m/>
    <m/>
    <m/>
    <m/>
    <n v="1"/>
    <m/>
    <m/>
    <m/>
    <m/>
    <m/>
    <m/>
    <m/>
    <m/>
    <m/>
    <n v="1"/>
    <m/>
    <m/>
    <m/>
    <m/>
    <m/>
    <m/>
    <m/>
    <m/>
    <m/>
    <m/>
    <m/>
    <m/>
    <n v="1"/>
    <m/>
    <m/>
    <m/>
    <m/>
    <n v="1"/>
    <m/>
    <n v="7"/>
  </r>
  <r>
    <x v="10"/>
    <x v="1"/>
    <n v="1330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0"/>
    <x v="1"/>
    <n v="17592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2044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n v="2"/>
  </r>
  <r>
    <x v="10"/>
    <x v="1"/>
    <n v="2310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23103"/>
    <x v="1"/>
    <x v="3"/>
    <s v="ESOMEPRAZOLE MAGNES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23103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32686"/>
    <x v="1"/>
    <x v="0"/>
    <s v="SIMVASTATIN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0"/>
    <x v="1"/>
    <n v="32867"/>
    <x v="1"/>
    <x v="9"/>
    <s v="CHOLESTYRAMINE (WITH SUGAR)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12879"/>
    <x v="0"/>
    <x v="1"/>
    <s v="RANITIDINE HCL"/>
    <m/>
    <m/>
    <m/>
    <n v="1"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0"/>
    <x v="1"/>
    <n v="131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318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456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456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n v="2"/>
  </r>
  <r>
    <x v="10"/>
    <x v="1"/>
    <n v="4567"/>
    <x v="0"/>
    <x v="3"/>
    <s v="RABEPRAZOLE SODIUM"/>
    <n v="2"/>
    <m/>
    <m/>
    <m/>
    <m/>
    <m/>
    <m/>
    <m/>
    <n v="1"/>
    <m/>
    <m/>
    <m/>
    <n v="1"/>
    <m/>
    <m/>
    <m/>
    <m/>
    <n v="2"/>
    <n v="1"/>
    <m/>
    <n v="1"/>
    <m/>
    <m/>
    <m/>
    <m/>
    <m/>
    <m/>
    <m/>
    <m/>
    <n v="1"/>
    <m/>
    <m/>
    <m/>
    <m/>
    <n v="2"/>
    <m/>
    <m/>
    <m/>
    <m/>
    <m/>
    <n v="2"/>
    <m/>
    <m/>
    <m/>
    <m/>
    <n v="1"/>
    <n v="14"/>
  </r>
  <r>
    <x v="10"/>
    <x v="1"/>
    <n v="8175"/>
    <x v="0"/>
    <x v="3"/>
    <s v="RABE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948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9483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0"/>
    <x v="1"/>
    <n v="9483"/>
    <x v="0"/>
    <x v="3"/>
    <s v="OME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948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n v="1"/>
    <m/>
    <m/>
    <m/>
    <n v="1"/>
    <m/>
    <m/>
    <m/>
    <n v="4"/>
  </r>
  <r>
    <x v="10"/>
    <x v="1"/>
    <n v="1670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487"/>
    <x v="1"/>
    <x v="3"/>
    <s v="ESOMEPRAZOLE MAGNES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7352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n v="1"/>
    <m/>
    <m/>
    <m/>
    <m/>
    <m/>
    <n v="4"/>
  </r>
  <r>
    <x v="10"/>
    <x v="1"/>
    <n v="13721"/>
    <x v="1"/>
    <x v="3"/>
    <s v="LANSOPRAZOLE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10"/>
    <x v="1"/>
    <n v="13736"/>
    <x v="1"/>
    <x v="3"/>
    <s v="RABEPRAZOLE SOD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3"/>
  </r>
  <r>
    <x v="10"/>
    <x v="1"/>
    <n v="9987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10"/>
    <x v="1"/>
    <n v="30931"/>
    <x v="0"/>
    <x v="3"/>
    <s v="RABE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0"/>
    <x v="1"/>
    <n v="3734"/>
    <x v="1"/>
    <x v="3"/>
    <s v="RABEPRAZOLE SODIUM"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4"/>
  </r>
  <r>
    <x v="10"/>
    <x v="1"/>
    <n v="4259"/>
    <x v="1"/>
    <x v="3"/>
    <s v="LANSOPRAZOLE"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m/>
    <m/>
    <n v="1"/>
    <m/>
    <m/>
    <m/>
    <n v="1"/>
    <m/>
    <m/>
    <m/>
    <n v="1"/>
    <m/>
    <m/>
    <m/>
    <n v="1"/>
    <m/>
    <m/>
    <n v="1"/>
    <m/>
    <n v="11"/>
  </r>
  <r>
    <x v="10"/>
    <x v="1"/>
    <n v="4804"/>
    <x v="1"/>
    <x v="1"/>
    <s v="RANITIDINE HCL"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3"/>
  </r>
  <r>
    <x v="10"/>
    <x v="1"/>
    <n v="4804"/>
    <x v="1"/>
    <x v="3"/>
    <s v="ESOMEPRAZOLE MAGNESIUM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0"/>
    <x v="1"/>
    <n v="8565"/>
    <x v="1"/>
    <x v="3"/>
    <s v="RABE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3"/>
    <n v="1"/>
    <m/>
    <m/>
    <m/>
    <m/>
    <m/>
    <m/>
    <m/>
    <m/>
    <m/>
    <m/>
    <m/>
    <n v="38"/>
  </r>
  <r>
    <x v="10"/>
    <x v="1"/>
    <n v="32867"/>
    <x v="1"/>
    <x v="3"/>
    <s v="PANTOPRAZOLE MAGNESIUM"/>
    <m/>
    <m/>
    <m/>
    <m/>
    <m/>
    <m/>
    <m/>
    <m/>
    <n v="1"/>
    <m/>
    <m/>
    <m/>
    <m/>
    <n v="1"/>
    <m/>
    <m/>
    <m/>
    <m/>
    <m/>
    <n v="1"/>
    <m/>
    <m/>
    <m/>
    <m/>
    <m/>
    <m/>
    <m/>
    <m/>
    <n v="2"/>
    <m/>
    <m/>
    <m/>
    <m/>
    <m/>
    <m/>
    <m/>
    <m/>
    <n v="1"/>
    <m/>
    <m/>
    <m/>
    <m/>
    <m/>
    <m/>
    <m/>
    <m/>
    <n v="6"/>
  </r>
  <r>
    <x v="10"/>
    <x v="1"/>
    <n v="4340"/>
    <x v="1"/>
    <x v="3"/>
    <s v="RABE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1826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0"/>
    <x v="1"/>
    <n v="7614"/>
    <x v="1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8170"/>
    <x v="1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1166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1"/>
    <m/>
    <m/>
    <m/>
    <m/>
    <n v="1"/>
    <m/>
    <n v="4"/>
  </r>
  <r>
    <x v="10"/>
    <x v="1"/>
    <n v="4639"/>
    <x v="0"/>
    <x v="0"/>
    <s v="ATORVASTATIN CALCIUM"/>
    <m/>
    <n v="1"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n v="5"/>
  </r>
  <r>
    <x v="10"/>
    <x v="1"/>
    <n v="9352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2"/>
  </r>
  <r>
    <x v="10"/>
    <x v="1"/>
    <n v="12879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n v="2"/>
  </r>
  <r>
    <x v="10"/>
    <x v="1"/>
    <n v="14546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0"/>
    <x v="1"/>
    <n v="15082"/>
    <x v="0"/>
    <x v="0"/>
    <s v="PRAVASTATIN SOD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3"/>
  </r>
  <r>
    <x v="10"/>
    <x v="1"/>
    <n v="15112"/>
    <x v="0"/>
    <x v="0"/>
    <s v="SIMVASTATIN"/>
    <m/>
    <m/>
    <n v="1"/>
    <m/>
    <m/>
    <n v="1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5"/>
  </r>
  <r>
    <x v="10"/>
    <x v="1"/>
    <n v="931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3"/>
  </r>
  <r>
    <x v="10"/>
    <x v="1"/>
    <n v="2017"/>
    <x v="1"/>
    <x v="8"/>
    <s v="FENOFIBRATE, MICRONIZED"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3"/>
  </r>
  <r>
    <x v="10"/>
    <x v="1"/>
    <n v="4194"/>
    <x v="1"/>
    <x v="0"/>
    <s v="ATORVASTATIN CALCIUM"/>
    <m/>
    <m/>
    <n v="1"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3"/>
  </r>
  <r>
    <x v="10"/>
    <x v="1"/>
    <n v="4482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6543"/>
    <x v="1"/>
    <x v="0"/>
    <s v="ATORVASTATIN CALCIUM"/>
    <m/>
    <m/>
    <n v="2"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n v="6"/>
  </r>
  <r>
    <x v="10"/>
    <x v="1"/>
    <n v="6689"/>
    <x v="1"/>
    <x v="0"/>
    <s v="SIMVASTATIN"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0"/>
    <x v="1"/>
    <n v="9033"/>
    <x v="1"/>
    <x v="0"/>
    <s v="ROSU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1"/>
    <m/>
    <m/>
    <n v="4"/>
  </r>
  <r>
    <x v="10"/>
    <x v="1"/>
    <n v="9395"/>
    <x v="1"/>
    <x v="0"/>
    <s v="SIMVASTATIN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3"/>
  </r>
  <r>
    <x v="10"/>
    <x v="1"/>
    <n v="10505"/>
    <x v="1"/>
    <x v="0"/>
    <s v="ROSUVASTATIN CALCIUM"/>
    <m/>
    <n v="1"/>
    <m/>
    <m/>
    <m/>
    <m/>
    <n v="1"/>
    <m/>
    <m/>
    <m/>
    <m/>
    <n v="1"/>
    <m/>
    <m/>
    <m/>
    <n v="1"/>
    <m/>
    <m/>
    <m/>
    <m/>
    <n v="1"/>
    <m/>
    <m/>
    <m/>
    <m/>
    <n v="1"/>
    <m/>
    <m/>
    <m/>
    <m/>
    <n v="1"/>
    <m/>
    <m/>
    <m/>
    <m/>
    <n v="1"/>
    <m/>
    <m/>
    <n v="1"/>
    <m/>
    <m/>
    <m/>
    <m/>
    <m/>
    <n v="1"/>
    <m/>
    <n v="10"/>
  </r>
  <r>
    <x v="10"/>
    <x v="1"/>
    <n v="14764"/>
    <x v="1"/>
    <x v="0"/>
    <s v="SIMVASTATIN"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2"/>
  </r>
  <r>
    <x v="10"/>
    <x v="1"/>
    <n v="19458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10"/>
    <x v="1"/>
    <n v="1999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21240"/>
    <x v="1"/>
    <x v="0"/>
    <s v="ATOR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3"/>
  </r>
  <r>
    <x v="10"/>
    <x v="1"/>
    <n v="22515"/>
    <x v="1"/>
    <x v="8"/>
    <s v="FENOFIBRATE, MICROCOATED"/>
    <m/>
    <m/>
    <m/>
    <m/>
    <n v="1"/>
    <m/>
    <m/>
    <m/>
    <m/>
    <m/>
    <m/>
    <m/>
    <n v="1"/>
    <m/>
    <m/>
    <m/>
    <m/>
    <m/>
    <m/>
    <m/>
    <n v="1"/>
    <m/>
    <m/>
    <n v="1"/>
    <m/>
    <m/>
    <m/>
    <m/>
    <m/>
    <m/>
    <m/>
    <m/>
    <m/>
    <m/>
    <n v="1"/>
    <m/>
    <m/>
    <m/>
    <m/>
    <m/>
    <m/>
    <m/>
    <m/>
    <n v="1"/>
    <m/>
    <m/>
    <n v="6"/>
  </r>
  <r>
    <x v="10"/>
    <x v="1"/>
    <n v="22515"/>
    <x v="1"/>
    <x v="0"/>
    <s v="ATORVASTATIN CALCIUM"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n v="2"/>
  </r>
  <r>
    <x v="10"/>
    <x v="1"/>
    <n v="5560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7887"/>
    <x v="0"/>
    <x v="0"/>
    <s v="LOVASTATIN"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10"/>
    <x v="1"/>
    <n v="9590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278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n v="3"/>
  </r>
  <r>
    <x v="10"/>
    <x v="1"/>
    <n v="172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3"/>
  </r>
  <r>
    <x v="10"/>
    <x v="1"/>
    <n v="6334"/>
    <x v="1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10"/>
    <x v="1"/>
    <n v="6334"/>
    <x v="1"/>
    <x v="6"/>
    <s v="EZETIMIBE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10"/>
    <x v="1"/>
    <n v="16566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</r>
  <r>
    <x v="10"/>
    <x v="1"/>
    <n v="23103"/>
    <x v="1"/>
    <x v="0"/>
    <s v="ATORVASTATIN CALCIUM"/>
    <m/>
    <m/>
    <n v="1"/>
    <m/>
    <m/>
    <m/>
    <m/>
    <m/>
    <m/>
    <m/>
    <m/>
    <m/>
    <m/>
    <m/>
    <m/>
    <m/>
    <m/>
    <n v="1"/>
    <m/>
    <m/>
    <m/>
    <m/>
    <n v="1"/>
    <n v="1"/>
    <m/>
    <m/>
    <m/>
    <m/>
    <m/>
    <m/>
    <m/>
    <m/>
    <m/>
    <m/>
    <m/>
    <m/>
    <m/>
    <m/>
    <m/>
    <m/>
    <m/>
    <m/>
    <m/>
    <m/>
    <m/>
    <n v="3"/>
    <n v="7"/>
  </r>
  <r>
    <x v="11"/>
    <x v="1"/>
    <n v="262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369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431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2"/>
  </r>
  <r>
    <x v="11"/>
    <x v="1"/>
    <n v="4371"/>
    <x v="0"/>
    <x v="0"/>
    <s v="ROSUVASTATIN CALCIUM"/>
    <m/>
    <n v="1"/>
    <m/>
    <m/>
    <m/>
    <m/>
    <m/>
    <m/>
    <m/>
    <m/>
    <m/>
    <m/>
    <n v="2"/>
    <m/>
    <m/>
    <m/>
    <m/>
    <m/>
    <m/>
    <m/>
    <n v="1"/>
    <m/>
    <m/>
    <m/>
    <m/>
    <m/>
    <m/>
    <n v="1"/>
    <m/>
    <m/>
    <m/>
    <m/>
    <m/>
    <m/>
    <n v="1"/>
    <m/>
    <m/>
    <m/>
    <m/>
    <m/>
    <m/>
    <n v="1"/>
    <m/>
    <m/>
    <m/>
    <m/>
    <n v="7"/>
  </r>
  <r>
    <x v="11"/>
    <x v="1"/>
    <n v="5286"/>
    <x v="0"/>
    <x v="3"/>
    <s v="RABEPRAZOLE SODIUM"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1"/>
    <x v="1"/>
    <n v="6186"/>
    <x v="0"/>
    <x v="3"/>
    <s v="OMEPRAZOLE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6186"/>
    <x v="0"/>
    <x v="3"/>
    <s v="OMEPRAZOLE MAGNESIUM"/>
    <n v="1"/>
    <m/>
    <m/>
    <m/>
    <m/>
    <m/>
    <n v="1"/>
    <m/>
    <m/>
    <m/>
    <m/>
    <m/>
    <n v="1"/>
    <m/>
    <n v="1"/>
    <m/>
    <m/>
    <n v="1"/>
    <m/>
    <m/>
    <m/>
    <m/>
    <m/>
    <n v="1"/>
    <m/>
    <m/>
    <m/>
    <m/>
    <m/>
    <m/>
    <m/>
    <m/>
    <m/>
    <m/>
    <m/>
    <m/>
    <n v="1"/>
    <m/>
    <m/>
    <m/>
    <m/>
    <m/>
    <m/>
    <n v="1"/>
    <m/>
    <m/>
    <n v="8"/>
  </r>
  <r>
    <x v="11"/>
    <x v="1"/>
    <n v="6445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8508"/>
    <x v="0"/>
    <x v="0"/>
    <s v="ATORVASTATIN CALC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n v="29"/>
  </r>
  <r>
    <x v="11"/>
    <x v="1"/>
    <n v="8508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n v="1"/>
    <n v="1"/>
    <n v="1"/>
    <n v="1"/>
    <n v="1"/>
    <n v="1"/>
    <n v="1"/>
    <n v="1"/>
    <n v="1"/>
    <n v="1"/>
    <n v="1"/>
    <n v="1"/>
    <n v="1"/>
    <n v="17"/>
  </r>
  <r>
    <x v="11"/>
    <x v="1"/>
    <n v="8609"/>
    <x v="0"/>
    <x v="0"/>
    <s v="ATOR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3"/>
  </r>
  <r>
    <x v="11"/>
    <x v="1"/>
    <n v="9729"/>
    <x v="0"/>
    <x v="0"/>
    <s v="SIMVASTATIN"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n v="1"/>
    <m/>
    <m/>
    <m/>
    <m/>
    <m/>
    <m/>
    <m/>
    <n v="1"/>
    <m/>
    <m/>
    <m/>
    <m/>
    <n v="4"/>
  </r>
  <r>
    <x v="11"/>
    <x v="1"/>
    <n v="10742"/>
    <x v="0"/>
    <x v="0"/>
    <s v="SIMVASTATIN"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1"/>
    <x v="1"/>
    <n v="11669"/>
    <x v="0"/>
    <x v="1"/>
    <s v="RANITIDINE HCL"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n v="12"/>
  </r>
  <r>
    <x v="11"/>
    <x v="1"/>
    <n v="13104"/>
    <x v="0"/>
    <x v="0"/>
    <s v="ROSUVASTATIN CALCIUM"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4"/>
  </r>
  <r>
    <x v="11"/>
    <x v="1"/>
    <n v="13221"/>
    <x v="0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</r>
  <r>
    <x v="11"/>
    <x v="1"/>
    <n v="13536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890"/>
    <x v="0"/>
    <x v="3"/>
    <s v="ESOMEPRAZOLE MAGNESIUM"/>
    <m/>
    <m/>
    <m/>
    <m/>
    <n v="1"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1"/>
    <x v="1"/>
    <n v="1391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4855"/>
    <x v="0"/>
    <x v="0"/>
    <s v="ROSUVASTATIN CALCIUM"/>
    <m/>
    <m/>
    <m/>
    <m/>
    <m/>
    <m/>
    <n v="1"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4"/>
  </r>
  <r>
    <x v="11"/>
    <x v="1"/>
    <n v="15269"/>
    <x v="0"/>
    <x v="0"/>
    <s v="ATOR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n v="2"/>
  </r>
  <r>
    <x v="11"/>
    <x v="1"/>
    <n v="15531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n v="3"/>
  </r>
  <r>
    <x v="11"/>
    <x v="1"/>
    <n v="15692"/>
    <x v="0"/>
    <x v="0"/>
    <s v="ROSUVASTATIN CALCIUM"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n v="3"/>
  </r>
  <r>
    <x v="11"/>
    <x v="1"/>
    <n v="16059"/>
    <x v="0"/>
    <x v="3"/>
    <s v="ESOMEPRAZOLE MAGNES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6281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6498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746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2019"/>
    <x v="0"/>
    <x v="3"/>
    <s v="RABEPRAZOLE SOD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1"/>
    <x v="1"/>
    <n v="2517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510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n v="3"/>
  </r>
  <r>
    <x v="11"/>
    <x v="1"/>
    <n v="510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1"/>
    <x v="1"/>
    <n v="552"/>
    <x v="1"/>
    <x v="0"/>
    <s v="ROSUVASTATIN CALCIUM"/>
    <m/>
    <m/>
    <m/>
    <m/>
    <m/>
    <m/>
    <m/>
    <m/>
    <m/>
    <m/>
    <m/>
    <n v="1"/>
    <m/>
    <m/>
    <m/>
    <m/>
    <m/>
    <m/>
    <m/>
    <m/>
    <n v="1"/>
    <m/>
    <m/>
    <n v="1"/>
    <m/>
    <m/>
    <m/>
    <m/>
    <m/>
    <m/>
    <n v="1"/>
    <m/>
    <m/>
    <m/>
    <m/>
    <n v="1"/>
    <m/>
    <m/>
    <m/>
    <n v="1"/>
    <m/>
    <m/>
    <m/>
    <m/>
    <n v="1"/>
    <m/>
    <n v="7"/>
  </r>
  <r>
    <x v="11"/>
    <x v="1"/>
    <n v="1486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11"/>
    <x v="1"/>
    <n v="1703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n v="3"/>
  </r>
  <r>
    <x v="11"/>
    <x v="1"/>
    <n v="3738"/>
    <x v="1"/>
    <x v="0"/>
    <s v="ROSU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3"/>
  </r>
  <r>
    <x v="11"/>
    <x v="1"/>
    <n v="4728"/>
    <x v="1"/>
    <x v="0"/>
    <s v="ROSUVASTATIN CALCIUM"/>
    <m/>
    <m/>
    <m/>
    <m/>
    <m/>
    <m/>
    <n v="1"/>
    <m/>
    <m/>
    <m/>
    <m/>
    <m/>
    <n v="1"/>
    <m/>
    <m/>
    <m/>
    <m/>
    <m/>
    <n v="1"/>
    <m/>
    <m/>
    <m/>
    <m/>
    <m/>
    <m/>
    <m/>
    <m/>
    <n v="1"/>
    <m/>
    <m/>
    <m/>
    <m/>
    <m/>
    <m/>
    <n v="1"/>
    <m/>
    <m/>
    <m/>
    <m/>
    <m/>
    <m/>
    <m/>
    <m/>
    <m/>
    <m/>
    <m/>
    <n v="5"/>
  </r>
  <r>
    <x v="11"/>
    <x v="1"/>
    <n v="5730"/>
    <x v="1"/>
    <x v="0"/>
    <s v="SIMVASTATIN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1"/>
    <x v="1"/>
    <n v="5774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1"/>
    <x v="1"/>
    <n v="5815"/>
    <x v="1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6412"/>
    <x v="1"/>
    <x v="0"/>
    <s v="ROSU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n v="4"/>
  </r>
  <r>
    <x v="11"/>
    <x v="1"/>
    <n v="6414"/>
    <x v="1"/>
    <x v="0"/>
    <s v="ATOR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1"/>
    <x v="1"/>
    <n v="7278"/>
    <x v="1"/>
    <x v="0"/>
    <s v="ATORVASTATIN CALCIUM"/>
    <m/>
    <m/>
    <m/>
    <n v="3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6"/>
  </r>
  <r>
    <x v="11"/>
    <x v="1"/>
    <n v="9650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n v="5"/>
  </r>
  <r>
    <x v="11"/>
    <x v="1"/>
    <n v="973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1"/>
    <x v="1"/>
    <n v="10152"/>
    <x v="1"/>
    <x v="0"/>
    <s v="ROSUVASTATIN CALCIUM"/>
    <m/>
    <m/>
    <m/>
    <m/>
    <m/>
    <m/>
    <m/>
    <m/>
    <m/>
    <m/>
    <m/>
    <m/>
    <m/>
    <n v="2"/>
    <m/>
    <m/>
    <m/>
    <n v="1"/>
    <m/>
    <m/>
    <m/>
    <m/>
    <m/>
    <m/>
    <m/>
    <n v="1"/>
    <m/>
    <m/>
    <m/>
    <m/>
    <n v="1"/>
    <m/>
    <m/>
    <m/>
    <n v="1"/>
    <m/>
    <m/>
    <m/>
    <n v="1"/>
    <m/>
    <m/>
    <m/>
    <n v="3"/>
    <m/>
    <m/>
    <m/>
    <n v="10"/>
  </r>
  <r>
    <x v="11"/>
    <x v="1"/>
    <n v="13775"/>
    <x v="1"/>
    <x v="0"/>
    <s v="ATORVASTATIN CALCIUM"/>
    <n v="1"/>
    <m/>
    <m/>
    <m/>
    <m/>
    <m/>
    <n v="1"/>
    <m/>
    <m/>
    <m/>
    <m/>
    <n v="1"/>
    <m/>
    <m/>
    <m/>
    <n v="1"/>
    <m/>
    <m/>
    <n v="1"/>
    <m/>
    <m/>
    <m/>
    <m/>
    <m/>
    <m/>
    <m/>
    <m/>
    <n v="1"/>
    <m/>
    <m/>
    <m/>
    <m/>
    <m/>
    <m/>
    <m/>
    <m/>
    <m/>
    <m/>
    <m/>
    <n v="1"/>
    <m/>
    <m/>
    <m/>
    <m/>
    <m/>
    <m/>
    <n v="7"/>
  </r>
  <r>
    <x v="11"/>
    <x v="1"/>
    <n v="13909"/>
    <x v="1"/>
    <x v="0"/>
    <s v="ATORVASTATIN CALCIUM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1"/>
    <x v="1"/>
    <n v="13909"/>
    <x v="1"/>
    <x v="0"/>
    <s v="SIMVASTATIN"/>
    <m/>
    <m/>
    <m/>
    <m/>
    <m/>
    <m/>
    <m/>
    <m/>
    <m/>
    <m/>
    <m/>
    <m/>
    <m/>
    <m/>
    <m/>
    <m/>
    <n v="1"/>
    <m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n v="7"/>
  </r>
  <r>
    <x v="11"/>
    <x v="1"/>
    <n v="14948"/>
    <x v="1"/>
    <x v="1"/>
    <s v="RANITIDINE HCL"/>
    <n v="1"/>
    <m/>
    <m/>
    <m/>
    <m/>
    <m/>
    <n v="1"/>
    <m/>
    <m/>
    <m/>
    <m/>
    <n v="1"/>
    <m/>
    <m/>
    <m/>
    <m/>
    <n v="1"/>
    <m/>
    <m/>
    <m/>
    <m/>
    <n v="1"/>
    <m/>
    <m/>
    <m/>
    <n v="1"/>
    <m/>
    <m/>
    <m/>
    <m/>
    <m/>
    <m/>
    <n v="1"/>
    <m/>
    <m/>
    <m/>
    <m/>
    <n v="1"/>
    <m/>
    <m/>
    <m/>
    <m/>
    <n v="1"/>
    <m/>
    <m/>
    <m/>
    <n v="9"/>
  </r>
  <r>
    <x v="11"/>
    <x v="1"/>
    <n v="15360"/>
    <x v="1"/>
    <x v="0"/>
    <s v="SIMVASTATIN"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n v="4"/>
  </r>
  <r>
    <x v="11"/>
    <x v="1"/>
    <n v="15707"/>
    <x v="1"/>
    <x v="0"/>
    <s v="ROSUVASTATIN CALC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2"/>
  </r>
  <r>
    <x v="11"/>
    <x v="1"/>
    <n v="16300"/>
    <x v="1"/>
    <x v="0"/>
    <s v="ATORVASTATIN CALCIUM"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11"/>
    <x v="1"/>
    <n v="1645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6546"/>
    <x v="1"/>
    <x v="1"/>
    <s v="RANITIDINE HCL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1"/>
    <x v="1"/>
    <n v="16714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868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1165"/>
    <x v="1"/>
    <x v="3"/>
    <s v="ESOMEPRAZOLE MAGNES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25326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27561"/>
    <x v="1"/>
    <x v="8"/>
    <s v="FENOFIBRATE, MICRONIZED"/>
    <m/>
    <m/>
    <m/>
    <m/>
    <n v="1"/>
    <n v="4"/>
    <m/>
    <m/>
    <m/>
    <m/>
    <m/>
    <n v="1"/>
    <m/>
    <m/>
    <m/>
    <m/>
    <m/>
    <n v="1"/>
    <m/>
    <m/>
    <m/>
    <n v="2"/>
    <m/>
    <m/>
    <m/>
    <m/>
    <m/>
    <m/>
    <m/>
    <m/>
    <m/>
    <m/>
    <m/>
    <n v="1"/>
    <m/>
    <m/>
    <m/>
    <m/>
    <m/>
    <m/>
    <m/>
    <m/>
    <m/>
    <m/>
    <m/>
    <n v="1"/>
    <n v="11"/>
  </r>
  <r>
    <x v="11"/>
    <x v="1"/>
    <n v="29647"/>
    <x v="1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"/>
  </r>
  <r>
    <x v="11"/>
    <x v="1"/>
    <n v="342"/>
    <x v="0"/>
    <x v="3"/>
    <s v="RABEPRAZOLE SODIUM"/>
    <m/>
    <m/>
    <m/>
    <m/>
    <m/>
    <n v="2"/>
    <m/>
    <m/>
    <m/>
    <m/>
    <n v="1"/>
    <m/>
    <m/>
    <m/>
    <m/>
    <n v="1"/>
    <m/>
    <m/>
    <m/>
    <n v="1"/>
    <m/>
    <m/>
    <m/>
    <n v="1"/>
    <m/>
    <m/>
    <m/>
    <m/>
    <m/>
    <m/>
    <m/>
    <m/>
    <m/>
    <m/>
    <m/>
    <m/>
    <n v="1"/>
    <m/>
    <m/>
    <m/>
    <m/>
    <m/>
    <m/>
    <m/>
    <m/>
    <m/>
    <n v="7"/>
  </r>
  <r>
    <x v="11"/>
    <x v="1"/>
    <n v="397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1"/>
    <x v="1"/>
    <n v="573"/>
    <x v="0"/>
    <x v="0"/>
    <s v="ATORVASTATIN CALCIUM"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n v="5"/>
  </r>
  <r>
    <x v="11"/>
    <x v="1"/>
    <n v="573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11"/>
    <x v="1"/>
    <n v="667"/>
    <x v="0"/>
    <x v="0"/>
    <s v="ROSUVASTATIN CALCIUM"/>
    <m/>
    <m/>
    <m/>
    <m/>
    <m/>
    <m/>
    <m/>
    <m/>
    <m/>
    <m/>
    <n v="1"/>
    <m/>
    <m/>
    <m/>
    <m/>
    <m/>
    <m/>
    <m/>
    <m/>
    <n v="2"/>
    <m/>
    <m/>
    <m/>
    <n v="1"/>
    <m/>
    <m/>
    <m/>
    <m/>
    <m/>
    <m/>
    <m/>
    <m/>
    <m/>
    <m/>
    <m/>
    <m/>
    <m/>
    <n v="1"/>
    <m/>
    <m/>
    <m/>
    <m/>
    <m/>
    <m/>
    <m/>
    <m/>
    <n v="5"/>
  </r>
  <r>
    <x v="11"/>
    <x v="1"/>
    <n v="667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667"/>
    <x v="0"/>
    <x v="3"/>
    <s v="ESOMEPRAZOLE MAGNESIUM"/>
    <m/>
    <m/>
    <m/>
    <m/>
    <m/>
    <m/>
    <m/>
    <m/>
    <m/>
    <m/>
    <m/>
    <m/>
    <m/>
    <m/>
    <m/>
    <m/>
    <m/>
    <n v="1"/>
    <m/>
    <m/>
    <m/>
    <n v="1"/>
    <m/>
    <m/>
    <m/>
    <m/>
    <m/>
    <n v="1"/>
    <m/>
    <m/>
    <m/>
    <m/>
    <m/>
    <m/>
    <m/>
    <m/>
    <m/>
    <m/>
    <m/>
    <m/>
    <n v="1"/>
    <m/>
    <m/>
    <m/>
    <m/>
    <m/>
    <n v="4"/>
  </r>
  <r>
    <x v="11"/>
    <x v="1"/>
    <n v="1936"/>
    <x v="0"/>
    <x v="3"/>
    <s v="ESOMEPRAZOLE MAGNESIUM"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4"/>
  </r>
  <r>
    <x v="11"/>
    <x v="1"/>
    <n v="2814"/>
    <x v="0"/>
    <x v="3"/>
    <s v="ESOMEPRAZOLE MAGNES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2884"/>
    <x v="0"/>
    <x v="3"/>
    <s v="ESOMEPRAZOLE MAGNESIUM"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1"/>
    <x v="1"/>
    <n v="328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3384"/>
    <x v="0"/>
    <x v="0"/>
    <s v="SIMVASTATIN"/>
    <n v="1"/>
    <m/>
    <m/>
    <m/>
    <m/>
    <m/>
    <m/>
    <m/>
    <m/>
    <m/>
    <m/>
    <m/>
    <n v="1"/>
    <m/>
    <m/>
    <m/>
    <m/>
    <m/>
    <m/>
    <m/>
    <m/>
    <n v="1"/>
    <m/>
    <m/>
    <n v="1"/>
    <m/>
    <m/>
    <m/>
    <m/>
    <m/>
    <m/>
    <m/>
    <m/>
    <m/>
    <m/>
    <m/>
    <m/>
    <m/>
    <m/>
    <n v="1"/>
    <m/>
    <m/>
    <m/>
    <m/>
    <m/>
    <m/>
    <n v="5"/>
  </r>
  <r>
    <x v="11"/>
    <x v="1"/>
    <n v="3690"/>
    <x v="0"/>
    <x v="0"/>
    <s v="SIMVASTATIN"/>
    <n v="1"/>
    <m/>
    <m/>
    <m/>
    <m/>
    <n v="1"/>
    <m/>
    <n v="1"/>
    <m/>
    <m/>
    <n v="1"/>
    <n v="1"/>
    <m/>
    <n v="1"/>
    <m/>
    <m/>
    <m/>
    <n v="1"/>
    <m/>
    <n v="1"/>
    <m/>
    <n v="1"/>
    <m/>
    <n v="1"/>
    <m/>
    <n v="1"/>
    <m/>
    <m/>
    <n v="1"/>
    <m/>
    <m/>
    <m/>
    <n v="1"/>
    <n v="1"/>
    <n v="1"/>
    <m/>
    <n v="1"/>
    <m/>
    <n v="1"/>
    <n v="1"/>
    <m/>
    <m/>
    <m/>
    <n v="1"/>
    <n v="1"/>
    <n v="1"/>
    <n v="21"/>
  </r>
  <r>
    <x v="11"/>
    <x v="1"/>
    <n v="3874"/>
    <x v="0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n v="4"/>
  </r>
  <r>
    <x v="11"/>
    <x v="1"/>
    <n v="3969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3"/>
  </r>
  <r>
    <x v="11"/>
    <x v="1"/>
    <n v="5749"/>
    <x v="0"/>
    <x v="0"/>
    <s v="ROSU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11"/>
    <x v="1"/>
    <n v="5749"/>
    <x v="0"/>
    <x v="3"/>
    <s v="ESOMEPRAZOLE MAGNES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11"/>
    <x v="1"/>
    <n v="6436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11"/>
    <x v="1"/>
    <n v="6723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672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6838"/>
    <x v="0"/>
    <x v="0"/>
    <s v="ROSUVASTATIN CALCIUM"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11"/>
    <x v="1"/>
    <n v="6838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1"/>
    <x v="1"/>
    <n v="7928"/>
    <x v="0"/>
    <x v="3"/>
    <s v="ESOMEPRAZOLE MAGNESIUM"/>
    <m/>
    <n v="1"/>
    <m/>
    <n v="1"/>
    <m/>
    <m/>
    <n v="1"/>
    <m/>
    <m/>
    <m/>
    <m/>
    <m/>
    <n v="1"/>
    <m/>
    <m/>
    <n v="1"/>
    <m/>
    <m/>
    <n v="1"/>
    <m/>
    <n v="1"/>
    <m/>
    <n v="1"/>
    <m/>
    <n v="1"/>
    <m/>
    <m/>
    <m/>
    <n v="1"/>
    <m/>
    <m/>
    <n v="1"/>
    <m/>
    <m/>
    <n v="1"/>
    <m/>
    <n v="2"/>
    <m/>
    <n v="1"/>
    <n v="1"/>
    <m/>
    <m/>
    <n v="1"/>
    <m/>
    <n v="1"/>
    <n v="1"/>
    <n v="19"/>
  </r>
  <r>
    <x v="11"/>
    <x v="1"/>
    <n v="7947"/>
    <x v="0"/>
    <x v="0"/>
    <s v="ROSUVASTATIN CALCIUM"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n v="1"/>
    <m/>
    <m/>
    <m/>
    <m/>
    <m/>
    <m/>
    <m/>
    <m/>
    <m/>
    <m/>
    <m/>
    <m/>
    <m/>
    <n v="1"/>
    <m/>
    <n v="4"/>
  </r>
  <r>
    <x v="11"/>
    <x v="1"/>
    <n v="8010"/>
    <x v="0"/>
    <x v="0"/>
    <s v="ATORVASTATIN CALCIUM"/>
    <m/>
    <m/>
    <m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1"/>
    <x v="1"/>
    <n v="8810"/>
    <x v="0"/>
    <x v="0"/>
    <s v="ROSUVASTATIN CALCIUM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11"/>
    <x v="1"/>
    <n v="1012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0639"/>
    <x v="0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0896"/>
    <x v="0"/>
    <x v="0"/>
    <s v="ATORVASTATIN CALCIUM"/>
    <m/>
    <m/>
    <m/>
    <m/>
    <m/>
    <n v="1"/>
    <m/>
    <m/>
    <m/>
    <m/>
    <m/>
    <m/>
    <m/>
    <m/>
    <m/>
    <m/>
    <n v="1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5"/>
  </r>
  <r>
    <x v="11"/>
    <x v="1"/>
    <n v="11399"/>
    <x v="0"/>
    <x v="3"/>
    <s v="RABEPRAZOLE SODIUM"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n v="1"/>
    <m/>
    <m/>
    <n v="1"/>
    <m/>
    <m/>
    <m/>
    <n v="5"/>
  </r>
  <r>
    <x v="11"/>
    <x v="1"/>
    <n v="11606"/>
    <x v="0"/>
    <x v="0"/>
    <s v="SIMVASTATIN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3"/>
  </r>
  <r>
    <x v="11"/>
    <x v="1"/>
    <n v="1185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1"/>
    <x v="1"/>
    <n v="12082"/>
    <x v="0"/>
    <x v="0"/>
    <s v="ROSU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11"/>
    <x v="1"/>
    <n v="12131"/>
    <x v="0"/>
    <x v="3"/>
    <s v="ESOMEPRAZOLE MAGNESIUM"/>
    <m/>
    <m/>
    <m/>
    <n v="1"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</r>
  <r>
    <x v="11"/>
    <x v="1"/>
    <n v="12469"/>
    <x v="0"/>
    <x v="0"/>
    <s v="ROSUVASTATIN CALCIUM"/>
    <m/>
    <m/>
    <m/>
    <m/>
    <m/>
    <m/>
    <m/>
    <m/>
    <m/>
    <m/>
    <m/>
    <m/>
    <n v="2"/>
    <m/>
    <m/>
    <n v="1"/>
    <m/>
    <m/>
    <m/>
    <m/>
    <m/>
    <m/>
    <n v="1"/>
    <m/>
    <m/>
    <m/>
    <n v="1"/>
    <m/>
    <m/>
    <m/>
    <m/>
    <n v="1"/>
    <m/>
    <m/>
    <m/>
    <m/>
    <n v="1"/>
    <m/>
    <m/>
    <m/>
    <n v="1"/>
    <m/>
    <m/>
    <m/>
    <m/>
    <m/>
    <n v="8"/>
  </r>
  <r>
    <x v="11"/>
    <x v="1"/>
    <n v="12469"/>
    <x v="0"/>
    <x v="3"/>
    <s v="RABEPRAZOLE SODIUM"/>
    <m/>
    <m/>
    <n v="2"/>
    <m/>
    <m/>
    <m/>
    <m/>
    <m/>
    <m/>
    <n v="1"/>
    <m/>
    <m/>
    <m/>
    <m/>
    <m/>
    <m/>
    <m/>
    <m/>
    <m/>
    <m/>
    <m/>
    <m/>
    <m/>
    <n v="1"/>
    <m/>
    <m/>
    <m/>
    <m/>
    <m/>
    <n v="1"/>
    <m/>
    <m/>
    <m/>
    <m/>
    <m/>
    <m/>
    <m/>
    <m/>
    <n v="1"/>
    <m/>
    <m/>
    <m/>
    <m/>
    <m/>
    <m/>
    <m/>
    <n v="6"/>
  </r>
  <r>
    <x v="11"/>
    <x v="1"/>
    <n v="12703"/>
    <x v="0"/>
    <x v="3"/>
    <s v="ESOMEPRAZOLE MAGNESIUM"/>
    <m/>
    <n v="2"/>
    <m/>
    <m/>
    <m/>
    <n v="1"/>
    <m/>
    <m/>
    <m/>
    <n v="1"/>
    <m/>
    <m/>
    <m/>
    <m/>
    <n v="1"/>
    <m/>
    <m/>
    <m/>
    <m/>
    <m/>
    <m/>
    <n v="1"/>
    <m/>
    <m/>
    <m/>
    <m/>
    <m/>
    <n v="1"/>
    <m/>
    <m/>
    <m/>
    <n v="1"/>
    <m/>
    <m/>
    <m/>
    <m/>
    <n v="1"/>
    <m/>
    <m/>
    <m/>
    <m/>
    <m/>
    <m/>
    <n v="1"/>
    <m/>
    <m/>
    <n v="10"/>
  </r>
  <r>
    <x v="11"/>
    <x v="1"/>
    <n v="12913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n v="3"/>
  </r>
  <r>
    <x v="11"/>
    <x v="1"/>
    <n v="12913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2"/>
    <m/>
    <m/>
    <m/>
    <m/>
    <m/>
    <m/>
    <m/>
    <m/>
    <m/>
    <m/>
    <m/>
    <n v="4"/>
  </r>
  <r>
    <x v="11"/>
    <x v="1"/>
    <n v="12979"/>
    <x v="0"/>
    <x v="3"/>
    <s v="LANSOPRAZOLE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4417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4739"/>
    <x v="0"/>
    <x v="3"/>
    <s v="RABEPRAZOLE SODIUM"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m/>
    <n v="1"/>
    <n v="5"/>
  </r>
  <r>
    <x v="11"/>
    <x v="1"/>
    <n v="15015"/>
    <x v="0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11"/>
    <x v="1"/>
    <n v="1540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7618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9347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2"/>
  </r>
  <r>
    <x v="11"/>
    <x v="1"/>
    <n v="20827"/>
    <x v="0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11"/>
    <x v="1"/>
    <n v="20861"/>
    <x v="0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11"/>
    <x v="1"/>
    <n v="21185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1"/>
    <x v="1"/>
    <n v="23380"/>
    <x v="0"/>
    <x v="3"/>
    <s v="ESOMEPRAZOLE MAGNESIUM"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1"/>
    <x v="1"/>
    <n v="23631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24592"/>
    <x v="0"/>
    <x v="1"/>
    <s v="RANITIDINE HCL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30203"/>
    <x v="0"/>
    <x v="3"/>
    <s v="ESOMEPRAZOLE MAGNESIUM"/>
    <m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1"/>
    <x v="1"/>
    <n v="30638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485"/>
    <x v="1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1"/>
    <n v="4"/>
  </r>
  <r>
    <x v="11"/>
    <x v="1"/>
    <n v="48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227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99"/>
    <x v="1"/>
    <x v="3"/>
    <s v="OMEPRAZOLE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n v="1"/>
    <m/>
    <m/>
    <m/>
    <m/>
    <m/>
    <m/>
    <m/>
    <m/>
    <m/>
    <m/>
    <n v="1"/>
    <m/>
    <m/>
    <m/>
    <n v="4"/>
  </r>
  <r>
    <x v="11"/>
    <x v="1"/>
    <n v="1679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976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n v="1"/>
    <m/>
    <m/>
    <m/>
    <m/>
    <n v="1"/>
    <m/>
    <m/>
    <n v="4"/>
  </r>
  <r>
    <x v="11"/>
    <x v="1"/>
    <n v="1976"/>
    <x v="1"/>
    <x v="3"/>
    <s v="PANTOPRAZOLE SODIUM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</r>
  <r>
    <x v="11"/>
    <x v="1"/>
    <n v="1976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2051"/>
    <x v="1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</r>
  <r>
    <x v="11"/>
    <x v="1"/>
    <n v="2389"/>
    <x v="1"/>
    <x v="0"/>
    <s v="ROSUVASTATIN CALCIUM"/>
    <m/>
    <n v="1"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n v="1"/>
    <m/>
    <m/>
    <m/>
    <m/>
    <m/>
    <m/>
    <m/>
    <m/>
    <n v="7"/>
  </r>
  <r>
    <x v="11"/>
    <x v="1"/>
    <n v="2389"/>
    <x v="1"/>
    <x v="6"/>
    <s v="EZETIMIBE"/>
    <m/>
    <n v="1"/>
    <m/>
    <m/>
    <m/>
    <m/>
    <n v="1"/>
    <m/>
    <m/>
    <m/>
    <m/>
    <m/>
    <m/>
    <m/>
    <m/>
    <m/>
    <m/>
    <n v="2"/>
    <m/>
    <m/>
    <m/>
    <m/>
    <m/>
    <m/>
    <n v="1"/>
    <m/>
    <m/>
    <m/>
    <m/>
    <m/>
    <m/>
    <m/>
    <m/>
    <m/>
    <m/>
    <n v="2"/>
    <m/>
    <n v="1"/>
    <m/>
    <m/>
    <m/>
    <m/>
    <m/>
    <m/>
    <m/>
    <m/>
    <n v="8"/>
  </r>
  <r>
    <x v="11"/>
    <x v="1"/>
    <n v="2389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3"/>
  </r>
  <r>
    <x v="11"/>
    <x v="1"/>
    <n v="2417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775"/>
    <x v="1"/>
    <x v="0"/>
    <s v="SIMVASTATIN"/>
    <n v="1"/>
    <n v="1"/>
    <n v="1"/>
    <n v="1"/>
    <n v="1"/>
    <n v="1"/>
    <n v="2"/>
    <m/>
    <m/>
    <m/>
    <n v="1"/>
    <n v="1"/>
    <n v="2"/>
    <m/>
    <n v="2"/>
    <n v="1"/>
    <n v="1"/>
    <m/>
    <n v="2"/>
    <n v="1"/>
    <m/>
    <n v="2"/>
    <m/>
    <n v="2"/>
    <n v="1"/>
    <m/>
    <n v="2"/>
    <n v="1"/>
    <m/>
    <n v="1"/>
    <n v="1"/>
    <n v="1"/>
    <n v="2"/>
    <n v="1"/>
    <n v="1"/>
    <m/>
    <n v="2"/>
    <n v="1"/>
    <n v="1"/>
    <n v="1"/>
    <n v="1"/>
    <n v="1"/>
    <m/>
    <m/>
    <m/>
    <m/>
    <n v="41"/>
  </r>
  <r>
    <x v="11"/>
    <x v="1"/>
    <n v="2793"/>
    <x v="1"/>
    <x v="3"/>
    <s v="RABEPRAZOLE SODIUM"/>
    <m/>
    <m/>
    <m/>
    <m/>
    <n v="1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4"/>
  </r>
  <r>
    <x v="11"/>
    <x v="1"/>
    <n v="3908"/>
    <x v="1"/>
    <x v="3"/>
    <s v="RABEPRAZOLE SODIUM"/>
    <n v="1"/>
    <m/>
    <m/>
    <m/>
    <m/>
    <n v="1"/>
    <m/>
    <m/>
    <m/>
    <m/>
    <n v="1"/>
    <m/>
    <n v="1"/>
    <m/>
    <m/>
    <m/>
    <m/>
    <m/>
    <n v="1"/>
    <m/>
    <m/>
    <m/>
    <m/>
    <n v="1"/>
    <m/>
    <m/>
    <m/>
    <m/>
    <m/>
    <n v="1"/>
    <m/>
    <m/>
    <m/>
    <m/>
    <n v="1"/>
    <m/>
    <m/>
    <m/>
    <m/>
    <n v="1"/>
    <m/>
    <m/>
    <m/>
    <m/>
    <m/>
    <m/>
    <n v="9"/>
  </r>
  <r>
    <x v="11"/>
    <x v="1"/>
    <n v="3980"/>
    <x v="1"/>
    <x v="0"/>
    <s v="ROSUVASTATIN CALCIUM"/>
    <n v="3"/>
    <n v="2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n v="1"/>
    <m/>
    <m/>
    <n v="8"/>
  </r>
  <r>
    <x v="11"/>
    <x v="1"/>
    <n v="4153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1"/>
    <x v="1"/>
    <n v="4308"/>
    <x v="1"/>
    <x v="0"/>
    <s v="SIMVASTATIN"/>
    <n v="1"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4"/>
  </r>
  <r>
    <x v="11"/>
    <x v="1"/>
    <n v="4308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n v="2"/>
  </r>
  <r>
    <x v="11"/>
    <x v="1"/>
    <n v="5342"/>
    <x v="1"/>
    <x v="1"/>
    <s v="RANITIDINE HCL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1"/>
    <x v="1"/>
    <n v="534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5499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</r>
  <r>
    <x v="11"/>
    <x v="1"/>
    <n v="5499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5506"/>
    <x v="1"/>
    <x v="3"/>
    <s v="RABEPRAZOLE SOD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6435"/>
    <x v="1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1"/>
    <x v="1"/>
    <n v="6777"/>
    <x v="1"/>
    <x v="3"/>
    <s v="RABEPRAZOLE SODIUM"/>
    <m/>
    <m/>
    <m/>
    <m/>
    <m/>
    <m/>
    <m/>
    <m/>
    <n v="1"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n v="3"/>
  </r>
  <r>
    <x v="11"/>
    <x v="1"/>
    <n v="7242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7333"/>
    <x v="1"/>
    <x v="0"/>
    <s v="ATORVASTATIN CALC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n v="3"/>
  </r>
  <r>
    <x v="11"/>
    <x v="1"/>
    <n v="7333"/>
    <x v="1"/>
    <x v="3"/>
    <s v="RABEPRAZOLE SODIUM"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</r>
  <r>
    <x v="11"/>
    <x v="1"/>
    <n v="739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7691"/>
    <x v="1"/>
    <x v="3"/>
    <s v="OMEPRAZOLE"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1"/>
    <m/>
    <m/>
    <m/>
    <n v="6"/>
  </r>
  <r>
    <x v="11"/>
    <x v="1"/>
    <n v="7946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n v="1"/>
    <m/>
    <n v="1"/>
    <n v="2"/>
    <m/>
    <n v="1"/>
    <m/>
    <n v="7"/>
  </r>
  <r>
    <x v="11"/>
    <x v="1"/>
    <n v="794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794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1"/>
    <x v="1"/>
    <n v="797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1"/>
    <x v="1"/>
    <n v="814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8145"/>
    <x v="1"/>
    <x v="0"/>
    <s v="LOVASTATIN"/>
    <m/>
    <m/>
    <m/>
    <m/>
    <m/>
    <m/>
    <n v="1"/>
    <m/>
    <m/>
    <m/>
    <m/>
    <m/>
    <m/>
    <m/>
    <m/>
    <m/>
    <n v="2"/>
    <n v="2"/>
    <n v="1"/>
    <n v="1"/>
    <n v="1"/>
    <n v="1"/>
    <n v="1"/>
    <n v="1"/>
    <n v="1"/>
    <n v="1"/>
    <n v="1"/>
    <n v="1"/>
    <n v="1"/>
    <n v="1"/>
    <n v="1"/>
    <n v="2"/>
    <n v="2"/>
    <n v="1"/>
    <n v="1"/>
    <m/>
    <n v="1"/>
    <n v="1"/>
    <m/>
    <n v="1"/>
    <n v="1"/>
    <n v="1"/>
    <n v="1"/>
    <m/>
    <n v="1"/>
    <n v="1"/>
    <n v="32"/>
  </r>
  <r>
    <x v="11"/>
    <x v="1"/>
    <n v="8303"/>
    <x v="1"/>
    <x v="0"/>
    <s v="PRAVASTATIN SOD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11"/>
    <x v="1"/>
    <n v="9007"/>
    <x v="1"/>
    <x v="3"/>
    <s v="RABEPRAZOLE SOD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11"/>
    <x v="1"/>
    <n v="9014"/>
    <x v="1"/>
    <x v="3"/>
    <s v="RABEPRAZOLE SOD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9046"/>
    <x v="1"/>
    <x v="1"/>
    <s v="CIMETIDINE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11"/>
    <x v="1"/>
    <n v="9046"/>
    <x v="1"/>
    <x v="0"/>
    <s v="ROSU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11"/>
    <x v="1"/>
    <n v="9874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1"/>
    <n v="7"/>
  </r>
  <r>
    <x v="11"/>
    <x v="1"/>
    <n v="1078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0969"/>
    <x v="1"/>
    <x v="0"/>
    <s v="ATORVASTATIN CALCIUM"/>
    <n v="2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24"/>
  </r>
  <r>
    <x v="11"/>
    <x v="1"/>
    <n v="10969"/>
    <x v="1"/>
    <x v="3"/>
    <s v="RABEPRAZOLE SODIUM"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23"/>
  </r>
  <r>
    <x v="11"/>
    <x v="1"/>
    <n v="11158"/>
    <x v="1"/>
    <x v="3"/>
    <s v="ESOME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11"/>
    <x v="1"/>
    <n v="1115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1348"/>
    <x v="1"/>
    <x v="3"/>
    <s v="ESOMEPRAZOLE MAGNESIUM"/>
    <m/>
    <m/>
    <m/>
    <n v="1"/>
    <m/>
    <m/>
    <m/>
    <n v="1"/>
    <m/>
    <m/>
    <n v="1"/>
    <m/>
    <m/>
    <m/>
    <n v="1"/>
    <m/>
    <m/>
    <m/>
    <m/>
    <n v="1"/>
    <m/>
    <m/>
    <n v="1"/>
    <m/>
    <m/>
    <m/>
    <m/>
    <n v="1"/>
    <m/>
    <m/>
    <n v="1"/>
    <m/>
    <m/>
    <m/>
    <m/>
    <n v="1"/>
    <m/>
    <m/>
    <m/>
    <n v="1"/>
    <m/>
    <m/>
    <n v="1"/>
    <m/>
    <m/>
    <m/>
    <n v="11"/>
  </r>
  <r>
    <x v="11"/>
    <x v="1"/>
    <n v="11377"/>
    <x v="1"/>
    <x v="3"/>
    <s v="RABEPRAZOLE SODIUM"/>
    <m/>
    <m/>
    <n v="1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4"/>
  </r>
  <r>
    <x v="11"/>
    <x v="1"/>
    <n v="11807"/>
    <x v="1"/>
    <x v="3"/>
    <s v="RABEPRAZOLE SODIUM"/>
    <m/>
    <n v="1"/>
    <m/>
    <m/>
    <m/>
    <n v="1"/>
    <m/>
    <m/>
    <m/>
    <m/>
    <n v="1"/>
    <m/>
    <m/>
    <m/>
    <m/>
    <n v="1"/>
    <m/>
    <m/>
    <m/>
    <n v="1"/>
    <m/>
    <m/>
    <m/>
    <n v="1"/>
    <m/>
    <m/>
    <m/>
    <m/>
    <m/>
    <m/>
    <m/>
    <m/>
    <m/>
    <m/>
    <m/>
    <m/>
    <m/>
    <n v="1"/>
    <m/>
    <m/>
    <m/>
    <n v="1"/>
    <m/>
    <m/>
    <m/>
    <n v="1"/>
    <n v="9"/>
  </r>
  <r>
    <x v="11"/>
    <x v="1"/>
    <n v="11852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11"/>
    <x v="1"/>
    <n v="12100"/>
    <x v="1"/>
    <x v="1"/>
    <s v="RANITIDINE HCL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11"/>
    <x v="1"/>
    <n v="12100"/>
    <x v="1"/>
    <x v="0"/>
    <s v="SIMVASTATIN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11"/>
    <x v="1"/>
    <n v="12102"/>
    <x v="1"/>
    <x v="3"/>
    <s v="RABEPRAZOLE SODIUM"/>
    <m/>
    <m/>
    <m/>
    <m/>
    <m/>
    <m/>
    <m/>
    <n v="1"/>
    <m/>
    <m/>
    <m/>
    <m/>
    <m/>
    <m/>
    <m/>
    <m/>
    <m/>
    <m/>
    <m/>
    <n v="1"/>
    <m/>
    <m/>
    <m/>
    <m/>
    <m/>
    <m/>
    <m/>
    <n v="1"/>
    <m/>
    <m/>
    <n v="2"/>
    <m/>
    <m/>
    <m/>
    <m/>
    <m/>
    <m/>
    <n v="2"/>
    <m/>
    <m/>
    <m/>
    <m/>
    <m/>
    <m/>
    <m/>
    <m/>
    <n v="7"/>
  </r>
  <r>
    <x v="11"/>
    <x v="1"/>
    <n v="13000"/>
    <x v="1"/>
    <x v="3"/>
    <s v="ESOMEPRAZOLE MAGNES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3194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194"/>
    <x v="1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3652"/>
    <x v="1"/>
    <x v="0"/>
    <s v="ATORVASTATIN CALCIUM"/>
    <m/>
    <m/>
    <m/>
    <m/>
    <m/>
    <m/>
    <n v="1"/>
    <m/>
    <m/>
    <m/>
    <m/>
    <n v="2"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n v="1"/>
    <n v="6"/>
  </r>
  <r>
    <x v="11"/>
    <x v="1"/>
    <n v="13652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4198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1"/>
    <x v="1"/>
    <n v="14210"/>
    <x v="1"/>
    <x v="3"/>
    <s v="ESOMEPRAZOLE MAGNES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421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4416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11"/>
    <x v="1"/>
    <n v="14420"/>
    <x v="1"/>
    <x v="3"/>
    <s v="ESOMEPRAZOLE MAGNESIUM"/>
    <m/>
    <m/>
    <m/>
    <m/>
    <m/>
    <n v="1"/>
    <m/>
    <m/>
    <m/>
    <m/>
    <m/>
    <m/>
    <n v="1"/>
    <m/>
    <m/>
    <m/>
    <n v="1"/>
    <m/>
    <m/>
    <m/>
    <m/>
    <n v="1"/>
    <m/>
    <m/>
    <m/>
    <m/>
    <m/>
    <n v="1"/>
    <m/>
    <m/>
    <m/>
    <m/>
    <n v="1"/>
    <m/>
    <m/>
    <m/>
    <m/>
    <n v="1"/>
    <m/>
    <m/>
    <n v="1"/>
    <m/>
    <m/>
    <m/>
    <m/>
    <m/>
    <n v="8"/>
  </r>
  <r>
    <x v="11"/>
    <x v="1"/>
    <n v="14756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3"/>
    <m/>
    <m/>
    <n v="6"/>
  </r>
  <r>
    <x v="11"/>
    <x v="1"/>
    <n v="15561"/>
    <x v="1"/>
    <x v="3"/>
    <s v="PANTOPRAZOLE SODIUM"/>
    <m/>
    <m/>
    <n v="1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1"/>
    <x v="1"/>
    <n v="1556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n v="2"/>
  </r>
  <r>
    <x v="11"/>
    <x v="1"/>
    <n v="15676"/>
    <x v="1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n v="1"/>
    <n v="6"/>
  </r>
  <r>
    <x v="11"/>
    <x v="1"/>
    <n v="16127"/>
    <x v="1"/>
    <x v="0"/>
    <s v="PRAVASTATIN SODIUM"/>
    <m/>
    <m/>
    <m/>
    <n v="1"/>
    <m/>
    <m/>
    <m/>
    <m/>
    <n v="1"/>
    <m/>
    <m/>
    <m/>
    <m/>
    <n v="3"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n v="1"/>
    <m/>
    <m/>
    <m/>
    <n v="1"/>
    <n v="12"/>
  </r>
  <r>
    <x v="11"/>
    <x v="1"/>
    <n v="16420"/>
    <x v="1"/>
    <x v="3"/>
    <s v="LANSOPRAZOLE"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n v="3"/>
  </r>
  <r>
    <x v="11"/>
    <x v="1"/>
    <n v="18805"/>
    <x v="1"/>
    <x v="0"/>
    <s v="ROSUVASTATIN CALCIUM"/>
    <m/>
    <m/>
    <n v="1"/>
    <m/>
    <m/>
    <m/>
    <n v="1"/>
    <m/>
    <m/>
    <n v="1"/>
    <n v="1"/>
    <m/>
    <m/>
    <m/>
    <n v="1"/>
    <m/>
    <m/>
    <m/>
    <n v="1"/>
    <m/>
    <m/>
    <m/>
    <m/>
    <m/>
    <n v="1"/>
    <m/>
    <m/>
    <m/>
    <n v="1"/>
    <m/>
    <m/>
    <m/>
    <n v="1"/>
    <m/>
    <m/>
    <m/>
    <n v="1"/>
    <m/>
    <m/>
    <m/>
    <n v="1"/>
    <m/>
    <m/>
    <m/>
    <n v="1"/>
    <m/>
    <n v="12"/>
  </r>
  <r>
    <x v="11"/>
    <x v="1"/>
    <n v="18958"/>
    <x v="1"/>
    <x v="3"/>
    <s v="PANTOPRAZOLE MAGNESIUM"/>
    <m/>
    <m/>
    <m/>
    <n v="1"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3"/>
  </r>
  <r>
    <x v="11"/>
    <x v="1"/>
    <n v="18958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2"/>
  </r>
  <r>
    <x v="11"/>
    <x v="1"/>
    <n v="19703"/>
    <x v="1"/>
    <x v="3"/>
    <s v="RABEPRAZOLE SODIUM"/>
    <m/>
    <n v="1"/>
    <m/>
    <m/>
    <m/>
    <m/>
    <m/>
    <m/>
    <n v="1"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4"/>
  </r>
  <r>
    <x v="11"/>
    <x v="1"/>
    <n v="20377"/>
    <x v="1"/>
    <x v="3"/>
    <s v="RABEPRAZOLE SODIUM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n v="4"/>
  </r>
  <r>
    <x v="11"/>
    <x v="1"/>
    <n v="23501"/>
    <x v="1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24838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2003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n v="4"/>
  </r>
  <r>
    <x v="11"/>
    <x v="1"/>
    <n v="1219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774"/>
    <x v="0"/>
    <x v="1"/>
    <s v="RANITIDINE HCL"/>
    <n v="1"/>
    <n v="1"/>
    <n v="2"/>
    <m/>
    <n v="1"/>
    <n v="1"/>
    <n v="2"/>
    <m/>
    <n v="2"/>
    <m/>
    <n v="1"/>
    <n v="1"/>
    <n v="2"/>
    <m/>
    <n v="2"/>
    <n v="1"/>
    <n v="1"/>
    <n v="1"/>
    <n v="1"/>
    <n v="1"/>
    <m/>
    <n v="2"/>
    <m/>
    <n v="2"/>
    <n v="1"/>
    <m/>
    <n v="2"/>
    <n v="1"/>
    <m/>
    <n v="1"/>
    <n v="1"/>
    <n v="1"/>
    <n v="2"/>
    <n v="1"/>
    <n v="1"/>
    <n v="1"/>
    <n v="2"/>
    <n v="1"/>
    <n v="1"/>
    <n v="1"/>
    <n v="1"/>
    <n v="1"/>
    <n v="1"/>
    <m/>
    <n v="1"/>
    <n v="2"/>
    <n v="48"/>
  </r>
  <r>
    <x v="11"/>
    <x v="1"/>
    <n v="762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n v="2"/>
  </r>
  <r>
    <x v="11"/>
    <x v="1"/>
    <n v="7915"/>
    <x v="0"/>
    <x v="3"/>
    <s v="ESOMEPRAZOLE MAGNESIUM"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n v="4"/>
  </r>
  <r>
    <x v="11"/>
    <x v="1"/>
    <n v="8010"/>
    <x v="0"/>
    <x v="3"/>
    <s v="ESOMEPRAZOLE MAGNESIUM"/>
    <m/>
    <m/>
    <m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1"/>
    <x v="1"/>
    <n v="801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m/>
    <m/>
    <m/>
    <m/>
    <m/>
    <m/>
    <m/>
    <m/>
    <n v="4"/>
  </r>
  <r>
    <x v="11"/>
    <x v="1"/>
    <n v="11098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684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3969"/>
    <x v="0"/>
    <x v="3"/>
    <s v="ESOMEPRAZOLE MAGNESIUM"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4"/>
  </r>
  <r>
    <x v="11"/>
    <x v="1"/>
    <n v="8810"/>
    <x v="0"/>
    <x v="3"/>
    <s v="ESOMEPRAZOLE MAGNES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11"/>
    <x v="1"/>
    <n v="19347"/>
    <x v="0"/>
    <x v="3"/>
    <s v="ESOMEPRAZOLE MAGNESIUM"/>
    <n v="1"/>
    <m/>
    <m/>
    <m/>
    <m/>
    <m/>
    <m/>
    <n v="1"/>
    <m/>
    <m/>
    <n v="1"/>
    <m/>
    <m/>
    <m/>
    <m/>
    <n v="1"/>
    <m/>
    <m/>
    <m/>
    <n v="1"/>
    <m/>
    <m/>
    <m/>
    <m/>
    <n v="1"/>
    <m/>
    <m/>
    <n v="1"/>
    <m/>
    <m/>
    <m/>
    <m/>
    <m/>
    <m/>
    <m/>
    <m/>
    <m/>
    <m/>
    <n v="1"/>
    <m/>
    <m/>
    <m/>
    <m/>
    <m/>
    <m/>
    <m/>
    <n v="8"/>
  </r>
  <r>
    <x v="11"/>
    <x v="1"/>
    <n v="20072"/>
    <x v="0"/>
    <x v="3"/>
    <s v="ESOME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8145"/>
    <x v="1"/>
    <x v="1"/>
    <s v="RANITIDINE HCL"/>
    <m/>
    <m/>
    <m/>
    <m/>
    <m/>
    <m/>
    <n v="1"/>
    <m/>
    <m/>
    <m/>
    <m/>
    <m/>
    <m/>
    <m/>
    <m/>
    <m/>
    <n v="2"/>
    <n v="1"/>
    <n v="1"/>
    <n v="1"/>
    <n v="1"/>
    <n v="1"/>
    <n v="1"/>
    <n v="1"/>
    <n v="1"/>
    <n v="1"/>
    <n v="1"/>
    <n v="1"/>
    <n v="1"/>
    <n v="1"/>
    <n v="1"/>
    <n v="2"/>
    <n v="2"/>
    <n v="1"/>
    <n v="1"/>
    <m/>
    <n v="1"/>
    <n v="1"/>
    <m/>
    <n v="1"/>
    <n v="1"/>
    <n v="1"/>
    <n v="1"/>
    <m/>
    <n v="1"/>
    <n v="1"/>
    <n v="31"/>
  </r>
  <r>
    <x v="11"/>
    <x v="1"/>
    <n v="13652"/>
    <x v="1"/>
    <x v="3"/>
    <s v="PANTOPRAZOLE SODIUM"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n v="1"/>
    <m/>
    <m/>
    <m/>
    <m/>
    <m/>
    <m/>
    <m/>
    <n v="1"/>
    <m/>
    <m/>
    <m/>
    <m/>
    <m/>
    <m/>
    <m/>
    <m/>
    <n v="4"/>
  </r>
  <r>
    <x v="11"/>
    <x v="1"/>
    <n v="4886"/>
    <x v="0"/>
    <x v="3"/>
    <s v="RABEPRAZOLE SODIUM"/>
    <m/>
    <m/>
    <m/>
    <m/>
    <n v="1"/>
    <m/>
    <n v="1"/>
    <m/>
    <n v="1"/>
    <m/>
    <m/>
    <m/>
    <m/>
    <m/>
    <n v="1"/>
    <m/>
    <m/>
    <n v="1"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15"/>
  </r>
  <r>
    <x v="11"/>
    <x v="1"/>
    <n v="7947"/>
    <x v="0"/>
    <x v="3"/>
    <s v="ESOMEPRAZOLE MAGNES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1"/>
    <n v="1"/>
    <n v="1"/>
    <m/>
    <m/>
    <n v="5"/>
  </r>
  <r>
    <x v="11"/>
    <x v="1"/>
    <n v="14595"/>
    <x v="0"/>
    <x v="3"/>
    <s v="RABEPRAZOLE SODIUM"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n v="6"/>
  </r>
  <r>
    <x v="11"/>
    <x v="1"/>
    <n v="2775"/>
    <x v="1"/>
    <x v="1"/>
    <s v="RANITIDINE HCL"/>
    <n v="1"/>
    <n v="1"/>
    <n v="1"/>
    <n v="1"/>
    <n v="1"/>
    <n v="1"/>
    <n v="2"/>
    <m/>
    <n v="2"/>
    <m/>
    <n v="1"/>
    <n v="1"/>
    <n v="2"/>
    <m/>
    <n v="2"/>
    <n v="1"/>
    <n v="1"/>
    <m/>
    <n v="2"/>
    <n v="1"/>
    <m/>
    <n v="2"/>
    <m/>
    <n v="2"/>
    <n v="1"/>
    <m/>
    <n v="2"/>
    <n v="1"/>
    <m/>
    <n v="1"/>
    <n v="1"/>
    <n v="1"/>
    <n v="2"/>
    <n v="1"/>
    <n v="1"/>
    <m/>
    <n v="2"/>
    <n v="1"/>
    <n v="1"/>
    <n v="1"/>
    <n v="1"/>
    <n v="1"/>
    <m/>
    <m/>
    <m/>
    <m/>
    <n v="43"/>
  </r>
  <r>
    <x v="11"/>
    <x v="1"/>
    <n v="4308"/>
    <x v="1"/>
    <x v="3"/>
    <s v="RABEPRAZOLE SODIUM"/>
    <n v="1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4"/>
  </r>
  <r>
    <x v="11"/>
    <x v="1"/>
    <n v="449"/>
    <x v="0"/>
    <x v="0"/>
    <s v="LOVASTATIN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682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1"/>
    <x v="1"/>
    <n v="1655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622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1"/>
    <x v="1"/>
    <n v="3722"/>
    <x v="0"/>
    <x v="0"/>
    <s v="ROSU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11"/>
    <x v="1"/>
    <n v="3789"/>
    <x v="0"/>
    <x v="0"/>
    <s v="ROSUVASTATIN CALCIUM"/>
    <m/>
    <m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n v="5"/>
  </r>
  <r>
    <x v="11"/>
    <x v="1"/>
    <n v="3827"/>
    <x v="0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4"/>
  </r>
  <r>
    <x v="11"/>
    <x v="1"/>
    <n v="5500"/>
    <x v="0"/>
    <x v="0"/>
    <s v="ROSUVASTATIN CALCIUM"/>
    <m/>
    <n v="1"/>
    <m/>
    <m/>
    <n v="1"/>
    <m/>
    <m/>
    <m/>
    <n v="1"/>
    <m/>
    <m/>
    <m/>
    <n v="1"/>
    <m/>
    <n v="1"/>
    <n v="1"/>
    <m/>
    <n v="2"/>
    <m/>
    <n v="1"/>
    <m/>
    <n v="1"/>
    <m/>
    <n v="1"/>
    <n v="1"/>
    <m/>
    <m/>
    <n v="1"/>
    <m/>
    <n v="1"/>
    <m/>
    <n v="1"/>
    <m/>
    <n v="1"/>
    <m/>
    <n v="1"/>
    <m/>
    <n v="1"/>
    <m/>
    <n v="1"/>
    <m/>
    <n v="1"/>
    <m/>
    <n v="1"/>
    <m/>
    <n v="1"/>
    <n v="22"/>
  </r>
  <r>
    <x v="11"/>
    <x v="1"/>
    <n v="5876"/>
    <x v="0"/>
    <x v="0"/>
    <s v="ROSUVASTATIN CALCIUM"/>
    <m/>
    <m/>
    <m/>
    <m/>
    <m/>
    <m/>
    <n v="1"/>
    <m/>
    <m/>
    <m/>
    <m/>
    <m/>
    <m/>
    <m/>
    <m/>
    <m/>
    <m/>
    <m/>
    <n v="2"/>
    <m/>
    <m/>
    <n v="3"/>
    <m/>
    <m/>
    <m/>
    <m/>
    <m/>
    <m/>
    <m/>
    <m/>
    <m/>
    <m/>
    <m/>
    <m/>
    <n v="1"/>
    <m/>
    <m/>
    <m/>
    <m/>
    <m/>
    <m/>
    <m/>
    <m/>
    <n v="1"/>
    <m/>
    <m/>
    <n v="8"/>
  </r>
  <r>
    <x v="11"/>
    <x v="1"/>
    <n v="6413"/>
    <x v="0"/>
    <x v="0"/>
    <s v="ATORVASTATIN CALCIUM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n v="4"/>
  </r>
  <r>
    <x v="11"/>
    <x v="1"/>
    <n v="7307"/>
    <x v="0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11"/>
    <x v="1"/>
    <n v="8677"/>
    <x v="0"/>
    <x v="0"/>
    <s v="ROSUVASTATIN CALCIUM"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</r>
  <r>
    <x v="11"/>
    <x v="1"/>
    <n v="9382"/>
    <x v="0"/>
    <x v="0"/>
    <s v="SIMVASTATIN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3"/>
  </r>
  <r>
    <x v="11"/>
    <x v="1"/>
    <n v="11282"/>
    <x v="0"/>
    <x v="0"/>
    <s v="ROSUVASTATIN CALCIUM"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11"/>
    <x v="1"/>
    <n v="11716"/>
    <x v="0"/>
    <x v="0"/>
    <s v="ROSU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11"/>
    <x v="1"/>
    <n v="12214"/>
    <x v="0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1"/>
    <x v="1"/>
    <n v="12678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11"/>
    <x v="1"/>
    <n v="12926"/>
    <x v="0"/>
    <x v="0"/>
    <s v="ATORVASTATIN CALCIUM"/>
    <m/>
    <m/>
    <m/>
    <n v="1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4"/>
  </r>
  <r>
    <x v="11"/>
    <x v="1"/>
    <n v="13145"/>
    <x v="0"/>
    <x v="0"/>
    <s v="ROSUVASTATIN CALCIUM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11"/>
    <x v="1"/>
    <n v="13964"/>
    <x v="0"/>
    <x v="0"/>
    <s v="LOVASTATIN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30418"/>
    <x v="0"/>
    <x v="0"/>
    <s v="SIMVASTATIN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</r>
  <r>
    <x v="11"/>
    <x v="1"/>
    <n v="666"/>
    <x v="1"/>
    <x v="0"/>
    <s v="ROSUVASTATIN CALCIUM"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n v="5"/>
  </r>
  <r>
    <x v="11"/>
    <x v="1"/>
    <n v="3399"/>
    <x v="1"/>
    <x v="0"/>
    <s v="ROSUVASTATIN CALCIUM"/>
    <n v="1"/>
    <m/>
    <m/>
    <m/>
    <m/>
    <m/>
    <m/>
    <m/>
    <m/>
    <m/>
    <m/>
    <m/>
    <m/>
    <n v="1"/>
    <m/>
    <m/>
    <n v="1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n v="5"/>
  </r>
  <r>
    <x v="11"/>
    <x v="1"/>
    <n v="355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1"/>
    <x v="1"/>
    <n v="7958"/>
    <x v="1"/>
    <x v="0"/>
    <s v="ATORVASTATIN CALCIUM"/>
    <m/>
    <m/>
    <m/>
    <m/>
    <m/>
    <m/>
    <n v="1"/>
    <m/>
    <m/>
    <m/>
    <m/>
    <m/>
    <m/>
    <m/>
    <m/>
    <n v="1"/>
    <m/>
    <m/>
    <m/>
    <m/>
    <m/>
    <m/>
    <m/>
    <m/>
    <n v="1"/>
    <m/>
    <m/>
    <m/>
    <m/>
    <m/>
    <m/>
    <m/>
    <n v="1"/>
    <m/>
    <m/>
    <m/>
    <m/>
    <m/>
    <m/>
    <m/>
    <m/>
    <n v="1"/>
    <m/>
    <m/>
    <m/>
    <m/>
    <n v="5"/>
  </r>
  <r>
    <x v="11"/>
    <x v="1"/>
    <n v="9153"/>
    <x v="1"/>
    <x v="0"/>
    <s v="ROSU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11"/>
    <x v="1"/>
    <n v="10237"/>
    <x v="1"/>
    <x v="0"/>
    <s v="ROSUVASTATIN CALCIUM"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n v="5"/>
  </r>
  <r>
    <x v="11"/>
    <x v="1"/>
    <n v="12677"/>
    <x v="1"/>
    <x v="0"/>
    <s v="ROSU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11"/>
    <x v="1"/>
    <n v="13186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</r>
  <r>
    <x v="11"/>
    <x v="1"/>
    <n v="13416"/>
    <x v="1"/>
    <x v="6"/>
    <s v="EZETIMIBE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3"/>
  </r>
  <r>
    <x v="11"/>
    <x v="1"/>
    <n v="15016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1"/>
    <x v="1"/>
    <n v="15324"/>
    <x v="1"/>
    <x v="0"/>
    <s v="ATORVASTATIN CALCIUM"/>
    <n v="1"/>
    <m/>
    <m/>
    <m/>
    <n v="1"/>
    <m/>
    <m/>
    <m/>
    <m/>
    <n v="1"/>
    <m/>
    <m/>
    <m/>
    <n v="1"/>
    <m/>
    <m/>
    <m/>
    <n v="1"/>
    <m/>
    <n v="1"/>
    <m/>
    <m/>
    <m/>
    <m/>
    <m/>
    <n v="1"/>
    <m/>
    <m/>
    <m/>
    <m/>
    <m/>
    <n v="4"/>
    <m/>
    <m/>
    <n v="3"/>
    <m/>
    <m/>
    <m/>
    <m/>
    <n v="3"/>
    <m/>
    <m/>
    <m/>
    <m/>
    <n v="1"/>
    <m/>
    <n v="18"/>
  </r>
  <r>
    <x v="11"/>
    <x v="1"/>
    <n v="15910"/>
    <x v="1"/>
    <x v="0"/>
    <s v="ROSUVASTATIN CALCIUM"/>
    <m/>
    <m/>
    <n v="1"/>
    <m/>
    <m/>
    <m/>
    <m/>
    <m/>
    <m/>
    <n v="1"/>
    <m/>
    <m/>
    <m/>
    <n v="1"/>
    <m/>
    <m/>
    <m/>
    <m/>
    <n v="1"/>
    <m/>
    <m/>
    <m/>
    <m/>
    <n v="1"/>
    <m/>
    <m/>
    <m/>
    <n v="1"/>
    <m/>
    <m/>
    <m/>
    <m/>
    <n v="1"/>
    <m/>
    <m/>
    <m/>
    <m/>
    <m/>
    <m/>
    <m/>
    <m/>
    <m/>
    <m/>
    <m/>
    <m/>
    <n v="1"/>
    <n v="8"/>
  </r>
  <r>
    <x v="11"/>
    <x v="1"/>
    <n v="17099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927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</r>
  <r>
    <x v="11"/>
    <x v="1"/>
    <n v="20808"/>
    <x v="1"/>
    <x v="0"/>
    <s v="ROSUVASTATIN CALCIUM"/>
    <n v="1"/>
    <m/>
    <m/>
    <m/>
    <n v="1"/>
    <m/>
    <m/>
    <m/>
    <n v="1"/>
    <m/>
    <m/>
    <m/>
    <m/>
    <n v="1"/>
    <m/>
    <m/>
    <m/>
    <m/>
    <m/>
    <m/>
    <m/>
    <n v="1"/>
    <m/>
    <m/>
    <m/>
    <n v="1"/>
    <m/>
    <m/>
    <m/>
    <m/>
    <m/>
    <m/>
    <m/>
    <m/>
    <n v="1"/>
    <m/>
    <m/>
    <m/>
    <n v="1"/>
    <m/>
    <m/>
    <m/>
    <n v="1"/>
    <m/>
    <m/>
    <m/>
    <n v="9"/>
  </r>
  <r>
    <x v="11"/>
    <x v="1"/>
    <n v="30522"/>
    <x v="1"/>
    <x v="0"/>
    <s v="ATORVASTATIN CALCIUM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11"/>
    <x v="1"/>
    <n v="33432"/>
    <x v="1"/>
    <x v="0"/>
    <s v="PRAVASTATIN SODIUM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n v="3"/>
  </r>
  <r>
    <x v="11"/>
    <x v="1"/>
    <n v="33432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680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774"/>
    <x v="0"/>
    <x v="0"/>
    <s v="SIMVASTATIN"/>
    <n v="1"/>
    <n v="1"/>
    <n v="2"/>
    <m/>
    <n v="1"/>
    <n v="1"/>
    <n v="2"/>
    <m/>
    <n v="2"/>
    <m/>
    <n v="1"/>
    <n v="1"/>
    <n v="2"/>
    <m/>
    <n v="2"/>
    <n v="1"/>
    <n v="1"/>
    <n v="1"/>
    <n v="1"/>
    <n v="1"/>
    <m/>
    <n v="2"/>
    <m/>
    <n v="2"/>
    <n v="1"/>
    <m/>
    <n v="2"/>
    <n v="1"/>
    <m/>
    <n v="1"/>
    <n v="1"/>
    <n v="1"/>
    <n v="2"/>
    <n v="1"/>
    <n v="1"/>
    <n v="1"/>
    <n v="2"/>
    <n v="1"/>
    <n v="1"/>
    <n v="1"/>
    <n v="1"/>
    <n v="1"/>
    <n v="1"/>
    <m/>
    <n v="1"/>
    <n v="2"/>
    <n v="48"/>
  </r>
  <r>
    <x v="11"/>
    <x v="1"/>
    <n v="7915"/>
    <x v="0"/>
    <x v="0"/>
    <s v="ROSUVASTATIN CALCIUM"/>
    <m/>
    <m/>
    <m/>
    <m/>
    <m/>
    <m/>
    <m/>
    <n v="1"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n v="1"/>
    <m/>
    <n v="5"/>
  </r>
  <r>
    <x v="11"/>
    <x v="1"/>
    <n v="10238"/>
    <x v="0"/>
    <x v="0"/>
    <s v="ROSUVASTATIN CALC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11"/>
    <x v="1"/>
    <n v="10736"/>
    <x v="0"/>
    <x v="0"/>
    <s v="ROSUVASTATIN CALCIUM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3"/>
  </r>
  <r>
    <x v="11"/>
    <x v="1"/>
    <n v="1171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1"/>
    <x v="1"/>
    <n v="11750"/>
    <x v="0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1"/>
    <x v="1"/>
    <n v="12131"/>
    <x v="0"/>
    <x v="0"/>
    <s v="ROSUVASTATIN CALC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2"/>
    <m/>
    <m/>
    <m/>
    <m/>
    <m/>
    <m/>
    <m/>
    <n v="3"/>
  </r>
  <r>
    <x v="11"/>
    <x v="1"/>
    <n v="12703"/>
    <x v="0"/>
    <x v="0"/>
    <s v="ROSUVASTATIN CALCIUM"/>
    <m/>
    <n v="1"/>
    <m/>
    <m/>
    <m/>
    <n v="1"/>
    <m/>
    <m/>
    <m/>
    <n v="1"/>
    <m/>
    <m/>
    <m/>
    <m/>
    <n v="1"/>
    <m/>
    <m/>
    <m/>
    <m/>
    <n v="1"/>
    <m/>
    <n v="1"/>
    <m/>
    <n v="1"/>
    <m/>
    <m/>
    <m/>
    <n v="1"/>
    <m/>
    <m/>
    <m/>
    <n v="3"/>
    <m/>
    <m/>
    <m/>
    <m/>
    <n v="1"/>
    <m/>
    <m/>
    <m/>
    <n v="1"/>
    <m/>
    <m/>
    <m/>
    <n v="1"/>
    <m/>
    <n v="14"/>
  </r>
  <r>
    <x v="11"/>
    <x v="1"/>
    <n v="14810"/>
    <x v="0"/>
    <x v="0"/>
    <s v="ROSUVASTATIN CALCIUM"/>
    <m/>
    <n v="1"/>
    <m/>
    <n v="1"/>
    <m/>
    <n v="1"/>
    <m/>
    <n v="1"/>
    <m/>
    <n v="1"/>
    <m/>
    <n v="1"/>
    <m/>
    <n v="2"/>
    <m/>
    <m/>
    <m/>
    <m/>
    <m/>
    <n v="1"/>
    <m/>
    <n v="1"/>
    <m/>
    <n v="1"/>
    <m/>
    <n v="1"/>
    <n v="1"/>
    <m/>
    <m/>
    <m/>
    <m/>
    <n v="1"/>
    <m/>
    <n v="1"/>
    <m/>
    <m/>
    <n v="1"/>
    <m/>
    <n v="1"/>
    <m/>
    <n v="1"/>
    <m/>
    <m/>
    <n v="1"/>
    <n v="1"/>
    <m/>
    <n v="20"/>
  </r>
  <r>
    <x v="11"/>
    <x v="1"/>
    <n v="20827"/>
    <x v="0"/>
    <x v="0"/>
    <s v="ROSUVASTATIN CALCIUM"/>
    <n v="1"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5"/>
  </r>
  <r>
    <x v="11"/>
    <x v="1"/>
    <n v="293"/>
    <x v="1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4"/>
  </r>
  <r>
    <x v="11"/>
    <x v="1"/>
    <n v="1679"/>
    <x v="1"/>
    <x v="0"/>
    <s v="SIMVASTATIN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n v="4"/>
  </r>
  <r>
    <x v="11"/>
    <x v="1"/>
    <n v="364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n v="2"/>
  </r>
  <r>
    <x v="11"/>
    <x v="1"/>
    <n v="3908"/>
    <x v="1"/>
    <x v="0"/>
    <s v="ROSUVASTATIN CALCIUM"/>
    <m/>
    <m/>
    <m/>
    <n v="1"/>
    <m/>
    <m/>
    <m/>
    <m/>
    <m/>
    <m/>
    <n v="1"/>
    <m/>
    <n v="1"/>
    <m/>
    <m/>
    <m/>
    <m/>
    <m/>
    <n v="1"/>
    <m/>
    <m/>
    <m/>
    <m/>
    <n v="1"/>
    <m/>
    <m/>
    <m/>
    <m/>
    <n v="1"/>
    <n v="1"/>
    <m/>
    <m/>
    <m/>
    <m/>
    <n v="1"/>
    <m/>
    <m/>
    <m/>
    <m/>
    <n v="1"/>
    <m/>
    <m/>
    <m/>
    <m/>
    <n v="1"/>
    <m/>
    <n v="10"/>
  </r>
  <r>
    <x v="11"/>
    <x v="1"/>
    <n v="6409"/>
    <x v="1"/>
    <x v="0"/>
    <s v="ATORVASTATIN CALCIUM"/>
    <m/>
    <m/>
    <m/>
    <m/>
    <n v="1"/>
    <m/>
    <m/>
    <m/>
    <m/>
    <m/>
    <m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m/>
    <n v="5"/>
  </r>
  <r>
    <x v="11"/>
    <x v="1"/>
    <n v="6777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11"/>
    <x v="1"/>
    <n v="7398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n v="3"/>
  </r>
  <r>
    <x v="11"/>
    <x v="1"/>
    <n v="7691"/>
    <x v="1"/>
    <x v="0"/>
    <s v="ROSUVASTATIN CALCIUM"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11"/>
    <x v="1"/>
    <n v="7946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n v="1"/>
    <m/>
    <n v="2"/>
    <m/>
    <n v="1"/>
    <m/>
    <n v="1"/>
    <m/>
    <m/>
    <m/>
    <m/>
    <n v="8"/>
  </r>
  <r>
    <x v="11"/>
    <x v="1"/>
    <n v="11673"/>
    <x v="1"/>
    <x v="0"/>
    <s v="ROSUVASTATIN CALC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  <m/>
    <n v="5"/>
  </r>
  <r>
    <x v="11"/>
    <x v="1"/>
    <n v="11717"/>
    <x v="1"/>
    <x v="0"/>
    <s v="ROSU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2"/>
  </r>
  <r>
    <x v="11"/>
    <x v="1"/>
    <n v="1173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n v="1"/>
    <m/>
    <m/>
    <m/>
    <m/>
    <n v="1"/>
    <m/>
    <n v="4"/>
  </r>
  <r>
    <x v="11"/>
    <x v="1"/>
    <n v="11731"/>
    <x v="1"/>
    <x v="0"/>
    <s v="LOVASTATIN"/>
    <m/>
    <m/>
    <m/>
    <m/>
    <m/>
    <m/>
    <m/>
    <m/>
    <m/>
    <m/>
    <n v="1"/>
    <m/>
    <m/>
    <m/>
    <m/>
    <m/>
    <m/>
    <m/>
    <n v="2"/>
    <m/>
    <m/>
    <m/>
    <m/>
    <m/>
    <m/>
    <m/>
    <n v="1"/>
    <m/>
    <m/>
    <m/>
    <m/>
    <m/>
    <m/>
    <m/>
    <m/>
    <m/>
    <m/>
    <m/>
    <m/>
    <m/>
    <m/>
    <m/>
    <m/>
    <m/>
    <m/>
    <m/>
    <n v="4"/>
  </r>
  <r>
    <x v="11"/>
    <x v="1"/>
    <n v="11731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1749"/>
    <x v="1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1"/>
    <x v="1"/>
    <n v="11852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2"/>
  </r>
  <r>
    <x v="11"/>
    <x v="1"/>
    <n v="13194"/>
    <x v="1"/>
    <x v="0"/>
    <s v="ATORVASTATIN CALCIUM"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m/>
    <n v="1"/>
    <m/>
    <m/>
    <m/>
    <m/>
    <n v="1"/>
    <m/>
    <m/>
    <m/>
    <m/>
    <m/>
    <m/>
    <n v="9"/>
  </r>
  <r>
    <x v="11"/>
    <x v="1"/>
    <n v="13194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1"/>
    <x v="1"/>
    <n v="1350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4198"/>
    <x v="1"/>
    <x v="0"/>
    <s v="ROSUVASTATIN CALCIUM"/>
    <m/>
    <m/>
    <m/>
    <m/>
    <m/>
    <m/>
    <m/>
    <m/>
    <m/>
    <m/>
    <n v="3"/>
    <m/>
    <m/>
    <m/>
    <m/>
    <m/>
    <m/>
    <m/>
    <m/>
    <m/>
    <m/>
    <m/>
    <m/>
    <m/>
    <n v="1"/>
    <m/>
    <m/>
    <m/>
    <n v="1"/>
    <m/>
    <m/>
    <m/>
    <m/>
    <m/>
    <m/>
    <m/>
    <m/>
    <n v="1"/>
    <m/>
    <m/>
    <m/>
    <m/>
    <m/>
    <m/>
    <m/>
    <m/>
    <n v="6"/>
  </r>
  <r>
    <x v="11"/>
    <x v="1"/>
    <n v="14198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1"/>
    <x v="1"/>
    <n v="14210"/>
    <x v="1"/>
    <x v="0"/>
    <s v="ROSUVASTATIN CALCIUM"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n v="3"/>
  </r>
  <r>
    <x v="11"/>
    <x v="1"/>
    <n v="14469"/>
    <x v="1"/>
    <x v="0"/>
    <s v="ATORVASTATIN CALCIUM"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m/>
    <m/>
    <m/>
    <n v="1"/>
    <m/>
    <n v="5"/>
  </r>
  <r>
    <x v="11"/>
    <x v="1"/>
    <n v="14469"/>
    <x v="1"/>
    <x v="6"/>
    <s v="EZETIMIBE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11"/>
    <x v="1"/>
    <n v="15676"/>
    <x v="1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1"/>
    <n v="4"/>
  </r>
  <r>
    <x v="11"/>
    <x v="1"/>
    <n v="1642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642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1"/>
    <x v="1"/>
    <n v="23021"/>
    <x v="1"/>
    <x v="0"/>
    <s v="ROSUVASTATIN CALC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11"/>
    <x v="1"/>
    <n v="30955"/>
    <x v="1"/>
    <x v="0"/>
    <s v="ROSUVASTATIN CALC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444"/>
    <x v="0"/>
    <x v="0"/>
    <s v="ATOR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12"/>
    <x v="1"/>
    <n v="153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2"/>
    <x v="1"/>
    <n v="6023"/>
    <x v="0"/>
    <x v="3"/>
    <s v="ESOMEPRAZOLE MAGNESIUM"/>
    <m/>
    <m/>
    <m/>
    <m/>
    <n v="1"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12"/>
    <x v="1"/>
    <n v="621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8134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3"/>
  </r>
  <r>
    <x v="12"/>
    <x v="1"/>
    <n v="1132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n v="2"/>
  </r>
  <r>
    <x v="12"/>
    <x v="1"/>
    <n v="11328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3"/>
  </r>
  <r>
    <x v="12"/>
    <x v="1"/>
    <n v="11953"/>
    <x v="0"/>
    <x v="1"/>
    <s v="RANITIDINE HCL"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2"/>
  </r>
  <r>
    <x v="12"/>
    <x v="1"/>
    <n v="12014"/>
    <x v="0"/>
    <x v="0"/>
    <s v="ROSUVASTATIN CALCIUM"/>
    <m/>
    <m/>
    <m/>
    <m/>
    <m/>
    <n v="1"/>
    <m/>
    <m/>
    <m/>
    <m/>
    <n v="1"/>
    <m/>
    <m/>
    <m/>
    <m/>
    <n v="2"/>
    <m/>
    <m/>
    <m/>
    <n v="1"/>
    <m/>
    <m/>
    <m/>
    <m/>
    <n v="2"/>
    <m/>
    <m/>
    <m/>
    <m/>
    <m/>
    <m/>
    <m/>
    <m/>
    <m/>
    <m/>
    <n v="1"/>
    <n v="1"/>
    <m/>
    <m/>
    <m/>
    <m/>
    <m/>
    <m/>
    <m/>
    <m/>
    <m/>
    <n v="9"/>
  </r>
  <r>
    <x v="12"/>
    <x v="1"/>
    <n v="1353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4045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n v="2"/>
  </r>
  <r>
    <x v="12"/>
    <x v="1"/>
    <n v="1678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2"/>
    <x v="1"/>
    <n v="29236"/>
    <x v="0"/>
    <x v="0"/>
    <s v="FLUVASTATIN SOD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12"/>
    <x v="1"/>
    <n v="825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  <m/>
    <m/>
    <m/>
    <n v="1"/>
    <m/>
    <m/>
    <m/>
    <m/>
    <m/>
    <m/>
    <m/>
    <m/>
    <m/>
    <m/>
    <m/>
    <n v="5"/>
  </r>
  <r>
    <x v="12"/>
    <x v="1"/>
    <n v="4816"/>
    <x v="1"/>
    <x v="0"/>
    <s v="SIMVASTATIN"/>
    <m/>
    <m/>
    <m/>
    <m/>
    <m/>
    <m/>
    <m/>
    <m/>
    <m/>
    <m/>
    <m/>
    <m/>
    <m/>
    <m/>
    <n v="1"/>
    <m/>
    <m/>
    <m/>
    <n v="1"/>
    <m/>
    <m/>
    <n v="1"/>
    <m/>
    <m/>
    <n v="1"/>
    <m/>
    <m/>
    <n v="1"/>
    <m/>
    <m/>
    <n v="1"/>
    <m/>
    <n v="1"/>
    <m/>
    <n v="1"/>
    <m/>
    <m/>
    <n v="1"/>
    <m/>
    <m/>
    <m/>
    <m/>
    <m/>
    <m/>
    <m/>
    <m/>
    <n v="9"/>
  </r>
  <r>
    <x v="12"/>
    <x v="1"/>
    <n v="5361"/>
    <x v="1"/>
    <x v="0"/>
    <s v="ROSU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12"/>
    <x v="1"/>
    <n v="5361"/>
    <x v="1"/>
    <x v="0"/>
    <s v="SIMVASTATIN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</r>
  <r>
    <x v="12"/>
    <x v="1"/>
    <n v="5564"/>
    <x v="1"/>
    <x v="0"/>
    <s v="ATORVASTATIN CALC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3"/>
  </r>
  <r>
    <x v="12"/>
    <x v="1"/>
    <n v="6321"/>
    <x v="1"/>
    <x v="0"/>
    <s v="SIMVASTATIN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3"/>
  </r>
  <r>
    <x v="12"/>
    <x v="1"/>
    <n v="6359"/>
    <x v="1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6525"/>
    <x v="1"/>
    <x v="0"/>
    <s v="ROSUVASTATIN CALCIUM"/>
    <m/>
    <m/>
    <m/>
    <m/>
    <n v="1"/>
    <n v="1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1"/>
    <n v="5"/>
  </r>
  <r>
    <x v="12"/>
    <x v="1"/>
    <n v="7516"/>
    <x v="1"/>
    <x v="0"/>
    <s v="ATORVASTATIN CALCIUM"/>
    <m/>
    <m/>
    <m/>
    <n v="1"/>
    <m/>
    <m/>
    <m/>
    <m/>
    <m/>
    <m/>
    <m/>
    <m/>
    <m/>
    <m/>
    <m/>
    <m/>
    <m/>
    <n v="2"/>
    <m/>
    <m/>
    <m/>
    <n v="1"/>
    <m/>
    <m/>
    <m/>
    <n v="1"/>
    <m/>
    <m/>
    <m/>
    <m/>
    <m/>
    <n v="1"/>
    <m/>
    <m/>
    <n v="1"/>
    <m/>
    <m/>
    <m/>
    <m/>
    <m/>
    <m/>
    <m/>
    <m/>
    <m/>
    <m/>
    <m/>
    <n v="7"/>
  </r>
  <r>
    <x v="12"/>
    <x v="1"/>
    <n v="7696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3"/>
  </r>
  <r>
    <x v="12"/>
    <x v="1"/>
    <n v="7696"/>
    <x v="1"/>
    <x v="6"/>
    <s v="EZETIMIBE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1"/>
    <m/>
    <n v="4"/>
  </r>
  <r>
    <x v="12"/>
    <x v="1"/>
    <n v="8029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8029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8029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8199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12"/>
    <x v="1"/>
    <n v="8669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n v="3"/>
  </r>
  <r>
    <x v="12"/>
    <x v="1"/>
    <n v="8863"/>
    <x v="1"/>
    <x v="0"/>
    <s v="ROSUVASTATIN CALCIUM"/>
    <m/>
    <m/>
    <m/>
    <n v="1"/>
    <m/>
    <m/>
    <m/>
    <n v="1"/>
    <m/>
    <m/>
    <m/>
    <n v="1"/>
    <m/>
    <m/>
    <m/>
    <n v="1"/>
    <m/>
    <m/>
    <m/>
    <n v="1"/>
    <m/>
    <m/>
    <n v="1"/>
    <m/>
    <m/>
    <n v="1"/>
    <m/>
    <m/>
    <m/>
    <m/>
    <m/>
    <m/>
    <n v="1"/>
    <m/>
    <m/>
    <m/>
    <m/>
    <m/>
    <m/>
    <m/>
    <m/>
    <m/>
    <m/>
    <m/>
    <m/>
    <m/>
    <n v="8"/>
  </r>
  <r>
    <x v="12"/>
    <x v="1"/>
    <n v="10235"/>
    <x v="1"/>
    <x v="0"/>
    <s v="ROSUVASTATIN CALCIUM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4"/>
  </r>
  <r>
    <x v="12"/>
    <x v="1"/>
    <n v="10915"/>
    <x v="1"/>
    <x v="0"/>
    <s v="ATORVASTATIN CALCIUM"/>
    <m/>
    <n v="1"/>
    <m/>
    <m/>
    <m/>
    <n v="1"/>
    <m/>
    <m/>
    <m/>
    <m/>
    <n v="1"/>
    <m/>
    <m/>
    <m/>
    <m/>
    <n v="1"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n v="6"/>
  </r>
  <r>
    <x v="12"/>
    <x v="1"/>
    <n v="11542"/>
    <x v="1"/>
    <x v="0"/>
    <s v="ATORVASTATIN CALCIUM"/>
    <m/>
    <m/>
    <m/>
    <m/>
    <m/>
    <m/>
    <m/>
    <m/>
    <m/>
    <n v="1"/>
    <m/>
    <m/>
    <m/>
    <m/>
    <m/>
    <m/>
    <m/>
    <m/>
    <m/>
    <n v="1"/>
    <m/>
    <m/>
    <n v="1"/>
    <m/>
    <m/>
    <m/>
    <m/>
    <m/>
    <m/>
    <m/>
    <m/>
    <m/>
    <m/>
    <m/>
    <m/>
    <m/>
    <n v="1"/>
    <m/>
    <m/>
    <m/>
    <m/>
    <m/>
    <m/>
    <m/>
    <n v="1"/>
    <m/>
    <n v="5"/>
  </r>
  <r>
    <x v="12"/>
    <x v="1"/>
    <n v="13167"/>
    <x v="1"/>
    <x v="0"/>
    <s v="ROSUVASTATIN CALCIUM"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12"/>
    <x v="1"/>
    <n v="13789"/>
    <x v="1"/>
    <x v="3"/>
    <s v="RABEPRAZOLE SODIUM"/>
    <m/>
    <m/>
    <m/>
    <m/>
    <n v="3"/>
    <m/>
    <m/>
    <m/>
    <m/>
    <m/>
    <n v="1"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n v="6"/>
  </r>
  <r>
    <x v="12"/>
    <x v="1"/>
    <n v="14139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5488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12"/>
    <x v="1"/>
    <n v="16269"/>
    <x v="1"/>
    <x v="0"/>
    <s v="ATORVASTATIN CALCIUM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7"/>
  </r>
  <r>
    <x v="12"/>
    <x v="1"/>
    <n v="22897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n v="3"/>
  </r>
  <r>
    <x v="12"/>
    <x v="1"/>
    <n v="23517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2"/>
    <x v="1"/>
    <n v="3086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2664"/>
    <x v="1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2"/>
    <x v="1"/>
    <n v="32664"/>
    <x v="1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0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n v="1"/>
    <m/>
    <m/>
    <m/>
    <n v="1"/>
    <m/>
    <m/>
    <m/>
    <m/>
    <n v="1"/>
    <m/>
    <m/>
    <m/>
    <n v="5"/>
  </r>
  <r>
    <x v="12"/>
    <x v="1"/>
    <n v="123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48"/>
    <x v="0"/>
    <x v="0"/>
    <s v="ROSUVASTATIN CALCIUM"/>
    <m/>
    <m/>
    <m/>
    <m/>
    <n v="2"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n v="2"/>
    <m/>
    <m/>
    <m/>
    <m/>
    <m/>
    <m/>
    <m/>
    <m/>
    <m/>
    <m/>
    <m/>
    <n v="10"/>
  </r>
  <r>
    <x v="12"/>
    <x v="1"/>
    <n v="77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2"/>
    <x v="1"/>
    <n v="1880"/>
    <x v="0"/>
    <x v="3"/>
    <s v="RABEPRAZOLE SODIUM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n v="4"/>
  </r>
  <r>
    <x v="12"/>
    <x v="1"/>
    <n v="1896"/>
    <x v="0"/>
    <x v="9"/>
    <s v="CHOLESTYRAMINE/ASPARTAME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12"/>
    <x v="1"/>
    <n v="1896"/>
    <x v="0"/>
    <x v="0"/>
    <s v="SIMVASTATIN"/>
    <m/>
    <m/>
    <m/>
    <n v="1"/>
    <m/>
    <m/>
    <m/>
    <n v="1"/>
    <m/>
    <m/>
    <m/>
    <n v="1"/>
    <m/>
    <m/>
    <m/>
    <n v="1"/>
    <m/>
    <m/>
    <m/>
    <n v="1"/>
    <m/>
    <m/>
    <n v="1"/>
    <m/>
    <m/>
    <n v="1"/>
    <m/>
    <m/>
    <n v="1"/>
    <m/>
    <m/>
    <n v="1"/>
    <m/>
    <m/>
    <m/>
    <n v="1"/>
    <m/>
    <m/>
    <m/>
    <n v="1"/>
    <m/>
    <m/>
    <m/>
    <n v="1"/>
    <m/>
    <m/>
    <n v="12"/>
  </r>
  <r>
    <x v="12"/>
    <x v="1"/>
    <n v="3449"/>
    <x v="0"/>
    <x v="3"/>
    <s v="ESOMEPRAZOLE MAGNESIUM"/>
    <m/>
    <m/>
    <m/>
    <m/>
    <m/>
    <m/>
    <m/>
    <m/>
    <m/>
    <m/>
    <n v="1"/>
    <m/>
    <m/>
    <n v="1"/>
    <m/>
    <n v="1"/>
    <m/>
    <m/>
    <m/>
    <m/>
    <m/>
    <m/>
    <m/>
    <n v="1"/>
    <m/>
    <m/>
    <n v="1"/>
    <m/>
    <m/>
    <m/>
    <n v="1"/>
    <m/>
    <m/>
    <m/>
    <m/>
    <m/>
    <n v="1"/>
    <n v="1"/>
    <m/>
    <m/>
    <n v="2"/>
    <m/>
    <m/>
    <n v="1"/>
    <m/>
    <m/>
    <n v="11"/>
  </r>
  <r>
    <x v="12"/>
    <x v="1"/>
    <n v="4566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2"/>
    <x v="1"/>
    <n v="4566"/>
    <x v="0"/>
    <x v="4"/>
    <s v="SUCRALFATE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4566"/>
    <x v="0"/>
    <x v="3"/>
    <s v="ESOMEPRAZOLE MAGNESIUM"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n v="4"/>
  </r>
  <r>
    <x v="12"/>
    <x v="1"/>
    <n v="5513"/>
    <x v="0"/>
    <x v="0"/>
    <s v="ROSUVASTATIN CALCIUM"/>
    <n v="3"/>
    <n v="3"/>
    <n v="3"/>
    <n v="4"/>
    <n v="3"/>
    <n v="3"/>
    <n v="3"/>
    <n v="3"/>
    <n v="3"/>
    <n v="3"/>
    <n v="3"/>
    <n v="3"/>
    <n v="3"/>
    <n v="3"/>
    <n v="1"/>
    <n v="1"/>
    <n v="3"/>
    <n v="3"/>
    <n v="4"/>
    <n v="3"/>
    <n v="3"/>
    <n v="3"/>
    <n v="3"/>
    <n v="3"/>
    <n v="3"/>
    <n v="3"/>
    <n v="3"/>
    <n v="3"/>
    <n v="3"/>
    <n v="3"/>
    <n v="3"/>
    <n v="2"/>
    <n v="3"/>
    <n v="3"/>
    <n v="4"/>
    <n v="3"/>
    <n v="3"/>
    <n v="3"/>
    <n v="3"/>
    <n v="3"/>
    <n v="3"/>
    <n v="3"/>
    <n v="4"/>
    <n v="3"/>
    <n v="3"/>
    <n v="3"/>
    <n v="137"/>
  </r>
  <r>
    <x v="12"/>
    <x v="1"/>
    <n v="5854"/>
    <x v="0"/>
    <x v="0"/>
    <s v="ATORVASTATIN CALCIUM"/>
    <m/>
    <m/>
    <n v="2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23"/>
  </r>
  <r>
    <x v="12"/>
    <x v="1"/>
    <n v="5856"/>
    <x v="0"/>
    <x v="0"/>
    <s v="ROSUVASTATIN CALC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12"/>
    <x v="1"/>
    <n v="7370"/>
    <x v="0"/>
    <x v="0"/>
    <s v="ROSUVASTATIN CALCIUM"/>
    <m/>
    <m/>
    <n v="1"/>
    <m/>
    <m/>
    <m/>
    <m/>
    <m/>
    <m/>
    <m/>
    <m/>
    <n v="1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5"/>
  </r>
  <r>
    <x v="12"/>
    <x v="1"/>
    <n v="7461"/>
    <x v="0"/>
    <x v="0"/>
    <s v="ROSUVASTATIN CALC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4"/>
  </r>
  <r>
    <x v="12"/>
    <x v="1"/>
    <n v="7684"/>
    <x v="0"/>
    <x v="0"/>
    <s v="ATORVASTATIN CALCIUM"/>
    <m/>
    <m/>
    <n v="1"/>
    <m/>
    <m/>
    <m/>
    <n v="1"/>
    <m/>
    <m/>
    <m/>
    <m/>
    <m/>
    <m/>
    <m/>
    <m/>
    <m/>
    <m/>
    <m/>
    <n v="1"/>
    <m/>
    <m/>
    <n v="1"/>
    <m/>
    <m/>
    <n v="1"/>
    <m/>
    <m/>
    <n v="1"/>
    <m/>
    <m/>
    <n v="1"/>
    <m/>
    <m/>
    <n v="1"/>
    <m/>
    <m/>
    <m/>
    <n v="1"/>
    <m/>
    <m/>
    <m/>
    <n v="1"/>
    <m/>
    <m/>
    <m/>
    <n v="1"/>
    <n v="11"/>
  </r>
  <r>
    <x v="12"/>
    <x v="1"/>
    <n v="7811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3"/>
  </r>
  <r>
    <x v="12"/>
    <x v="1"/>
    <n v="8554"/>
    <x v="0"/>
    <x v="3"/>
    <s v="RABEPRAZOLE SODIUM"/>
    <n v="1"/>
    <m/>
    <m/>
    <m/>
    <n v="1"/>
    <m/>
    <m/>
    <m/>
    <n v="1"/>
    <m/>
    <m/>
    <m/>
    <m/>
    <n v="1"/>
    <m/>
    <m/>
    <n v="1"/>
    <m/>
    <m/>
    <m/>
    <n v="1"/>
    <m/>
    <m/>
    <m/>
    <n v="1"/>
    <m/>
    <m/>
    <m/>
    <n v="1"/>
    <m/>
    <n v="1"/>
    <m/>
    <m/>
    <n v="1"/>
    <m/>
    <m/>
    <m/>
    <n v="1"/>
    <m/>
    <m/>
    <n v="1"/>
    <m/>
    <m/>
    <m/>
    <n v="1"/>
    <n v="1"/>
    <n v="14"/>
  </r>
  <r>
    <x v="12"/>
    <x v="1"/>
    <n v="8973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</r>
  <r>
    <x v="12"/>
    <x v="1"/>
    <n v="10294"/>
    <x v="0"/>
    <x v="0"/>
    <s v="ROSU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12"/>
    <x v="1"/>
    <n v="11156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n v="4"/>
  </r>
  <r>
    <x v="12"/>
    <x v="1"/>
    <n v="11897"/>
    <x v="0"/>
    <x v="3"/>
    <s v="ESOMEPRAZOLE MAGNESIUM"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n v="3"/>
  </r>
  <r>
    <x v="12"/>
    <x v="1"/>
    <n v="1225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12"/>
    <x v="1"/>
    <n v="12448"/>
    <x v="0"/>
    <x v="9"/>
    <s v="CHOLESTYRAMINE/ASPARTAME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2540"/>
    <x v="0"/>
    <x v="3"/>
    <s v="ESOMEPRAZOLE MAGNES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n v="3"/>
  </r>
  <r>
    <x v="12"/>
    <x v="1"/>
    <n v="12578"/>
    <x v="0"/>
    <x v="3"/>
    <s v="RABEPRAZOLE SOD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12"/>
    <x v="1"/>
    <n v="13008"/>
    <x v="0"/>
    <x v="0"/>
    <s v="ATORVASTATIN CALCIUM"/>
    <m/>
    <m/>
    <m/>
    <m/>
    <m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m/>
    <n v="1"/>
    <m/>
    <m/>
    <m/>
    <m/>
    <m/>
    <m/>
    <m/>
    <m/>
    <m/>
    <m/>
    <n v="4"/>
  </r>
  <r>
    <x v="12"/>
    <x v="1"/>
    <n v="13522"/>
    <x v="0"/>
    <x v="0"/>
    <s v="ROSUVASTATIN CALCIUM"/>
    <m/>
    <m/>
    <m/>
    <n v="1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n v="1"/>
    <m/>
    <m/>
    <m/>
    <m/>
    <m/>
    <m/>
    <m/>
    <m/>
    <m/>
    <m/>
    <m/>
    <m/>
    <n v="4"/>
  </r>
  <r>
    <x v="12"/>
    <x v="1"/>
    <n v="1370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3860"/>
    <x v="0"/>
    <x v="3"/>
    <s v="PANTOPRAZOLE MAGNESIUM"/>
    <m/>
    <m/>
    <m/>
    <m/>
    <m/>
    <m/>
    <m/>
    <m/>
    <m/>
    <m/>
    <m/>
    <m/>
    <m/>
    <n v="2"/>
    <m/>
    <m/>
    <m/>
    <m/>
    <n v="1"/>
    <m/>
    <m/>
    <m/>
    <n v="1"/>
    <m/>
    <m/>
    <m/>
    <m/>
    <n v="1"/>
    <m/>
    <m/>
    <m/>
    <m/>
    <n v="1"/>
    <m/>
    <m/>
    <m/>
    <m/>
    <m/>
    <m/>
    <n v="1"/>
    <m/>
    <m/>
    <m/>
    <n v="3"/>
    <m/>
    <m/>
    <n v="10"/>
  </r>
  <r>
    <x v="12"/>
    <x v="1"/>
    <n v="13960"/>
    <x v="0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n v="2"/>
  </r>
  <r>
    <x v="12"/>
    <x v="1"/>
    <n v="13960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2"/>
    <x v="1"/>
    <n v="14183"/>
    <x v="0"/>
    <x v="0"/>
    <s v="ROSUVASTATIN CALCIUM"/>
    <m/>
    <m/>
    <m/>
    <n v="1"/>
    <m/>
    <n v="1"/>
    <m/>
    <n v="1"/>
    <m/>
    <m/>
    <m/>
    <n v="1"/>
    <m/>
    <m/>
    <m/>
    <n v="1"/>
    <m/>
    <m/>
    <m/>
    <n v="1"/>
    <m/>
    <m/>
    <n v="1"/>
    <m/>
    <m/>
    <n v="1"/>
    <m/>
    <m/>
    <n v="1"/>
    <m/>
    <m/>
    <n v="1"/>
    <m/>
    <n v="1"/>
    <m/>
    <m/>
    <n v="1"/>
    <m/>
    <m/>
    <n v="1"/>
    <m/>
    <m/>
    <m/>
    <m/>
    <m/>
    <m/>
    <n v="13"/>
  </r>
  <r>
    <x v="12"/>
    <x v="1"/>
    <n v="14691"/>
    <x v="0"/>
    <x v="3"/>
    <s v="ESOMEPRAZOLE MAGNESIUM"/>
    <m/>
    <m/>
    <m/>
    <m/>
    <m/>
    <m/>
    <n v="1"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n v="5"/>
  </r>
  <r>
    <x v="12"/>
    <x v="1"/>
    <n v="14908"/>
    <x v="0"/>
    <x v="0"/>
    <s v="ROSUVASTATIN CALCIUM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n v="1"/>
    <m/>
    <m/>
    <n v="12"/>
  </r>
  <r>
    <x v="12"/>
    <x v="1"/>
    <n v="15965"/>
    <x v="0"/>
    <x v="3"/>
    <s v="ESOMEPRAZOLE MAGNESIUM"/>
    <m/>
    <m/>
    <m/>
    <m/>
    <n v="1"/>
    <m/>
    <m/>
    <m/>
    <n v="1"/>
    <m/>
    <m/>
    <m/>
    <n v="1"/>
    <m/>
    <m/>
    <m/>
    <m/>
    <m/>
    <n v="1"/>
    <m/>
    <m/>
    <m/>
    <m/>
    <n v="1"/>
    <m/>
    <m/>
    <m/>
    <n v="1"/>
    <m/>
    <m/>
    <m/>
    <m/>
    <n v="1"/>
    <m/>
    <m/>
    <n v="1"/>
    <m/>
    <m/>
    <m/>
    <m/>
    <m/>
    <n v="1"/>
    <m/>
    <m/>
    <m/>
    <n v="1"/>
    <n v="10"/>
  </r>
  <r>
    <x v="12"/>
    <x v="1"/>
    <n v="16984"/>
    <x v="0"/>
    <x v="3"/>
    <s v="PANTOPRAZOLE SOD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m/>
    <m/>
    <m/>
    <m/>
    <m/>
    <n v="2"/>
    <m/>
    <m/>
    <m/>
    <m/>
    <m/>
    <m/>
    <n v="6"/>
  </r>
  <r>
    <x v="12"/>
    <x v="1"/>
    <n v="17520"/>
    <x v="0"/>
    <x v="3"/>
    <s v="ESOMEPRAZOLE MAGNESIUM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  <m/>
    <n v="5"/>
  </r>
  <r>
    <x v="12"/>
    <x v="1"/>
    <n v="1752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8295"/>
    <x v="0"/>
    <x v="0"/>
    <s v="ROSUVASTATIN CALC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3"/>
  </r>
  <r>
    <x v="12"/>
    <x v="1"/>
    <n v="18884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2"/>
    <x v="1"/>
    <n v="1888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8962"/>
    <x v="0"/>
    <x v="3"/>
    <s v="ESOMEPRAZOLE MAGNESIUM"/>
    <m/>
    <n v="1"/>
    <m/>
    <m/>
    <m/>
    <n v="1"/>
    <m/>
    <m/>
    <m/>
    <n v="1"/>
    <m/>
    <m/>
    <m/>
    <n v="1"/>
    <m/>
    <m/>
    <m/>
    <n v="1"/>
    <m/>
    <m/>
    <m/>
    <n v="1"/>
    <m/>
    <m/>
    <n v="1"/>
    <m/>
    <m/>
    <m/>
    <m/>
    <n v="1"/>
    <m/>
    <m/>
    <n v="1"/>
    <m/>
    <m/>
    <m/>
    <m/>
    <n v="1"/>
    <m/>
    <m/>
    <m/>
    <n v="1"/>
    <m/>
    <m/>
    <m/>
    <n v="2"/>
    <n v="13"/>
  </r>
  <r>
    <x v="12"/>
    <x v="1"/>
    <n v="21214"/>
    <x v="0"/>
    <x v="3"/>
    <s v="RABEPRAZOLE SODIUM"/>
    <m/>
    <m/>
    <m/>
    <m/>
    <n v="1"/>
    <m/>
    <m/>
    <m/>
    <n v="1"/>
    <m/>
    <m/>
    <n v="1"/>
    <m/>
    <m/>
    <m/>
    <m/>
    <n v="1"/>
    <m/>
    <m/>
    <n v="1"/>
    <m/>
    <m/>
    <m/>
    <m/>
    <n v="2"/>
    <m/>
    <m/>
    <n v="1"/>
    <m/>
    <m/>
    <m/>
    <n v="1"/>
    <m/>
    <m/>
    <m/>
    <m/>
    <n v="1"/>
    <m/>
    <m/>
    <n v="1"/>
    <m/>
    <m/>
    <m/>
    <m/>
    <n v="1"/>
    <m/>
    <n v="12"/>
  </r>
  <r>
    <x v="12"/>
    <x v="1"/>
    <n v="2130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2"/>
    <x v="1"/>
    <n v="22011"/>
    <x v="0"/>
    <x v="3"/>
    <s v="LANSOPRAZOLE"/>
    <m/>
    <m/>
    <m/>
    <n v="2"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n v="5"/>
  </r>
  <r>
    <x v="12"/>
    <x v="1"/>
    <n v="25831"/>
    <x v="0"/>
    <x v="1"/>
    <s v="RANITIDINE HCL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2"/>
    <x v="1"/>
    <n v="31685"/>
    <x v="0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1685"/>
    <x v="0"/>
    <x v="0"/>
    <s v="ROSU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  <m/>
    <m/>
    <m/>
    <m/>
    <m/>
    <m/>
    <m/>
    <m/>
    <m/>
    <m/>
    <m/>
    <m/>
    <m/>
    <m/>
    <n v="4"/>
  </r>
  <r>
    <x v="12"/>
    <x v="1"/>
    <n v="31685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n v="2"/>
  </r>
  <r>
    <x v="12"/>
    <x v="1"/>
    <n v="31800"/>
    <x v="0"/>
    <x v="2"/>
    <s v="MISOPROSTOL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2"/>
    <x v="1"/>
    <n v="39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2"/>
    <x v="1"/>
    <n v="1355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2"/>
    <x v="1"/>
    <n v="1355"/>
    <x v="1"/>
    <x v="3"/>
    <s v="RABEPRAZOLE SODIUM"/>
    <m/>
    <m/>
    <n v="1"/>
    <m/>
    <m/>
    <m/>
    <m/>
    <n v="1"/>
    <m/>
    <m/>
    <m/>
    <m/>
    <n v="1"/>
    <m/>
    <m/>
    <m/>
    <n v="1"/>
    <m/>
    <m/>
    <m/>
    <n v="1"/>
    <m/>
    <m/>
    <m/>
    <m/>
    <m/>
    <n v="1"/>
    <m/>
    <m/>
    <m/>
    <n v="1"/>
    <m/>
    <m/>
    <m/>
    <n v="1"/>
    <m/>
    <m/>
    <m/>
    <n v="1"/>
    <m/>
    <m/>
    <m/>
    <m/>
    <n v="2"/>
    <m/>
    <m/>
    <n v="11"/>
  </r>
  <r>
    <x v="12"/>
    <x v="1"/>
    <n v="3014"/>
    <x v="1"/>
    <x v="0"/>
    <s v="ATORVASTATIN CALCIUM"/>
    <n v="1"/>
    <m/>
    <n v="1"/>
    <m/>
    <n v="2"/>
    <m/>
    <n v="2"/>
    <m/>
    <n v="1"/>
    <m/>
    <n v="2"/>
    <m/>
    <n v="1"/>
    <m/>
    <n v="1"/>
    <m/>
    <n v="1"/>
    <m/>
    <n v="1"/>
    <n v="1"/>
    <m/>
    <m/>
    <m/>
    <n v="1"/>
    <m/>
    <m/>
    <m/>
    <n v="1"/>
    <m/>
    <n v="1"/>
    <m/>
    <n v="1"/>
    <m/>
    <n v="2"/>
    <m/>
    <n v="1"/>
    <m/>
    <n v="1"/>
    <m/>
    <m/>
    <n v="1"/>
    <m/>
    <n v="1"/>
    <m/>
    <n v="1"/>
    <m/>
    <n v="25"/>
  </r>
  <r>
    <x v="12"/>
    <x v="1"/>
    <n v="3208"/>
    <x v="1"/>
    <x v="3"/>
    <s v="PANTO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12"/>
    <x v="1"/>
    <n v="6073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n v="4"/>
  </r>
  <r>
    <x v="12"/>
    <x v="1"/>
    <n v="7513"/>
    <x v="1"/>
    <x v="0"/>
    <s v="ROSUVASTATIN CALCIUM"/>
    <m/>
    <n v="1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4"/>
  </r>
  <r>
    <x v="12"/>
    <x v="1"/>
    <n v="7835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7835"/>
    <x v="1"/>
    <x v="3"/>
    <s v="ESOMEPRAZOLE MAGNESIUM"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2"/>
    <x v="1"/>
    <n v="8307"/>
    <x v="1"/>
    <x v="0"/>
    <s v="ROSUVASTATIN CALCIUM"/>
    <m/>
    <m/>
    <m/>
    <m/>
    <m/>
    <m/>
    <n v="1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n v="5"/>
  </r>
  <r>
    <x v="12"/>
    <x v="1"/>
    <n v="8544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2"/>
    <x v="1"/>
    <n v="8552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</r>
  <r>
    <x v="12"/>
    <x v="1"/>
    <n v="8552"/>
    <x v="1"/>
    <x v="0"/>
    <s v="ATORVASTATIN CALCIUM"/>
    <m/>
    <m/>
    <m/>
    <m/>
    <n v="1"/>
    <n v="1"/>
    <m/>
    <m/>
    <m/>
    <m/>
    <m/>
    <m/>
    <m/>
    <m/>
    <m/>
    <m/>
    <m/>
    <m/>
    <n v="1"/>
    <m/>
    <m/>
    <m/>
    <m/>
    <m/>
    <m/>
    <m/>
    <m/>
    <m/>
    <m/>
    <n v="1"/>
    <n v="2"/>
    <m/>
    <m/>
    <m/>
    <m/>
    <m/>
    <m/>
    <m/>
    <m/>
    <m/>
    <m/>
    <m/>
    <n v="2"/>
    <m/>
    <m/>
    <m/>
    <n v="8"/>
  </r>
  <r>
    <x v="12"/>
    <x v="1"/>
    <n v="8865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9158"/>
    <x v="1"/>
    <x v="0"/>
    <s v="ATORVASTATIN CALCIUM"/>
    <m/>
    <m/>
    <n v="3"/>
    <m/>
    <m/>
    <m/>
    <m/>
    <m/>
    <m/>
    <m/>
    <m/>
    <n v="4"/>
    <n v="2"/>
    <m/>
    <m/>
    <m/>
    <m/>
    <m/>
    <m/>
    <m/>
    <m/>
    <m/>
    <m/>
    <n v="5"/>
    <n v="2"/>
    <m/>
    <m/>
    <m/>
    <m/>
    <m/>
    <m/>
    <m/>
    <m/>
    <m/>
    <m/>
    <m/>
    <m/>
    <m/>
    <n v="2"/>
    <m/>
    <m/>
    <m/>
    <m/>
    <m/>
    <m/>
    <m/>
    <n v="18"/>
  </r>
  <r>
    <x v="12"/>
    <x v="1"/>
    <n v="1132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2"/>
    <x v="1"/>
    <n v="11327"/>
    <x v="1"/>
    <x v="7"/>
    <s v="PINAVERIUM BROMIDE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n v="3"/>
  </r>
  <r>
    <x v="12"/>
    <x v="1"/>
    <n v="11327"/>
    <x v="1"/>
    <x v="6"/>
    <s v="EZETIMIBE"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n v="2"/>
    <m/>
    <m/>
    <m/>
    <m/>
    <m/>
    <m/>
    <m/>
    <m/>
    <m/>
    <n v="1"/>
    <m/>
    <m/>
    <m/>
    <m/>
    <m/>
    <n v="5"/>
  </r>
  <r>
    <x v="12"/>
    <x v="1"/>
    <n v="12180"/>
    <x v="1"/>
    <x v="1"/>
    <s v="RANITIDINE HCL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2300"/>
    <x v="1"/>
    <x v="1"/>
    <s v="RANITIDINE HCL"/>
    <m/>
    <m/>
    <m/>
    <m/>
    <m/>
    <n v="1"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n v="1"/>
    <m/>
    <m/>
    <m/>
    <m/>
    <n v="4"/>
  </r>
  <r>
    <x v="12"/>
    <x v="1"/>
    <n v="12300"/>
    <x v="1"/>
    <x v="0"/>
    <s v="ROSUVASTATIN CALCIUM"/>
    <m/>
    <n v="1"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4"/>
  </r>
  <r>
    <x v="12"/>
    <x v="1"/>
    <n v="12395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395"/>
    <x v="1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2896"/>
    <x v="1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2896"/>
    <x v="1"/>
    <x v="3"/>
    <s v="LANSOPRAZOLE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1"/>
    <m/>
    <m/>
    <m/>
    <n v="3"/>
  </r>
  <r>
    <x v="12"/>
    <x v="1"/>
    <n v="14184"/>
    <x v="1"/>
    <x v="8"/>
    <s v="FENOFIBRATE, NANOCRYSTALLIZED"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n v="3"/>
  </r>
  <r>
    <x v="12"/>
    <x v="1"/>
    <n v="14900"/>
    <x v="1"/>
    <x v="0"/>
    <s v="ROSUVASTATIN CALCIUM"/>
    <m/>
    <m/>
    <m/>
    <m/>
    <m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n v="3"/>
    <m/>
    <m/>
    <m/>
    <m/>
    <m/>
    <m/>
    <n v="9"/>
  </r>
  <r>
    <x v="12"/>
    <x v="1"/>
    <n v="1592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6482"/>
    <x v="1"/>
    <x v="3"/>
    <s v="RABEPRAZOLE SODIUM"/>
    <m/>
    <m/>
    <m/>
    <m/>
    <m/>
    <m/>
    <m/>
    <m/>
    <m/>
    <m/>
    <m/>
    <m/>
    <m/>
    <m/>
    <m/>
    <m/>
    <m/>
    <m/>
    <m/>
    <m/>
    <n v="2"/>
    <m/>
    <m/>
    <m/>
    <m/>
    <m/>
    <m/>
    <n v="3"/>
    <m/>
    <m/>
    <m/>
    <m/>
    <m/>
    <m/>
    <m/>
    <m/>
    <m/>
    <n v="1"/>
    <m/>
    <m/>
    <m/>
    <m/>
    <m/>
    <n v="3"/>
    <m/>
    <m/>
    <n v="9"/>
  </r>
  <r>
    <x v="12"/>
    <x v="1"/>
    <n v="20939"/>
    <x v="1"/>
    <x v="0"/>
    <s v="SIMVASTATIN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2"/>
    <x v="1"/>
    <n v="21954"/>
    <x v="1"/>
    <x v="3"/>
    <s v="RABEPRAZOLE SODIUM"/>
    <n v="1"/>
    <m/>
    <m/>
    <m/>
    <m/>
    <m/>
    <m/>
    <n v="1"/>
    <m/>
    <m/>
    <m/>
    <m/>
    <m/>
    <n v="1"/>
    <m/>
    <m/>
    <m/>
    <m/>
    <m/>
    <m/>
    <n v="1"/>
    <m/>
    <m/>
    <m/>
    <n v="1"/>
    <m/>
    <m/>
    <m/>
    <m/>
    <m/>
    <m/>
    <n v="1"/>
    <m/>
    <m/>
    <m/>
    <m/>
    <n v="1"/>
    <m/>
    <m/>
    <m/>
    <m/>
    <m/>
    <n v="1"/>
    <m/>
    <m/>
    <m/>
    <n v="8"/>
  </r>
  <r>
    <x v="12"/>
    <x v="1"/>
    <n v="2253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</r>
  <r>
    <x v="12"/>
    <x v="1"/>
    <n v="22945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3"/>
  </r>
  <r>
    <x v="12"/>
    <x v="1"/>
    <n v="23817"/>
    <x v="1"/>
    <x v="0"/>
    <s v="ROSUVASTATIN CALCIUM"/>
    <m/>
    <n v="1"/>
    <m/>
    <m/>
    <m/>
    <n v="1"/>
    <m/>
    <m/>
    <n v="1"/>
    <m/>
    <m/>
    <m/>
    <n v="1"/>
    <m/>
    <m/>
    <m/>
    <n v="1"/>
    <m/>
    <m/>
    <m/>
    <n v="1"/>
    <m/>
    <m/>
    <m/>
    <m/>
    <n v="2"/>
    <m/>
    <m/>
    <m/>
    <n v="1"/>
    <m/>
    <m/>
    <m/>
    <n v="1"/>
    <m/>
    <n v="1"/>
    <m/>
    <m/>
    <m/>
    <m/>
    <m/>
    <m/>
    <n v="1"/>
    <m/>
    <m/>
    <m/>
    <n v="12"/>
  </r>
  <r>
    <x v="12"/>
    <x v="1"/>
    <n v="31273"/>
    <x v="1"/>
    <x v="3"/>
    <s v="LANSOPRAZOLE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n v="1"/>
    <m/>
    <m/>
    <n v="4"/>
  </r>
  <r>
    <x v="12"/>
    <x v="1"/>
    <n v="31431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840"/>
    <x v="0"/>
    <x v="3"/>
    <s v="PANTOPRAZOLE MAGNESIUM"/>
    <n v="1"/>
    <m/>
    <m/>
    <m/>
    <m/>
    <m/>
    <m/>
    <m/>
    <m/>
    <m/>
    <m/>
    <m/>
    <m/>
    <n v="1"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n v="5"/>
  </r>
  <r>
    <x v="12"/>
    <x v="1"/>
    <n v="1598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598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2"/>
    <x v="1"/>
    <n v="32059"/>
    <x v="0"/>
    <x v="3"/>
    <s v="ESOMEPRAZOLE MAGNESIUM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1"/>
    <m/>
    <m/>
    <m/>
    <n v="2"/>
    <m/>
    <m/>
    <m/>
    <m/>
    <m/>
    <n v="7"/>
  </r>
  <r>
    <x v="12"/>
    <x v="1"/>
    <n v="19690"/>
    <x v="1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31450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n v="4"/>
  </r>
  <r>
    <x v="12"/>
    <x v="1"/>
    <n v="898"/>
    <x v="0"/>
    <x v="3"/>
    <s v="ESOMEPRAZOLE MAGNES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3"/>
  </r>
  <r>
    <x v="12"/>
    <x v="1"/>
    <n v="1896"/>
    <x v="0"/>
    <x v="3"/>
    <s v="ESOMEPRAZOLE MAGNESIUM"/>
    <m/>
    <m/>
    <m/>
    <n v="1"/>
    <m/>
    <m/>
    <m/>
    <n v="1"/>
    <m/>
    <m/>
    <m/>
    <n v="1"/>
    <m/>
    <m/>
    <m/>
    <n v="1"/>
    <m/>
    <m/>
    <m/>
    <n v="1"/>
    <m/>
    <m/>
    <n v="1"/>
    <m/>
    <m/>
    <n v="1"/>
    <m/>
    <m/>
    <n v="1"/>
    <m/>
    <m/>
    <n v="1"/>
    <m/>
    <m/>
    <m/>
    <n v="1"/>
    <m/>
    <m/>
    <m/>
    <n v="1"/>
    <m/>
    <m/>
    <m/>
    <n v="1"/>
    <m/>
    <m/>
    <n v="12"/>
  </r>
  <r>
    <x v="12"/>
    <x v="1"/>
    <n v="1947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n v="3"/>
  </r>
  <r>
    <x v="12"/>
    <x v="1"/>
    <n v="6629"/>
    <x v="0"/>
    <x v="1"/>
    <s v="RANITIDINE HCL"/>
    <m/>
    <n v="1"/>
    <m/>
    <n v="1"/>
    <m/>
    <m/>
    <m/>
    <n v="1"/>
    <m/>
    <m/>
    <m/>
    <n v="1"/>
    <m/>
    <m/>
    <m/>
    <m/>
    <n v="1"/>
    <m/>
    <m/>
    <m/>
    <m/>
    <n v="1"/>
    <m/>
    <m/>
    <m/>
    <m/>
    <n v="1"/>
    <m/>
    <m/>
    <n v="1"/>
    <m/>
    <m/>
    <m/>
    <n v="1"/>
    <m/>
    <m/>
    <m/>
    <m/>
    <m/>
    <m/>
    <m/>
    <m/>
    <n v="1"/>
    <m/>
    <m/>
    <n v="1"/>
    <n v="11"/>
  </r>
  <r>
    <x v="12"/>
    <x v="1"/>
    <n v="662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m/>
    <m/>
    <m/>
    <m/>
    <n v="3"/>
  </r>
  <r>
    <x v="12"/>
    <x v="1"/>
    <n v="703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2"/>
    <x v="1"/>
    <n v="7684"/>
    <x v="0"/>
    <x v="3"/>
    <s v="RABEPRAZOLE SODIUM"/>
    <m/>
    <m/>
    <n v="1"/>
    <m/>
    <m/>
    <m/>
    <n v="1"/>
    <m/>
    <m/>
    <m/>
    <m/>
    <m/>
    <m/>
    <m/>
    <m/>
    <m/>
    <m/>
    <m/>
    <n v="1"/>
    <m/>
    <m/>
    <n v="1"/>
    <m/>
    <m/>
    <n v="1"/>
    <m/>
    <m/>
    <n v="1"/>
    <m/>
    <m/>
    <n v="1"/>
    <m/>
    <m/>
    <n v="1"/>
    <m/>
    <m/>
    <m/>
    <n v="1"/>
    <m/>
    <m/>
    <m/>
    <n v="1"/>
    <m/>
    <m/>
    <m/>
    <n v="1"/>
    <n v="11"/>
  </r>
  <r>
    <x v="12"/>
    <x v="1"/>
    <n v="11188"/>
    <x v="0"/>
    <x v="1"/>
    <s v="RANITIDINE HCL"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n v="1"/>
    <m/>
    <m/>
    <n v="1"/>
    <m/>
    <n v="1"/>
    <m/>
    <m/>
    <n v="1"/>
    <m/>
    <m/>
    <n v="1"/>
    <m/>
    <m/>
    <n v="1"/>
    <m/>
    <m/>
    <n v="8"/>
  </r>
  <r>
    <x v="12"/>
    <x v="1"/>
    <n v="11188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383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7092"/>
    <x v="0"/>
    <x v="3"/>
    <s v="ESOMEPRAZOLE MAGNESIUM"/>
    <m/>
    <m/>
    <n v="1"/>
    <m/>
    <m/>
    <m/>
    <m/>
    <m/>
    <m/>
    <n v="1"/>
    <m/>
    <m/>
    <m/>
    <m/>
    <m/>
    <n v="1"/>
    <m/>
    <m/>
    <m/>
    <m/>
    <m/>
    <n v="1"/>
    <m/>
    <m/>
    <m/>
    <m/>
    <n v="1"/>
    <m/>
    <m/>
    <m/>
    <m/>
    <n v="1"/>
    <m/>
    <m/>
    <m/>
    <n v="1"/>
    <m/>
    <m/>
    <m/>
    <m/>
    <m/>
    <m/>
    <n v="1"/>
    <m/>
    <m/>
    <m/>
    <n v="8"/>
  </r>
  <r>
    <x v="12"/>
    <x v="1"/>
    <n v="17092"/>
    <x v="0"/>
    <x v="3"/>
    <s v="PANTOPRAZOLE SODIUM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8775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2"/>
    <x v="1"/>
    <n v="9353"/>
    <x v="1"/>
    <x v="3"/>
    <s v="PANTOPRAZOLE MAGNES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9353"/>
    <x v="1"/>
    <x v="3"/>
    <s v="PANTOPRAZOLE SODIUM"/>
    <m/>
    <m/>
    <m/>
    <m/>
    <m/>
    <m/>
    <m/>
    <m/>
    <m/>
    <m/>
    <m/>
    <m/>
    <m/>
    <m/>
    <m/>
    <m/>
    <m/>
    <m/>
    <m/>
    <m/>
    <m/>
    <n v="1"/>
    <m/>
    <m/>
    <m/>
    <n v="1"/>
    <m/>
    <m/>
    <n v="1"/>
    <m/>
    <m/>
    <m/>
    <m/>
    <n v="1"/>
    <m/>
    <m/>
    <n v="1"/>
    <m/>
    <m/>
    <m/>
    <m/>
    <m/>
    <m/>
    <n v="1"/>
    <m/>
    <m/>
    <n v="6"/>
  </r>
  <r>
    <x v="12"/>
    <x v="1"/>
    <n v="1414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7725"/>
    <x v="1"/>
    <x v="3"/>
    <s v="ESOME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2"/>
    <x v="1"/>
    <n v="6217"/>
    <x v="0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621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8464"/>
    <x v="0"/>
    <x v="3"/>
    <s v="ESOMEPRAZOLE MAGNESIUM"/>
    <m/>
    <n v="1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4"/>
  </r>
  <r>
    <x v="12"/>
    <x v="1"/>
    <n v="348"/>
    <x v="0"/>
    <x v="1"/>
    <s v="RANITIDINE HCL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n v="3"/>
  </r>
  <r>
    <x v="12"/>
    <x v="1"/>
    <n v="5856"/>
    <x v="0"/>
    <x v="3"/>
    <s v="LANSOPRAZOLE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2"/>
    <x v="1"/>
    <n v="7811"/>
    <x v="0"/>
    <x v="3"/>
    <s v="ESOMEPRAZOLE MAGNES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1"/>
    <m/>
    <n v="4"/>
  </r>
  <r>
    <x v="12"/>
    <x v="1"/>
    <n v="8279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n v="1"/>
    <m/>
    <m/>
    <m/>
    <m/>
    <m/>
    <m/>
    <m/>
    <m/>
    <m/>
    <m/>
    <m/>
    <m/>
    <m/>
    <m/>
    <m/>
    <n v="3"/>
  </r>
  <r>
    <x v="12"/>
    <x v="1"/>
    <n v="9122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418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</r>
  <r>
    <x v="12"/>
    <x v="1"/>
    <n v="14908"/>
    <x v="0"/>
    <x v="3"/>
    <s v="ESOMEPRAZOLE MAGNESIUM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n v="1"/>
    <m/>
    <m/>
    <n v="12"/>
  </r>
  <r>
    <x v="12"/>
    <x v="1"/>
    <n v="18295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</r>
  <r>
    <x v="12"/>
    <x v="1"/>
    <n v="21068"/>
    <x v="0"/>
    <x v="1"/>
    <s v="RANITIDINE HCL"/>
    <m/>
    <m/>
    <m/>
    <m/>
    <m/>
    <m/>
    <m/>
    <m/>
    <m/>
    <m/>
    <n v="1"/>
    <m/>
    <m/>
    <m/>
    <n v="1"/>
    <m/>
    <m/>
    <m/>
    <n v="1"/>
    <m/>
    <m/>
    <m/>
    <m/>
    <m/>
    <n v="1"/>
    <m/>
    <m/>
    <n v="1"/>
    <m/>
    <m/>
    <m/>
    <m/>
    <m/>
    <m/>
    <m/>
    <n v="1"/>
    <m/>
    <m/>
    <m/>
    <m/>
    <n v="1"/>
    <m/>
    <m/>
    <m/>
    <n v="1"/>
    <m/>
    <n v="8"/>
  </r>
  <r>
    <x v="12"/>
    <x v="1"/>
    <n v="21068"/>
    <x v="0"/>
    <x v="3"/>
    <s v="ESOMEPRAZOLE MAGNESIUM"/>
    <m/>
    <m/>
    <m/>
    <m/>
    <m/>
    <m/>
    <m/>
    <m/>
    <m/>
    <m/>
    <n v="1"/>
    <m/>
    <m/>
    <m/>
    <m/>
    <m/>
    <m/>
    <m/>
    <n v="1"/>
    <m/>
    <m/>
    <m/>
    <n v="1"/>
    <m/>
    <n v="1"/>
    <m/>
    <m/>
    <n v="1"/>
    <m/>
    <m/>
    <m/>
    <m/>
    <m/>
    <m/>
    <m/>
    <m/>
    <m/>
    <m/>
    <m/>
    <m/>
    <n v="2"/>
    <m/>
    <m/>
    <m/>
    <m/>
    <n v="2"/>
    <n v="9"/>
  </r>
  <r>
    <x v="12"/>
    <x v="1"/>
    <n v="830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7687"/>
    <x v="1"/>
    <x v="1"/>
    <s v="RANITIDINE HCL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n v="6"/>
  </r>
  <r>
    <x v="12"/>
    <x v="1"/>
    <n v="5513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5513"/>
    <x v="0"/>
    <x v="2"/>
    <s v="MISOPROSTOL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"/>
    <n v="1"/>
    <n v="1"/>
    <n v="1"/>
    <n v="1"/>
    <n v="1"/>
    <n v="1"/>
    <n v="1"/>
    <n v="1"/>
    <n v="1"/>
    <n v="1"/>
    <n v="1"/>
    <n v="1"/>
    <n v="1"/>
    <n v="47"/>
  </r>
  <r>
    <x v="12"/>
    <x v="1"/>
    <n v="551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5513"/>
    <x v="0"/>
    <x v="3"/>
    <s v="PANTOPRAZOLE SODIUM"/>
    <n v="3"/>
    <n v="3"/>
    <n v="3"/>
    <n v="4"/>
    <n v="3"/>
    <n v="3"/>
    <n v="3"/>
    <n v="3"/>
    <n v="3"/>
    <n v="3"/>
    <n v="3"/>
    <n v="3"/>
    <n v="3"/>
    <n v="3"/>
    <n v="1"/>
    <n v="1"/>
    <n v="3"/>
    <n v="3"/>
    <n v="4"/>
    <n v="4"/>
    <n v="3"/>
    <n v="3"/>
    <n v="3"/>
    <n v="3"/>
    <n v="3"/>
    <n v="3"/>
    <n v="3"/>
    <n v="3"/>
    <n v="3"/>
    <n v="3"/>
    <n v="3"/>
    <n v="2"/>
    <n v="3"/>
    <n v="3"/>
    <n v="4"/>
    <n v="3"/>
    <n v="3"/>
    <n v="3"/>
    <n v="3"/>
    <n v="3"/>
    <n v="3"/>
    <n v="3"/>
    <n v="4"/>
    <n v="3"/>
    <n v="3"/>
    <n v="3"/>
    <n v="138"/>
  </r>
  <r>
    <x v="12"/>
    <x v="1"/>
    <n v="551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5854"/>
    <x v="0"/>
    <x v="3"/>
    <s v="RABEPRAZOLE SODIUM"/>
    <m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22"/>
  </r>
  <r>
    <x v="12"/>
    <x v="1"/>
    <n v="8973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23817"/>
    <x v="1"/>
    <x v="3"/>
    <s v="RABEPRAZOLE SODIUM"/>
    <m/>
    <n v="1"/>
    <m/>
    <m/>
    <m/>
    <n v="1"/>
    <m/>
    <m/>
    <n v="1"/>
    <m/>
    <m/>
    <m/>
    <n v="1"/>
    <m/>
    <m/>
    <m/>
    <n v="1"/>
    <m/>
    <m/>
    <m/>
    <n v="1"/>
    <m/>
    <m/>
    <m/>
    <m/>
    <n v="2"/>
    <m/>
    <m/>
    <m/>
    <n v="1"/>
    <m/>
    <m/>
    <m/>
    <n v="1"/>
    <m/>
    <n v="1"/>
    <m/>
    <m/>
    <m/>
    <m/>
    <m/>
    <m/>
    <n v="1"/>
    <m/>
    <m/>
    <m/>
    <n v="12"/>
  </r>
  <r>
    <x v="12"/>
    <x v="1"/>
    <n v="1659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3"/>
  </r>
  <r>
    <x v="12"/>
    <x v="1"/>
    <n v="2188"/>
    <x v="0"/>
    <x v="0"/>
    <s v="ROSU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m/>
    <n v="4"/>
  </r>
  <r>
    <x v="12"/>
    <x v="1"/>
    <n v="5263"/>
    <x v="0"/>
    <x v="0"/>
    <s v="SIMVASTATIN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3"/>
  </r>
  <r>
    <x v="12"/>
    <x v="1"/>
    <n v="5985"/>
    <x v="0"/>
    <x v="0"/>
    <s v="SIMVASTATIN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n v="4"/>
  </r>
  <r>
    <x v="12"/>
    <x v="1"/>
    <n v="6023"/>
    <x v="0"/>
    <x v="0"/>
    <s v="SIMVASTATIN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6322"/>
    <x v="0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n v="1"/>
    <m/>
    <m/>
    <m/>
    <m/>
    <m/>
    <m/>
    <m/>
    <m/>
    <m/>
    <m/>
    <m/>
    <m/>
    <n v="1"/>
    <m/>
    <m/>
    <m/>
    <n v="4"/>
  </r>
  <r>
    <x v="12"/>
    <x v="1"/>
    <n v="6478"/>
    <x v="0"/>
    <x v="0"/>
    <s v="ROSUVASTATIN CALCIUM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2"/>
    <x v="1"/>
    <n v="8038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n v="3"/>
  </r>
  <r>
    <x v="12"/>
    <x v="1"/>
    <n v="9218"/>
    <x v="0"/>
    <x v="0"/>
    <s v="ROSUVASTATIN CALCIUM"/>
    <n v="1"/>
    <m/>
    <m/>
    <m/>
    <m/>
    <n v="2"/>
    <m/>
    <m/>
    <m/>
    <m/>
    <n v="1"/>
    <m/>
    <m/>
    <m/>
    <n v="1"/>
    <m/>
    <m/>
    <m/>
    <m/>
    <n v="1"/>
    <m/>
    <m/>
    <m/>
    <m/>
    <n v="1"/>
    <m/>
    <m/>
    <n v="1"/>
    <m/>
    <m/>
    <m/>
    <n v="1"/>
    <m/>
    <m/>
    <n v="1"/>
    <m/>
    <m/>
    <m/>
    <m/>
    <m/>
    <m/>
    <m/>
    <m/>
    <n v="1"/>
    <m/>
    <m/>
    <n v="11"/>
  </r>
  <r>
    <x v="12"/>
    <x v="1"/>
    <n v="10236"/>
    <x v="0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12"/>
    <x v="1"/>
    <n v="31244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3"/>
  </r>
  <r>
    <x v="12"/>
    <x v="1"/>
    <n v="47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12"/>
    <x v="1"/>
    <n v="825"/>
    <x v="1"/>
    <x v="0"/>
    <s v="ROSUVASTATIN CALCIUM"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4"/>
  </r>
  <r>
    <x v="12"/>
    <x v="1"/>
    <n v="897"/>
    <x v="1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3"/>
  </r>
  <r>
    <x v="12"/>
    <x v="1"/>
    <n v="1658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3"/>
  </r>
  <r>
    <x v="12"/>
    <x v="1"/>
    <n v="5139"/>
    <x v="1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12"/>
    <x v="1"/>
    <n v="7371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2"/>
  </r>
  <r>
    <x v="12"/>
    <x v="1"/>
    <n v="7624"/>
    <x v="1"/>
    <x v="0"/>
    <s v="ROSUVASTATIN CALCIUM"/>
    <n v="1"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n v="1"/>
    <m/>
    <m/>
    <m/>
    <n v="1"/>
    <m/>
    <m/>
    <m/>
    <m/>
    <m/>
    <n v="1"/>
    <m/>
    <m/>
    <n v="7"/>
  </r>
  <r>
    <x v="12"/>
    <x v="1"/>
    <n v="8029"/>
    <x v="1"/>
    <x v="0"/>
    <s v="ROSU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3"/>
  </r>
  <r>
    <x v="12"/>
    <x v="1"/>
    <n v="8513"/>
    <x v="1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12"/>
    <x v="1"/>
    <n v="8744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12"/>
    <x v="1"/>
    <n v="9286"/>
    <x v="1"/>
    <x v="0"/>
    <s v="SIMVASTATIN"/>
    <m/>
    <m/>
    <m/>
    <m/>
    <m/>
    <m/>
    <m/>
    <m/>
    <m/>
    <m/>
    <n v="1"/>
    <m/>
    <m/>
    <m/>
    <m/>
    <m/>
    <m/>
    <m/>
    <m/>
    <m/>
    <m/>
    <m/>
    <m/>
    <m/>
    <m/>
    <n v="2"/>
    <n v="1"/>
    <m/>
    <m/>
    <m/>
    <m/>
    <m/>
    <m/>
    <m/>
    <m/>
    <m/>
    <m/>
    <m/>
    <m/>
    <m/>
    <m/>
    <m/>
    <n v="2"/>
    <m/>
    <m/>
    <m/>
    <n v="6"/>
  </r>
  <r>
    <x v="12"/>
    <x v="1"/>
    <n v="10093"/>
    <x v="1"/>
    <x v="0"/>
    <s v="ROSUVASTATIN CALCIUM"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1"/>
    <n v="4"/>
  </r>
  <r>
    <x v="12"/>
    <x v="1"/>
    <n v="11659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n v="2"/>
  </r>
  <r>
    <x v="12"/>
    <x v="1"/>
    <n v="11896"/>
    <x v="1"/>
    <x v="0"/>
    <s v="ROSUVASTATIN CALCIUM"/>
    <n v="1"/>
    <m/>
    <m/>
    <m/>
    <m/>
    <m/>
    <m/>
    <m/>
    <m/>
    <m/>
    <m/>
    <m/>
    <n v="1"/>
    <n v="2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n v="6"/>
  </r>
  <r>
    <x v="12"/>
    <x v="1"/>
    <n v="12542"/>
    <x v="1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12"/>
    <x v="1"/>
    <n v="12654"/>
    <x v="1"/>
    <x v="0"/>
    <s v="SIMVASTATIN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</r>
  <r>
    <x v="12"/>
    <x v="1"/>
    <n v="14139"/>
    <x v="1"/>
    <x v="0"/>
    <s v="ATORVASTATIN CALCIUM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n v="1"/>
    <m/>
    <m/>
    <m/>
    <m/>
    <n v="5"/>
  </r>
  <r>
    <x v="12"/>
    <x v="1"/>
    <n v="14907"/>
    <x v="1"/>
    <x v="0"/>
    <s v="ROSUVASTATIN CALC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4"/>
  </r>
  <r>
    <x v="12"/>
    <x v="1"/>
    <n v="16360"/>
    <x v="1"/>
    <x v="0"/>
    <s v="ROSUVASTATIN CALCIUM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2"/>
    <x v="1"/>
    <n v="16962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3"/>
  </r>
  <r>
    <x v="12"/>
    <x v="1"/>
    <n v="19644"/>
    <x v="1"/>
    <x v="0"/>
    <s v="ROSU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2"/>
    <x v="1"/>
    <n v="25415"/>
    <x v="1"/>
    <x v="0"/>
    <s v="ROSU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3"/>
  </r>
  <r>
    <x v="12"/>
    <x v="1"/>
    <n v="29369"/>
    <x v="1"/>
    <x v="0"/>
    <s v="ROSUVASTATIN CALCIUM"/>
    <m/>
    <m/>
    <m/>
    <n v="1"/>
    <m/>
    <m/>
    <m/>
    <n v="1"/>
    <m/>
    <m/>
    <m/>
    <n v="1"/>
    <m/>
    <m/>
    <m/>
    <n v="1"/>
    <m/>
    <m/>
    <m/>
    <n v="2"/>
    <m/>
    <m/>
    <n v="1"/>
    <m/>
    <m/>
    <n v="1"/>
    <m/>
    <n v="1"/>
    <m/>
    <m/>
    <m/>
    <n v="1"/>
    <m/>
    <m/>
    <m/>
    <n v="1"/>
    <m/>
    <m/>
    <m/>
    <n v="1"/>
    <m/>
    <m/>
    <m/>
    <n v="1"/>
    <m/>
    <m/>
    <n v="13"/>
  </r>
  <r>
    <x v="12"/>
    <x v="1"/>
    <n v="1880"/>
    <x v="0"/>
    <x v="8"/>
    <s v="FENOFIBRATE, NANOCRYSTALLIZED"/>
    <m/>
    <m/>
    <m/>
    <m/>
    <m/>
    <m/>
    <m/>
    <m/>
    <m/>
    <m/>
    <m/>
    <m/>
    <m/>
    <n v="2"/>
    <m/>
    <m/>
    <n v="1"/>
    <m/>
    <m/>
    <m/>
    <m/>
    <n v="1"/>
    <m/>
    <m/>
    <n v="1"/>
    <m/>
    <m/>
    <m/>
    <m/>
    <m/>
    <m/>
    <m/>
    <m/>
    <m/>
    <m/>
    <m/>
    <m/>
    <m/>
    <m/>
    <n v="1"/>
    <m/>
    <m/>
    <m/>
    <m/>
    <m/>
    <m/>
    <n v="6"/>
  </r>
  <r>
    <x v="12"/>
    <x v="1"/>
    <n v="1880"/>
    <x v="0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947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3"/>
  </r>
  <r>
    <x v="12"/>
    <x v="1"/>
    <n v="2392"/>
    <x v="0"/>
    <x v="8"/>
    <s v="FENOFIBRATE, NANOCRYSTALLIZED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2"/>
    <x v="1"/>
    <n v="3449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n v="1"/>
    <m/>
    <m/>
    <m/>
    <m/>
    <m/>
    <m/>
    <n v="1"/>
    <m/>
    <m/>
    <m/>
    <m/>
    <m/>
    <m/>
    <m/>
    <m/>
    <n v="4"/>
  </r>
  <r>
    <x v="12"/>
    <x v="1"/>
    <n v="7863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n v="1"/>
    <m/>
    <m/>
    <m/>
    <m/>
    <m/>
    <m/>
    <m/>
    <m/>
    <m/>
    <m/>
    <m/>
    <m/>
    <m/>
    <n v="3"/>
  </r>
  <r>
    <x v="12"/>
    <x v="1"/>
    <n v="11188"/>
    <x v="0"/>
    <x v="0"/>
    <s v="ROSUVASTATIN CALCIUM"/>
    <m/>
    <m/>
    <m/>
    <m/>
    <m/>
    <m/>
    <m/>
    <m/>
    <m/>
    <n v="1"/>
    <m/>
    <m/>
    <m/>
    <m/>
    <m/>
    <m/>
    <m/>
    <m/>
    <m/>
    <m/>
    <m/>
    <m/>
    <m/>
    <n v="1"/>
    <m/>
    <m/>
    <n v="1"/>
    <m/>
    <m/>
    <n v="1"/>
    <m/>
    <m/>
    <n v="1"/>
    <m/>
    <n v="1"/>
    <m/>
    <m/>
    <n v="1"/>
    <m/>
    <m/>
    <n v="1"/>
    <m/>
    <m/>
    <n v="1"/>
    <m/>
    <m/>
    <n v="9"/>
  </r>
  <r>
    <x v="12"/>
    <x v="1"/>
    <n v="11535"/>
    <x v="0"/>
    <x v="8"/>
    <s v="FENOFIBRATE, NANOCRYSTALLIZED"/>
    <m/>
    <m/>
    <m/>
    <m/>
    <m/>
    <m/>
    <m/>
    <m/>
    <m/>
    <m/>
    <m/>
    <n v="1"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n v="1"/>
    <m/>
    <m/>
    <n v="4"/>
  </r>
  <r>
    <x v="12"/>
    <x v="1"/>
    <n v="11897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2"/>
    <x v="1"/>
    <n v="12540"/>
    <x v="0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3"/>
  </r>
  <r>
    <x v="12"/>
    <x v="1"/>
    <n v="13860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12"/>
    <x v="1"/>
    <n v="13860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4536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</r>
  <r>
    <x v="12"/>
    <x v="1"/>
    <n v="21179"/>
    <x v="0"/>
    <x v="0"/>
    <s v="ROSUVASTATIN CALCIUM"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4"/>
  </r>
  <r>
    <x v="12"/>
    <x v="1"/>
    <n v="1475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3"/>
  </r>
  <r>
    <x v="12"/>
    <x v="1"/>
    <n v="5669"/>
    <x v="1"/>
    <x v="0"/>
    <s v="ATOR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12"/>
    <x v="1"/>
    <n v="5867"/>
    <x v="1"/>
    <x v="0"/>
    <s v="SIMVASTATIN"/>
    <m/>
    <m/>
    <m/>
    <m/>
    <m/>
    <m/>
    <m/>
    <n v="1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n v="4"/>
  </r>
  <r>
    <x v="12"/>
    <x v="1"/>
    <n v="6678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2"/>
    <x v="1"/>
    <n v="6791"/>
    <x v="1"/>
    <x v="0"/>
    <s v="SIMVASTATIN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n v="2"/>
    <m/>
    <n v="6"/>
  </r>
  <r>
    <x v="12"/>
    <x v="1"/>
    <n v="9147"/>
    <x v="1"/>
    <x v="0"/>
    <s v="ROSUVASTATIN CALCIUM"/>
    <m/>
    <m/>
    <m/>
    <m/>
    <m/>
    <m/>
    <m/>
    <m/>
    <m/>
    <m/>
    <m/>
    <n v="2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4"/>
  </r>
  <r>
    <x v="12"/>
    <x v="1"/>
    <n v="9353"/>
    <x v="1"/>
    <x v="0"/>
    <s v="ATORVASTATIN CALCIUM"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n v="1"/>
    <m/>
    <m/>
    <m/>
    <m/>
    <m/>
    <m/>
    <m/>
    <m/>
    <m/>
    <m/>
    <m/>
    <m/>
    <m/>
    <m/>
    <m/>
    <m/>
    <n v="3"/>
  </r>
  <r>
    <x v="12"/>
    <x v="1"/>
    <n v="10357"/>
    <x v="1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1802"/>
    <x v="1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3"/>
  </r>
  <r>
    <x v="12"/>
    <x v="1"/>
    <n v="12128"/>
    <x v="1"/>
    <x v="0"/>
    <s v="ATORVASTATIN CALCIUM"/>
    <m/>
    <m/>
    <n v="1"/>
    <m/>
    <m/>
    <m/>
    <n v="3"/>
    <m/>
    <m/>
    <m/>
    <m/>
    <m/>
    <m/>
    <m/>
    <m/>
    <m/>
    <m/>
    <m/>
    <m/>
    <n v="1"/>
    <m/>
    <m/>
    <m/>
    <m/>
    <m/>
    <m/>
    <m/>
    <n v="2"/>
    <n v="2"/>
    <n v="1"/>
    <m/>
    <m/>
    <m/>
    <m/>
    <m/>
    <m/>
    <m/>
    <m/>
    <m/>
    <m/>
    <m/>
    <m/>
    <n v="1"/>
    <n v="2"/>
    <m/>
    <m/>
    <n v="13"/>
  </r>
  <r>
    <x v="12"/>
    <x v="1"/>
    <n v="17161"/>
    <x v="1"/>
    <x v="0"/>
    <s v="ATORVASTATIN CALCIUM"/>
    <m/>
    <n v="1"/>
    <m/>
    <m/>
    <n v="1"/>
    <m/>
    <m/>
    <m/>
    <m/>
    <m/>
    <n v="1"/>
    <m/>
    <m/>
    <m/>
    <n v="1"/>
    <m/>
    <m/>
    <m/>
    <n v="1"/>
    <m/>
    <n v="2"/>
    <m/>
    <m/>
    <m/>
    <n v="2"/>
    <m/>
    <m/>
    <m/>
    <n v="1"/>
    <m/>
    <m/>
    <m/>
    <n v="3"/>
    <n v="1"/>
    <n v="2"/>
    <m/>
    <m/>
    <m/>
    <m/>
    <n v="1"/>
    <m/>
    <m/>
    <n v="1"/>
    <m/>
    <m/>
    <m/>
    <n v="18"/>
  </r>
  <r>
    <x v="12"/>
    <x v="1"/>
    <n v="20251"/>
    <x v="1"/>
    <x v="0"/>
    <s v="ROSUVASTATIN CALCIUM"/>
    <m/>
    <m/>
    <m/>
    <m/>
    <m/>
    <m/>
    <m/>
    <m/>
    <m/>
    <n v="1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4"/>
  </r>
  <r>
    <x v="12"/>
    <x v="1"/>
    <n v="20588"/>
    <x v="1"/>
    <x v="0"/>
    <s v="ROSUVASTATIN CALCIUM"/>
    <m/>
    <m/>
    <n v="1"/>
    <n v="1"/>
    <m/>
    <m/>
    <n v="1"/>
    <m/>
    <m/>
    <m/>
    <n v="1"/>
    <m/>
    <m/>
    <m/>
    <n v="1"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n v="7"/>
  </r>
  <r>
    <x v="12"/>
    <x v="1"/>
    <n v="22538"/>
    <x v="1"/>
    <x v="0"/>
    <s v="SIMVASTATIN"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1"/>
    <m/>
    <m/>
    <n v="1"/>
    <m/>
    <m/>
    <m/>
    <m/>
    <m/>
    <m/>
    <m/>
    <m/>
    <m/>
    <m/>
    <n v="4"/>
  </r>
  <r>
    <x v="12"/>
    <x v="1"/>
    <n v="31273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12"/>
    <x v="1"/>
    <n v="33633"/>
    <x v="1"/>
    <x v="0"/>
    <s v="SIMVASTATIN"/>
    <m/>
    <m/>
    <m/>
    <n v="1"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n v="3"/>
  </r>
  <r>
    <x v="13"/>
    <x v="1"/>
    <n v="950"/>
    <x v="0"/>
    <x v="0"/>
    <s v="SIMVASTATIN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3"/>
    <x v="1"/>
    <n v="1256"/>
    <x v="0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4"/>
  </r>
  <r>
    <x v="13"/>
    <x v="1"/>
    <n v="138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2184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</r>
  <r>
    <x v="13"/>
    <x v="1"/>
    <n v="4714"/>
    <x v="0"/>
    <x v="3"/>
    <s v="ESOMEPRAZOLE MAGNESIUM"/>
    <m/>
    <m/>
    <m/>
    <m/>
    <m/>
    <m/>
    <m/>
    <m/>
    <m/>
    <m/>
    <m/>
    <m/>
    <n v="2"/>
    <m/>
    <n v="1"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m/>
    <m/>
    <n v="6"/>
  </r>
  <r>
    <x v="13"/>
    <x v="1"/>
    <n v="5037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3"/>
  </r>
  <r>
    <x v="13"/>
    <x v="1"/>
    <n v="6251"/>
    <x v="0"/>
    <x v="3"/>
    <s v="PANTOPRAZOLE MAGNESIUM"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n v="1"/>
    <m/>
    <m/>
    <m/>
    <m/>
    <m/>
    <m/>
    <m/>
    <m/>
    <m/>
    <n v="1"/>
    <m/>
    <n v="4"/>
  </r>
  <r>
    <x v="13"/>
    <x v="1"/>
    <n v="7137"/>
    <x v="0"/>
    <x v="0"/>
    <s v="LOVASTATIN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4"/>
  </r>
  <r>
    <x v="13"/>
    <x v="1"/>
    <n v="7880"/>
    <x v="0"/>
    <x v="3"/>
    <s v="ESOMEPRAZOLE MAGNESIUM"/>
    <m/>
    <m/>
    <m/>
    <m/>
    <m/>
    <m/>
    <m/>
    <m/>
    <n v="1"/>
    <m/>
    <m/>
    <m/>
    <m/>
    <m/>
    <m/>
    <m/>
    <n v="2"/>
    <m/>
    <m/>
    <m/>
    <n v="2"/>
    <m/>
    <m/>
    <m/>
    <m/>
    <n v="1"/>
    <m/>
    <m/>
    <m/>
    <m/>
    <m/>
    <m/>
    <m/>
    <m/>
    <m/>
    <n v="2"/>
    <m/>
    <m/>
    <m/>
    <n v="1"/>
    <m/>
    <m/>
    <m/>
    <m/>
    <m/>
    <m/>
    <n v="9"/>
  </r>
  <r>
    <x v="13"/>
    <x v="1"/>
    <n v="8553"/>
    <x v="0"/>
    <x v="1"/>
    <s v="RANITIDINE HCL"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13"/>
    <x v="1"/>
    <n v="8553"/>
    <x v="0"/>
    <x v="0"/>
    <s v="ATORVASTATIN CALCIUM"/>
    <m/>
    <m/>
    <m/>
    <m/>
    <m/>
    <m/>
    <m/>
    <m/>
    <m/>
    <m/>
    <m/>
    <m/>
    <m/>
    <m/>
    <m/>
    <m/>
    <n v="1"/>
    <m/>
    <m/>
    <m/>
    <m/>
    <n v="1"/>
    <m/>
    <m/>
    <m/>
    <m/>
    <n v="1"/>
    <m/>
    <m/>
    <m/>
    <m/>
    <m/>
    <m/>
    <m/>
    <n v="1"/>
    <m/>
    <m/>
    <m/>
    <m/>
    <m/>
    <m/>
    <m/>
    <m/>
    <m/>
    <m/>
    <m/>
    <n v="4"/>
  </r>
  <r>
    <x v="13"/>
    <x v="1"/>
    <n v="855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n v="2"/>
    <m/>
    <m/>
    <m/>
    <m/>
    <m/>
    <m/>
    <m/>
    <m/>
    <m/>
    <n v="1"/>
    <n v="5"/>
  </r>
  <r>
    <x v="13"/>
    <x v="1"/>
    <n v="955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0861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1641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13"/>
    <x v="1"/>
    <n v="12099"/>
    <x v="0"/>
    <x v="3"/>
    <s v="LANSOPRAZOLE"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n v="1"/>
    <n v="1"/>
    <m/>
    <m/>
    <n v="1"/>
    <n v="1"/>
    <m/>
    <n v="1"/>
    <m/>
    <n v="1"/>
    <m/>
    <n v="1"/>
    <m/>
    <n v="1"/>
    <m/>
    <n v="1"/>
    <m/>
    <n v="1"/>
    <m/>
    <n v="1"/>
    <m/>
    <n v="24"/>
  </r>
  <r>
    <x v="13"/>
    <x v="1"/>
    <n v="13331"/>
    <x v="0"/>
    <x v="0"/>
    <s v="ATORVASTATIN CALCIUM"/>
    <m/>
    <m/>
    <n v="2"/>
    <m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n v="12"/>
  </r>
  <r>
    <x v="13"/>
    <x v="1"/>
    <n v="13331"/>
    <x v="0"/>
    <x v="6"/>
    <s v="EZETIMIBE"/>
    <m/>
    <m/>
    <n v="2"/>
    <m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n v="12"/>
  </r>
  <r>
    <x v="13"/>
    <x v="1"/>
    <n v="14717"/>
    <x v="0"/>
    <x v="3"/>
    <s v="PANTOPRAZOLE MAGNESIUM"/>
    <n v="1"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n v="11"/>
  </r>
  <r>
    <x v="13"/>
    <x v="1"/>
    <n v="16864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m/>
    <n v="4"/>
  </r>
  <r>
    <x v="13"/>
    <x v="1"/>
    <n v="18103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3"/>
    <x v="1"/>
    <n v="18103"/>
    <x v="0"/>
    <x v="3"/>
    <s v="ESOMEPRAZOLE MAGNESIUM"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n v="1"/>
    <m/>
    <m/>
    <m/>
    <m/>
    <m/>
    <n v="3"/>
  </r>
  <r>
    <x v="13"/>
    <x v="1"/>
    <n v="20179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3"/>
    <x v="1"/>
    <n v="20697"/>
    <x v="0"/>
    <x v="0"/>
    <s v="ROSUVASTATIN CALCIUM"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  <n v="5"/>
  </r>
  <r>
    <x v="13"/>
    <x v="1"/>
    <n v="3308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3"/>
    <x v="1"/>
    <n v="631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n v="2"/>
  </r>
  <r>
    <x v="13"/>
    <x v="1"/>
    <n v="4530"/>
    <x v="1"/>
    <x v="3"/>
    <s v="PANTOPRAZOLE MAGNES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8520"/>
    <x v="1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n v="4"/>
  </r>
  <r>
    <x v="13"/>
    <x v="1"/>
    <n v="12333"/>
    <x v="1"/>
    <x v="0"/>
    <s v="ATORVASTATIN CALCIUM"/>
    <m/>
    <n v="1"/>
    <m/>
    <m/>
    <m/>
    <m/>
    <n v="1"/>
    <m/>
    <m/>
    <m/>
    <n v="1"/>
    <m/>
    <m/>
    <m/>
    <n v="1"/>
    <m/>
    <m/>
    <m/>
    <n v="1"/>
    <m/>
    <m/>
    <m/>
    <n v="1"/>
    <m/>
    <m/>
    <n v="1"/>
    <m/>
    <m/>
    <m/>
    <m/>
    <n v="1"/>
    <m/>
    <m/>
    <n v="1"/>
    <m/>
    <m/>
    <m/>
    <m/>
    <n v="1"/>
    <m/>
    <m/>
    <m/>
    <n v="1"/>
    <m/>
    <m/>
    <m/>
    <n v="11"/>
  </r>
  <r>
    <x v="13"/>
    <x v="1"/>
    <n v="14461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n v="3"/>
  </r>
  <r>
    <x v="13"/>
    <x v="1"/>
    <n v="23731"/>
    <x v="1"/>
    <x v="0"/>
    <s v="ATORVASTATIN CALCIUM"/>
    <m/>
    <m/>
    <m/>
    <m/>
    <m/>
    <n v="1"/>
    <m/>
    <m/>
    <m/>
    <m/>
    <n v="1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5"/>
  </r>
  <r>
    <x v="13"/>
    <x v="1"/>
    <n v="6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67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3"/>
    <x v="1"/>
    <n v="157"/>
    <x v="0"/>
    <x v="3"/>
    <s v="LANSOPRAZOLE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157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3"/>
    <x v="1"/>
    <n v="157"/>
    <x v="0"/>
    <x v="3"/>
    <s v="RABEPRAZOLE SODIUM"/>
    <n v="1"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3"/>
    <x v="1"/>
    <n v="351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41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3"/>
    <x v="1"/>
    <n v="412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m/>
    <m/>
    <n v="3"/>
  </r>
  <r>
    <x v="13"/>
    <x v="1"/>
    <n v="4535"/>
    <x v="0"/>
    <x v="3"/>
    <s v="ESOMEPRAZOLE MAGNES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453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1"/>
    <m/>
    <m/>
    <m/>
    <m/>
    <n v="1"/>
    <m/>
    <m/>
    <m/>
    <n v="1"/>
    <m/>
    <m/>
    <m/>
    <m/>
    <n v="5"/>
  </r>
  <r>
    <x v="13"/>
    <x v="1"/>
    <n v="4535"/>
    <x v="0"/>
    <x v="3"/>
    <s v="RABEPRAZOLE SODIUM"/>
    <m/>
    <m/>
    <m/>
    <m/>
    <m/>
    <m/>
    <m/>
    <m/>
    <m/>
    <m/>
    <n v="1"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n v="4"/>
  </r>
  <r>
    <x v="13"/>
    <x v="1"/>
    <n v="4807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3"/>
  </r>
  <r>
    <x v="13"/>
    <x v="1"/>
    <n v="5881"/>
    <x v="0"/>
    <x v="3"/>
    <s v="RABEPRAZOLE SOD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13"/>
    <x v="1"/>
    <n v="6156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n v="3"/>
  </r>
  <r>
    <x v="13"/>
    <x v="1"/>
    <n v="8096"/>
    <x v="0"/>
    <x v="3"/>
    <s v="PANTOPRAZOLE SODIUM"/>
    <m/>
    <m/>
    <m/>
    <m/>
    <m/>
    <m/>
    <m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n v="6"/>
  </r>
  <r>
    <x v="13"/>
    <x v="1"/>
    <n v="8946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n v="3"/>
  </r>
  <r>
    <x v="13"/>
    <x v="1"/>
    <n v="9490"/>
    <x v="0"/>
    <x v="3"/>
    <s v="ESOMEPRAZOLE MAGNESIUM"/>
    <m/>
    <m/>
    <m/>
    <m/>
    <n v="1"/>
    <m/>
    <m/>
    <m/>
    <m/>
    <n v="1"/>
    <m/>
    <m/>
    <n v="1"/>
    <m/>
    <m/>
    <m/>
    <m/>
    <m/>
    <m/>
    <n v="1"/>
    <n v="1"/>
    <m/>
    <m/>
    <m/>
    <m/>
    <m/>
    <m/>
    <m/>
    <m/>
    <n v="1"/>
    <m/>
    <m/>
    <m/>
    <m/>
    <n v="1"/>
    <m/>
    <m/>
    <m/>
    <m/>
    <m/>
    <m/>
    <m/>
    <m/>
    <m/>
    <m/>
    <n v="1"/>
    <n v="8"/>
  </r>
  <r>
    <x v="13"/>
    <x v="1"/>
    <n v="10939"/>
    <x v="0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n v="1"/>
    <m/>
    <m/>
    <m/>
    <m/>
    <m/>
    <n v="3"/>
  </r>
  <r>
    <x v="13"/>
    <x v="1"/>
    <n v="11554"/>
    <x v="0"/>
    <x v="3"/>
    <s v="RABEPRAZOLE SODIUM"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</r>
  <r>
    <x v="13"/>
    <x v="1"/>
    <n v="12413"/>
    <x v="0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1241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1"/>
    <m/>
    <m/>
    <m/>
    <m/>
    <m/>
    <m/>
    <m/>
    <m/>
    <m/>
    <n v="4"/>
  </r>
  <r>
    <x v="13"/>
    <x v="1"/>
    <n v="12413"/>
    <x v="0"/>
    <x v="3"/>
    <s v="RABEPRAZOLE SODIUM"/>
    <m/>
    <m/>
    <n v="2"/>
    <m/>
    <m/>
    <n v="1"/>
    <m/>
    <m/>
    <m/>
    <m/>
    <n v="1"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6"/>
  </r>
  <r>
    <x v="13"/>
    <x v="1"/>
    <n v="15144"/>
    <x v="0"/>
    <x v="3"/>
    <s v="RABEPRAZOLE SODIUM"/>
    <m/>
    <m/>
    <m/>
    <m/>
    <m/>
    <m/>
    <m/>
    <m/>
    <m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3"/>
    <x v="1"/>
    <n v="15345"/>
    <x v="0"/>
    <x v="3"/>
    <s v="LANSOPRAZOLE"/>
    <m/>
    <m/>
    <m/>
    <m/>
    <m/>
    <m/>
    <m/>
    <n v="1"/>
    <m/>
    <m/>
    <m/>
    <m/>
    <m/>
    <n v="1"/>
    <m/>
    <m/>
    <n v="1"/>
    <n v="1"/>
    <m/>
    <m/>
    <m/>
    <m/>
    <m/>
    <m/>
    <m/>
    <m/>
    <n v="1"/>
    <m/>
    <m/>
    <m/>
    <m/>
    <m/>
    <m/>
    <m/>
    <m/>
    <m/>
    <m/>
    <n v="1"/>
    <m/>
    <m/>
    <m/>
    <n v="1"/>
    <m/>
    <m/>
    <m/>
    <m/>
    <n v="7"/>
  </r>
  <r>
    <x v="13"/>
    <x v="1"/>
    <n v="15789"/>
    <x v="0"/>
    <x v="3"/>
    <s v="PANTOPRAZOLE SODIUM"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m/>
    <n v="4"/>
  </r>
  <r>
    <x v="13"/>
    <x v="1"/>
    <n v="1588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7904"/>
    <x v="0"/>
    <x v="3"/>
    <s v="RABEPRAZOLE SODIUM"/>
    <m/>
    <m/>
    <m/>
    <m/>
    <n v="1"/>
    <m/>
    <m/>
    <m/>
    <m/>
    <m/>
    <m/>
    <m/>
    <m/>
    <n v="1"/>
    <m/>
    <m/>
    <m/>
    <m/>
    <m/>
    <m/>
    <m/>
    <n v="1"/>
    <m/>
    <m/>
    <m/>
    <m/>
    <m/>
    <m/>
    <m/>
    <m/>
    <n v="1"/>
    <m/>
    <m/>
    <m/>
    <m/>
    <m/>
    <n v="1"/>
    <m/>
    <m/>
    <m/>
    <m/>
    <m/>
    <m/>
    <m/>
    <m/>
    <n v="1"/>
    <n v="6"/>
  </r>
  <r>
    <x v="13"/>
    <x v="1"/>
    <n v="1858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8582"/>
    <x v="0"/>
    <x v="3"/>
    <s v="ESOMEPRAZOLE MAGNES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3"/>
  </r>
  <r>
    <x v="13"/>
    <x v="1"/>
    <n v="19019"/>
    <x v="0"/>
    <x v="3"/>
    <s v="PANTOPRAZOLE MAGNESIUM"/>
    <m/>
    <m/>
    <m/>
    <m/>
    <m/>
    <m/>
    <m/>
    <m/>
    <n v="1"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n v="3"/>
  </r>
  <r>
    <x v="13"/>
    <x v="1"/>
    <n v="20470"/>
    <x v="0"/>
    <x v="0"/>
    <s v="SIMVASTATIN"/>
    <m/>
    <n v="1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4"/>
  </r>
  <r>
    <x v="13"/>
    <x v="1"/>
    <n v="20602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3"/>
    <x v="1"/>
    <n v="23737"/>
    <x v="0"/>
    <x v="3"/>
    <s v="OMEPRAZOLE"/>
    <m/>
    <m/>
    <n v="1"/>
    <m/>
    <m/>
    <m/>
    <m/>
    <m/>
    <n v="1"/>
    <m/>
    <m/>
    <m/>
    <n v="1"/>
    <m/>
    <m/>
    <m/>
    <m/>
    <m/>
    <m/>
    <n v="1"/>
    <m/>
    <m/>
    <m/>
    <m/>
    <m/>
    <n v="1"/>
    <m/>
    <m/>
    <m/>
    <m/>
    <m/>
    <n v="1"/>
    <m/>
    <m/>
    <m/>
    <m/>
    <n v="2"/>
    <m/>
    <m/>
    <m/>
    <m/>
    <m/>
    <n v="1"/>
    <m/>
    <m/>
    <m/>
    <n v="9"/>
  </r>
  <r>
    <x v="13"/>
    <x v="1"/>
    <n v="3006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3"/>
    <x v="1"/>
    <n v="11622"/>
    <x v="1"/>
    <x v="3"/>
    <s v="RABEPRAZOLE SOD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n v="4"/>
  </r>
  <r>
    <x v="13"/>
    <x v="1"/>
    <n v="13551"/>
    <x v="1"/>
    <x v="3"/>
    <s v="ESOMEPRAZOLE MAGNESIUM"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3"/>
    <x v="1"/>
    <n v="14559"/>
    <x v="1"/>
    <x v="3"/>
    <s v="PANTO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15387"/>
    <x v="1"/>
    <x v="0"/>
    <s v="ATORVASTATIN CALCIUM"/>
    <m/>
    <m/>
    <m/>
    <m/>
    <n v="1"/>
    <m/>
    <m/>
    <m/>
    <m/>
    <m/>
    <m/>
    <m/>
    <n v="1"/>
    <m/>
    <m/>
    <m/>
    <m/>
    <m/>
    <m/>
    <m/>
    <m/>
    <m/>
    <n v="1"/>
    <m/>
    <m/>
    <m/>
    <m/>
    <m/>
    <m/>
    <m/>
    <m/>
    <m/>
    <m/>
    <n v="2"/>
    <m/>
    <m/>
    <m/>
    <m/>
    <m/>
    <n v="2"/>
    <m/>
    <n v="3"/>
    <m/>
    <m/>
    <m/>
    <m/>
    <n v="10"/>
  </r>
  <r>
    <x v="13"/>
    <x v="1"/>
    <n v="29354"/>
    <x v="1"/>
    <x v="8"/>
    <s v="FENOFIBRATE, MICROCOATED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13"/>
    <x v="1"/>
    <n v="29354"/>
    <x v="1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3"/>
    <x v="1"/>
    <n v="10573"/>
    <x v="0"/>
    <x v="3"/>
    <s v="RABEPRAZOLE SODIUM"/>
    <m/>
    <m/>
    <m/>
    <m/>
    <m/>
    <m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n v="4"/>
  </r>
  <r>
    <x v="13"/>
    <x v="1"/>
    <n v="1263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2630"/>
    <x v="0"/>
    <x v="3"/>
    <s v="RABEPRAZOLE SODIUM"/>
    <m/>
    <m/>
    <m/>
    <m/>
    <m/>
    <m/>
    <n v="1"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n v="4"/>
  </r>
  <r>
    <x v="13"/>
    <x v="1"/>
    <n v="33179"/>
    <x v="0"/>
    <x v="3"/>
    <s v="RABEPRAZOLE SOD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n v="4"/>
  </r>
  <r>
    <x v="13"/>
    <x v="1"/>
    <n v="32437"/>
    <x v="1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3"/>
    <x v="1"/>
    <n v="11975"/>
    <x v="0"/>
    <x v="3"/>
    <s v="LANSOPRAZOLE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4"/>
  </r>
  <r>
    <x v="13"/>
    <x v="1"/>
    <n v="6156"/>
    <x v="0"/>
    <x v="3"/>
    <s v="RABEPRAZOLE SODIUM"/>
    <m/>
    <m/>
    <n v="1"/>
    <m/>
    <m/>
    <m/>
    <m/>
    <m/>
    <m/>
    <n v="1"/>
    <m/>
    <m/>
    <m/>
    <m/>
    <m/>
    <m/>
    <n v="1"/>
    <m/>
    <m/>
    <m/>
    <m/>
    <m/>
    <m/>
    <n v="1"/>
    <m/>
    <m/>
    <m/>
    <m/>
    <m/>
    <m/>
    <m/>
    <m/>
    <m/>
    <n v="1"/>
    <m/>
    <m/>
    <m/>
    <m/>
    <m/>
    <m/>
    <m/>
    <m/>
    <n v="1"/>
    <m/>
    <m/>
    <m/>
    <n v="6"/>
  </r>
  <r>
    <x v="13"/>
    <x v="1"/>
    <n v="8946"/>
    <x v="0"/>
    <x v="3"/>
    <s v="RABE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</r>
  <r>
    <x v="13"/>
    <x v="1"/>
    <n v="11166"/>
    <x v="0"/>
    <x v="3"/>
    <s v="ESOMEPRAZOLE MAGNESIUM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2"/>
  </r>
  <r>
    <x v="13"/>
    <x v="1"/>
    <n v="11166"/>
    <x v="0"/>
    <x v="3"/>
    <s v="LANSOPRAZOLE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3"/>
    <x v="1"/>
    <n v="23749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1"/>
    <m/>
    <m/>
    <m/>
    <m/>
    <m/>
    <n v="1"/>
    <m/>
    <n v="4"/>
  </r>
  <r>
    <x v="13"/>
    <x v="1"/>
    <n v="66"/>
    <x v="1"/>
    <x v="1"/>
    <s v="RANITIDINE HCL"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3"/>
    <x v="1"/>
    <n v="66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m/>
    <m/>
    <m/>
    <m/>
    <n v="5"/>
  </r>
  <r>
    <x v="13"/>
    <x v="1"/>
    <n v="66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n v="2"/>
  </r>
  <r>
    <x v="13"/>
    <x v="1"/>
    <n v="11165"/>
    <x v="1"/>
    <x v="7"/>
    <s v="PINAVERIUM BROMIDE"/>
    <m/>
    <m/>
    <m/>
    <n v="1"/>
    <m/>
    <m/>
    <m/>
    <n v="1"/>
    <m/>
    <m/>
    <m/>
    <n v="1"/>
    <n v="1"/>
    <m/>
    <m/>
    <m/>
    <m/>
    <m/>
    <m/>
    <m/>
    <n v="1"/>
    <m/>
    <m/>
    <m/>
    <m/>
    <n v="1"/>
    <m/>
    <m/>
    <n v="1"/>
    <m/>
    <m/>
    <m/>
    <n v="1"/>
    <m/>
    <m/>
    <m/>
    <m/>
    <m/>
    <m/>
    <m/>
    <m/>
    <m/>
    <n v="1"/>
    <m/>
    <m/>
    <m/>
    <n v="9"/>
  </r>
  <r>
    <x v="13"/>
    <x v="1"/>
    <n v="11165"/>
    <x v="1"/>
    <x v="3"/>
    <s v="ESOMEPRAZOLE MAGNESIUM"/>
    <m/>
    <m/>
    <m/>
    <n v="1"/>
    <m/>
    <m/>
    <m/>
    <n v="1"/>
    <m/>
    <m/>
    <m/>
    <n v="2"/>
    <n v="1"/>
    <m/>
    <m/>
    <m/>
    <m/>
    <m/>
    <m/>
    <m/>
    <n v="1"/>
    <m/>
    <m/>
    <m/>
    <m/>
    <n v="2"/>
    <m/>
    <m/>
    <n v="1"/>
    <m/>
    <m/>
    <m/>
    <n v="1"/>
    <m/>
    <m/>
    <m/>
    <m/>
    <m/>
    <m/>
    <m/>
    <m/>
    <m/>
    <n v="1"/>
    <m/>
    <m/>
    <m/>
    <n v="11"/>
  </r>
  <r>
    <x v="13"/>
    <x v="1"/>
    <n v="2025"/>
    <x v="0"/>
    <x v="0"/>
    <s v="SIMVASTATIN"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4"/>
  </r>
  <r>
    <x v="13"/>
    <x v="1"/>
    <n v="2025"/>
    <x v="0"/>
    <x v="6"/>
    <s v="EZETIMIBE"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4"/>
  </r>
  <r>
    <x v="13"/>
    <x v="1"/>
    <n v="3525"/>
    <x v="0"/>
    <x v="0"/>
    <s v="ATORVASTATIN CALCIUM"/>
    <m/>
    <m/>
    <m/>
    <m/>
    <m/>
    <m/>
    <m/>
    <m/>
    <m/>
    <m/>
    <m/>
    <m/>
    <m/>
    <m/>
    <m/>
    <m/>
    <n v="1"/>
    <n v="1"/>
    <n v="1"/>
    <m/>
    <n v="2"/>
    <m/>
    <n v="2"/>
    <m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0"/>
  </r>
  <r>
    <x v="13"/>
    <x v="1"/>
    <n v="4607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3"/>
  </r>
  <r>
    <x v="13"/>
    <x v="1"/>
    <n v="4692"/>
    <x v="0"/>
    <x v="0"/>
    <s v="ATOR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3"/>
  </r>
  <r>
    <x v="13"/>
    <x v="1"/>
    <n v="6513"/>
    <x v="0"/>
    <x v="8"/>
    <s v="FENOFIBRATE, NANOCRYSTALLIZED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6513"/>
    <x v="0"/>
    <x v="8"/>
    <s v="FENOFIBRATE, MICROCOATED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n v="3"/>
  </r>
  <r>
    <x v="13"/>
    <x v="1"/>
    <n v="7880"/>
    <x v="0"/>
    <x v="0"/>
    <s v="ATORVASTATIN CALCIUM"/>
    <m/>
    <n v="1"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3"/>
  </r>
  <r>
    <x v="13"/>
    <x v="1"/>
    <n v="7979"/>
    <x v="0"/>
    <x v="0"/>
    <s v="LOVASTATIN"/>
    <n v="1"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4"/>
  </r>
  <r>
    <x v="13"/>
    <x v="1"/>
    <n v="8846"/>
    <x v="0"/>
    <x v="0"/>
    <s v="ATOR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n v="3"/>
  </r>
  <r>
    <x v="13"/>
    <x v="1"/>
    <n v="8846"/>
    <x v="0"/>
    <x v="0"/>
    <s v="ROSUVASTATIN CALC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9363"/>
    <x v="0"/>
    <x v="0"/>
    <s v="ATOR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3"/>
    <x v="1"/>
    <n v="10544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3"/>
  </r>
  <r>
    <x v="13"/>
    <x v="1"/>
    <n v="1057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1"/>
    <m/>
    <m/>
    <m/>
    <m/>
    <m/>
    <m/>
    <m/>
    <m/>
    <m/>
    <m/>
    <m/>
    <m/>
    <n v="1"/>
    <m/>
    <m/>
    <n v="4"/>
  </r>
  <r>
    <x v="13"/>
    <x v="1"/>
    <n v="1078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</r>
  <r>
    <x v="13"/>
    <x v="1"/>
    <n v="12099"/>
    <x v="0"/>
    <x v="6"/>
    <s v="EZETIMIBE"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m/>
    <n v="1"/>
    <n v="1"/>
    <m/>
    <n v="1"/>
    <m/>
    <n v="1"/>
    <m/>
    <n v="1"/>
    <m/>
    <n v="1"/>
    <m/>
    <n v="1"/>
    <m/>
    <n v="1"/>
    <m/>
    <n v="1"/>
    <m/>
    <n v="23"/>
  </r>
  <r>
    <x v="13"/>
    <x v="1"/>
    <n v="13232"/>
    <x v="0"/>
    <x v="0"/>
    <s v="ATORVASTATIN CALCIUM"/>
    <n v="1"/>
    <m/>
    <m/>
    <m/>
    <m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n v="5"/>
  </r>
  <r>
    <x v="13"/>
    <x v="1"/>
    <n v="16942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n v="3"/>
  </r>
  <r>
    <x v="13"/>
    <x v="1"/>
    <n v="18252"/>
    <x v="0"/>
    <x v="0"/>
    <s v="ATORVASTATIN CALC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13"/>
    <x v="1"/>
    <n v="21703"/>
    <x v="0"/>
    <x v="0"/>
    <s v="SIMVASTATIN"/>
    <m/>
    <n v="1"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4"/>
  </r>
  <r>
    <x v="13"/>
    <x v="1"/>
    <n v="30756"/>
    <x v="0"/>
    <x v="0"/>
    <s v="ATORVASTATIN CALC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13"/>
    <x v="1"/>
    <n v="33179"/>
    <x v="0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3"/>
  </r>
  <r>
    <x v="13"/>
    <x v="1"/>
    <n v="842"/>
    <x v="1"/>
    <x v="0"/>
    <s v="ATORVASTATIN CALCIUM"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13"/>
    <x v="1"/>
    <n v="575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n v="2"/>
  </r>
  <r>
    <x v="13"/>
    <x v="1"/>
    <n v="7251"/>
    <x v="1"/>
    <x v="0"/>
    <s v="ATORVASTATIN CALCIUM"/>
    <m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n v="1"/>
    <m/>
    <m/>
    <n v="1"/>
    <m/>
    <m/>
    <m/>
    <n v="1"/>
    <m/>
    <m/>
    <m/>
    <n v="1"/>
    <m/>
    <n v="12"/>
  </r>
  <r>
    <x v="13"/>
    <x v="1"/>
    <n v="13714"/>
    <x v="1"/>
    <x v="0"/>
    <s v="ROSUVASTATIN CALCIUM"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4"/>
  </r>
  <r>
    <x v="13"/>
    <x v="1"/>
    <n v="18940"/>
    <x v="1"/>
    <x v="0"/>
    <s v="ATORVASTATIN CALCIUM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13"/>
    <x v="1"/>
    <n v="1207"/>
    <x v="0"/>
    <x v="0"/>
    <s v="ATOR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3"/>
    <x v="1"/>
    <n v="10939"/>
    <x v="0"/>
    <x v="0"/>
    <s v="LOVASTATIN"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13"/>
    <x v="1"/>
    <n v="17928"/>
    <x v="0"/>
    <x v="0"/>
    <s v="PRAVASTATIN SODIUM"/>
    <n v="1"/>
    <m/>
    <m/>
    <m/>
    <m/>
    <n v="1"/>
    <m/>
    <m/>
    <m/>
    <n v="1"/>
    <m/>
    <m/>
    <m/>
    <n v="1"/>
    <m/>
    <m/>
    <m/>
    <n v="1"/>
    <m/>
    <m/>
    <m/>
    <n v="1"/>
    <m/>
    <n v="1"/>
    <m/>
    <m/>
    <m/>
    <m/>
    <m/>
    <m/>
    <m/>
    <m/>
    <m/>
    <m/>
    <m/>
    <m/>
    <m/>
    <m/>
    <m/>
    <m/>
    <m/>
    <m/>
    <m/>
    <m/>
    <m/>
    <m/>
    <n v="7"/>
  </r>
  <r>
    <x v="13"/>
    <x v="1"/>
    <n v="30068"/>
    <x v="0"/>
    <x v="0"/>
    <s v="SIMVASTATIN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3"/>
    <x v="1"/>
    <n v="791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</r>
  <r>
    <x v="14"/>
    <x v="1"/>
    <n v="2224"/>
    <x v="0"/>
    <x v="1"/>
    <s v="RANITIDINE HCL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2224"/>
    <x v="0"/>
    <x v="3"/>
    <s v="RABEPRAZOLE SOD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3246"/>
    <x v="0"/>
    <x v="1"/>
    <s v="RANITIDINE HCL"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n v="2"/>
  </r>
  <r>
    <x v="14"/>
    <x v="1"/>
    <n v="3342"/>
    <x v="0"/>
    <x v="1"/>
    <s v="RANITIDINE HCL"/>
    <m/>
    <m/>
    <m/>
    <n v="1"/>
    <m/>
    <m/>
    <n v="1"/>
    <m/>
    <m/>
    <m/>
    <m/>
    <n v="1"/>
    <m/>
    <m/>
    <m/>
    <n v="1"/>
    <m/>
    <m/>
    <m/>
    <n v="1"/>
    <m/>
    <m/>
    <n v="1"/>
    <m/>
    <m/>
    <m/>
    <n v="1"/>
    <m/>
    <m/>
    <m/>
    <m/>
    <n v="1"/>
    <m/>
    <m/>
    <m/>
    <n v="1"/>
    <m/>
    <m/>
    <m/>
    <n v="1"/>
    <m/>
    <m/>
    <m/>
    <n v="1"/>
    <m/>
    <m/>
    <n v="11"/>
  </r>
  <r>
    <x v="14"/>
    <x v="1"/>
    <n v="3342"/>
    <x v="0"/>
    <x v="0"/>
    <s v="PRAVASTATIN SODIUM"/>
    <m/>
    <m/>
    <m/>
    <n v="1"/>
    <m/>
    <m/>
    <n v="1"/>
    <m/>
    <m/>
    <m/>
    <m/>
    <n v="1"/>
    <m/>
    <m/>
    <m/>
    <n v="1"/>
    <m/>
    <m/>
    <m/>
    <n v="1"/>
    <m/>
    <m/>
    <n v="1"/>
    <m/>
    <m/>
    <m/>
    <n v="1"/>
    <m/>
    <m/>
    <m/>
    <m/>
    <n v="1"/>
    <m/>
    <m/>
    <m/>
    <n v="1"/>
    <m/>
    <m/>
    <m/>
    <n v="1"/>
    <m/>
    <m/>
    <m/>
    <n v="1"/>
    <m/>
    <m/>
    <n v="11"/>
  </r>
  <r>
    <x v="14"/>
    <x v="1"/>
    <n v="6168"/>
    <x v="0"/>
    <x v="0"/>
    <s v="ATORVASTATIN CALCIUM"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n v="2"/>
    <n v="7"/>
  </r>
  <r>
    <x v="14"/>
    <x v="1"/>
    <n v="1043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4"/>
    <x v="1"/>
    <n v="12113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n v="3"/>
  </r>
  <r>
    <x v="14"/>
    <x v="1"/>
    <n v="15806"/>
    <x v="0"/>
    <x v="0"/>
    <s v="ATORVASTATIN CALCIUM"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3"/>
  </r>
  <r>
    <x v="14"/>
    <x v="1"/>
    <n v="1677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4"/>
    <x v="1"/>
    <n v="16946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973"/>
    <x v="1"/>
    <x v="0"/>
    <s v="ATORVASTATIN CALCIUM"/>
    <m/>
    <m/>
    <m/>
    <m/>
    <m/>
    <m/>
    <m/>
    <n v="1"/>
    <m/>
    <m/>
    <m/>
    <n v="1"/>
    <m/>
    <m/>
    <m/>
    <n v="1"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n v="6"/>
  </r>
  <r>
    <x v="14"/>
    <x v="1"/>
    <n v="6572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6572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6964"/>
    <x v="1"/>
    <x v="0"/>
    <s v="ATORVASTATIN CALCIUM"/>
    <m/>
    <m/>
    <n v="1"/>
    <m/>
    <m/>
    <m/>
    <m/>
    <m/>
    <n v="1"/>
    <m/>
    <m/>
    <m/>
    <m/>
    <n v="1"/>
    <m/>
    <m/>
    <m/>
    <m/>
    <m/>
    <n v="1"/>
    <m/>
    <m/>
    <m/>
    <m/>
    <m/>
    <m/>
    <m/>
    <n v="1"/>
    <m/>
    <m/>
    <m/>
    <n v="1"/>
    <m/>
    <m/>
    <n v="1"/>
    <m/>
    <m/>
    <m/>
    <m/>
    <m/>
    <m/>
    <n v="1"/>
    <m/>
    <m/>
    <m/>
    <m/>
    <n v="8"/>
  </r>
  <r>
    <x v="14"/>
    <x v="1"/>
    <n v="7069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n v="3"/>
  </r>
  <r>
    <x v="14"/>
    <x v="1"/>
    <n v="7642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7972"/>
    <x v="1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n v="3"/>
  </r>
  <r>
    <x v="14"/>
    <x v="1"/>
    <n v="7972"/>
    <x v="1"/>
    <x v="0"/>
    <s v="ROSUVASTATIN CALCIUM"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4"/>
    <x v="1"/>
    <n v="8430"/>
    <x v="1"/>
    <x v="0"/>
    <s v="SIMVASTATIN"/>
    <m/>
    <m/>
    <m/>
    <m/>
    <m/>
    <m/>
    <m/>
    <m/>
    <n v="1"/>
    <m/>
    <m/>
    <m/>
    <n v="1"/>
    <m/>
    <m/>
    <m/>
    <m/>
    <n v="1"/>
    <m/>
    <m/>
    <m/>
    <m/>
    <n v="1"/>
    <m/>
    <m/>
    <m/>
    <m/>
    <m/>
    <m/>
    <m/>
    <m/>
    <m/>
    <m/>
    <m/>
    <m/>
    <m/>
    <m/>
    <m/>
    <m/>
    <n v="1"/>
    <m/>
    <m/>
    <m/>
    <m/>
    <n v="1"/>
    <m/>
    <n v="6"/>
  </r>
  <r>
    <x v="14"/>
    <x v="1"/>
    <n v="8799"/>
    <x v="1"/>
    <x v="0"/>
    <s v="ATORVASTATIN CALCIUM"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n v="5"/>
  </r>
  <r>
    <x v="14"/>
    <x v="1"/>
    <n v="9357"/>
    <x v="1"/>
    <x v="0"/>
    <s v="ATORVASTATIN CALCIUM"/>
    <m/>
    <n v="1"/>
    <m/>
    <m/>
    <m/>
    <m/>
    <n v="1"/>
    <m/>
    <m/>
    <m/>
    <n v="1"/>
    <n v="1"/>
    <m/>
    <m/>
    <m/>
    <m/>
    <n v="1"/>
    <m/>
    <m/>
    <m/>
    <m/>
    <n v="1"/>
    <m/>
    <m/>
    <m/>
    <n v="1"/>
    <m/>
    <m/>
    <m/>
    <m/>
    <m/>
    <m/>
    <m/>
    <m/>
    <m/>
    <m/>
    <m/>
    <m/>
    <m/>
    <m/>
    <n v="1"/>
    <m/>
    <m/>
    <m/>
    <n v="1"/>
    <m/>
    <n v="9"/>
  </r>
  <r>
    <x v="14"/>
    <x v="1"/>
    <n v="9767"/>
    <x v="1"/>
    <x v="0"/>
    <s v="ATORVASTATIN CALCIUM"/>
    <m/>
    <m/>
    <n v="1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n v="1"/>
    <m/>
    <m/>
    <n v="4"/>
  </r>
  <r>
    <x v="14"/>
    <x v="1"/>
    <n v="12112"/>
    <x v="1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n v="3"/>
  </r>
  <r>
    <x v="14"/>
    <x v="1"/>
    <n v="12209"/>
    <x v="1"/>
    <x v="0"/>
    <s v="ROSUVASTATIN CALCIUM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n v="2"/>
  </r>
  <r>
    <x v="14"/>
    <x v="1"/>
    <n v="13027"/>
    <x v="1"/>
    <x v="0"/>
    <s v="ATORVASTATIN CALCIUM"/>
    <m/>
    <m/>
    <m/>
    <m/>
    <m/>
    <m/>
    <m/>
    <m/>
    <m/>
    <n v="2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4"/>
  </r>
  <r>
    <x v="14"/>
    <x v="1"/>
    <n v="1382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n v="2"/>
    <n v="2"/>
    <m/>
    <m/>
    <n v="6"/>
  </r>
  <r>
    <x v="14"/>
    <x v="1"/>
    <n v="13823"/>
    <x v="1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3823"/>
    <x v="1"/>
    <x v="0"/>
    <s v="ROSUVASTATIN CALCIUM"/>
    <m/>
    <m/>
    <m/>
    <m/>
    <m/>
    <m/>
    <m/>
    <n v="1"/>
    <m/>
    <m/>
    <m/>
    <m/>
    <m/>
    <m/>
    <m/>
    <m/>
    <m/>
    <m/>
    <m/>
    <m/>
    <m/>
    <n v="1"/>
    <m/>
    <m/>
    <m/>
    <m/>
    <n v="1"/>
    <n v="1"/>
    <n v="1"/>
    <m/>
    <m/>
    <m/>
    <n v="1"/>
    <m/>
    <m/>
    <m/>
    <m/>
    <m/>
    <m/>
    <m/>
    <m/>
    <m/>
    <n v="1"/>
    <m/>
    <m/>
    <m/>
    <n v="7"/>
  </r>
  <r>
    <x v="14"/>
    <x v="1"/>
    <n v="13965"/>
    <x v="1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4834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678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14"/>
    <x v="1"/>
    <n v="32776"/>
    <x v="1"/>
    <x v="0"/>
    <s v="ROSUVASTATIN CALCIUM"/>
    <n v="1"/>
    <m/>
    <m/>
    <m/>
    <n v="1"/>
    <m/>
    <m/>
    <m/>
    <m/>
    <n v="1"/>
    <m/>
    <m/>
    <m/>
    <m/>
    <n v="1"/>
    <m/>
    <m/>
    <m/>
    <m/>
    <n v="1"/>
    <m/>
    <m/>
    <m/>
    <n v="1"/>
    <m/>
    <m/>
    <m/>
    <n v="1"/>
    <m/>
    <m/>
    <m/>
    <m/>
    <m/>
    <n v="1"/>
    <m/>
    <m/>
    <m/>
    <n v="1"/>
    <m/>
    <m/>
    <m/>
    <n v="1"/>
    <m/>
    <m/>
    <m/>
    <m/>
    <n v="10"/>
  </r>
  <r>
    <x v="14"/>
    <x v="1"/>
    <n v="239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776"/>
    <x v="0"/>
    <x v="0"/>
    <s v="ATORVASTATIN CALCIUM"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14"/>
    <x v="1"/>
    <n v="281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278"/>
    <x v="0"/>
    <x v="0"/>
    <s v="ATORVASTATIN CALCIUM"/>
    <m/>
    <m/>
    <n v="1"/>
    <m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0"/>
  </r>
  <r>
    <x v="14"/>
    <x v="1"/>
    <n v="3682"/>
    <x v="0"/>
    <x v="3"/>
    <s v="ESOMEPRAZOLE MAGNESIUM"/>
    <m/>
    <m/>
    <m/>
    <m/>
    <m/>
    <m/>
    <m/>
    <m/>
    <m/>
    <n v="1"/>
    <m/>
    <m/>
    <m/>
    <m/>
    <m/>
    <m/>
    <m/>
    <m/>
    <m/>
    <n v="1"/>
    <m/>
    <m/>
    <m/>
    <m/>
    <m/>
    <m/>
    <n v="1"/>
    <m/>
    <m/>
    <m/>
    <m/>
    <m/>
    <m/>
    <m/>
    <m/>
    <m/>
    <m/>
    <n v="1"/>
    <m/>
    <m/>
    <m/>
    <m/>
    <n v="1"/>
    <m/>
    <m/>
    <n v="1"/>
    <n v="6"/>
  </r>
  <r>
    <x v="14"/>
    <x v="1"/>
    <n v="3995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4048"/>
    <x v="0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n v="4"/>
  </r>
  <r>
    <x v="14"/>
    <x v="1"/>
    <n v="5375"/>
    <x v="0"/>
    <x v="3"/>
    <s v="RABEPRAZOLE SODIUM"/>
    <m/>
    <n v="2"/>
    <m/>
    <m/>
    <m/>
    <m/>
    <m/>
    <m/>
    <m/>
    <m/>
    <m/>
    <m/>
    <m/>
    <m/>
    <n v="2"/>
    <m/>
    <m/>
    <m/>
    <m/>
    <m/>
    <m/>
    <m/>
    <m/>
    <n v="1"/>
    <m/>
    <m/>
    <m/>
    <m/>
    <n v="2"/>
    <m/>
    <m/>
    <m/>
    <m/>
    <m/>
    <m/>
    <m/>
    <m/>
    <m/>
    <m/>
    <m/>
    <m/>
    <m/>
    <n v="1"/>
    <m/>
    <m/>
    <m/>
    <n v="8"/>
  </r>
  <r>
    <x v="14"/>
    <x v="1"/>
    <n v="558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5583"/>
    <x v="0"/>
    <x v="3"/>
    <s v="ESOMEPRAZOLE MAGNESIUM"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14"/>
    <x v="1"/>
    <n v="6164"/>
    <x v="0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4"/>
    <x v="1"/>
    <n v="6353"/>
    <x v="0"/>
    <x v="3"/>
    <s v="ESOMEPRAZOLE MAGNESIUM"/>
    <m/>
    <m/>
    <m/>
    <m/>
    <n v="1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4"/>
  </r>
  <r>
    <x v="14"/>
    <x v="1"/>
    <n v="6737"/>
    <x v="0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673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6887"/>
    <x v="0"/>
    <x v="3"/>
    <s v="ESOMEPRAZOLE MAGNESIUM"/>
    <m/>
    <m/>
    <m/>
    <m/>
    <m/>
    <m/>
    <m/>
    <m/>
    <m/>
    <m/>
    <m/>
    <m/>
    <m/>
    <m/>
    <m/>
    <m/>
    <n v="1"/>
    <m/>
    <m/>
    <m/>
    <n v="1"/>
    <m/>
    <m/>
    <m/>
    <m/>
    <m/>
    <n v="1"/>
    <m/>
    <m/>
    <m/>
    <m/>
    <n v="1"/>
    <m/>
    <m/>
    <m/>
    <m/>
    <m/>
    <m/>
    <m/>
    <n v="1"/>
    <m/>
    <m/>
    <m/>
    <m/>
    <m/>
    <m/>
    <n v="5"/>
  </r>
  <r>
    <x v="14"/>
    <x v="1"/>
    <n v="6973"/>
    <x v="0"/>
    <x v="3"/>
    <s v="PANTOPRAZOLE SODIUM"/>
    <n v="1"/>
    <m/>
    <m/>
    <m/>
    <m/>
    <m/>
    <m/>
    <m/>
    <m/>
    <m/>
    <n v="1"/>
    <m/>
    <m/>
    <n v="1"/>
    <m/>
    <m/>
    <m/>
    <m/>
    <m/>
    <n v="1"/>
    <m/>
    <m/>
    <m/>
    <n v="1"/>
    <m/>
    <m/>
    <m/>
    <m/>
    <m/>
    <n v="1"/>
    <m/>
    <m/>
    <m/>
    <n v="1"/>
    <m/>
    <m/>
    <m/>
    <m/>
    <m/>
    <n v="1"/>
    <n v="1"/>
    <m/>
    <n v="1"/>
    <m/>
    <m/>
    <m/>
    <n v="10"/>
  </r>
  <r>
    <x v="14"/>
    <x v="1"/>
    <n v="7464"/>
    <x v="0"/>
    <x v="0"/>
    <s v="SIMVASTATIN"/>
    <m/>
    <m/>
    <m/>
    <m/>
    <m/>
    <n v="1"/>
    <m/>
    <m/>
    <m/>
    <m/>
    <n v="1"/>
    <m/>
    <m/>
    <m/>
    <m/>
    <n v="1"/>
    <m/>
    <m/>
    <m/>
    <m/>
    <n v="1"/>
    <m/>
    <m/>
    <m/>
    <n v="1"/>
    <m/>
    <m/>
    <m/>
    <n v="1"/>
    <m/>
    <m/>
    <m/>
    <m/>
    <m/>
    <m/>
    <m/>
    <n v="1"/>
    <m/>
    <m/>
    <m/>
    <m/>
    <m/>
    <m/>
    <m/>
    <m/>
    <m/>
    <n v="7"/>
  </r>
  <r>
    <x v="14"/>
    <x v="1"/>
    <n v="761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7617"/>
    <x v="0"/>
    <x v="3"/>
    <s v="LANSOPRAZOLE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n v="4"/>
  </r>
  <r>
    <x v="14"/>
    <x v="1"/>
    <n v="976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0601"/>
    <x v="0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2"/>
    <m/>
    <n v="4"/>
  </r>
  <r>
    <x v="14"/>
    <x v="1"/>
    <n v="10601"/>
    <x v="0"/>
    <x v="3"/>
    <s v="RABEPRAZOLE SODIUM"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n v="4"/>
  </r>
  <r>
    <x v="14"/>
    <x v="1"/>
    <n v="10831"/>
    <x v="0"/>
    <x v="0"/>
    <s v="ROSUVASTATIN CALCIUM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178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252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2523"/>
    <x v="0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2719"/>
    <x v="0"/>
    <x v="3"/>
    <s v="RABEPRAZOLE SODIUM"/>
    <m/>
    <m/>
    <m/>
    <m/>
    <m/>
    <m/>
    <m/>
    <m/>
    <m/>
    <m/>
    <m/>
    <m/>
    <m/>
    <m/>
    <m/>
    <m/>
    <n v="1"/>
    <n v="1"/>
    <m/>
    <n v="1"/>
    <n v="1"/>
    <m/>
    <m/>
    <m/>
    <m/>
    <n v="1"/>
    <m/>
    <n v="1"/>
    <n v="1"/>
    <m/>
    <m/>
    <m/>
    <m/>
    <m/>
    <m/>
    <m/>
    <m/>
    <m/>
    <m/>
    <m/>
    <m/>
    <n v="1"/>
    <m/>
    <m/>
    <m/>
    <m/>
    <n v="8"/>
  </r>
  <r>
    <x v="14"/>
    <x v="1"/>
    <n v="13280"/>
    <x v="0"/>
    <x v="3"/>
    <s v="ESOMEPRAZOLE MAGNESIUM"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4"/>
  </r>
  <r>
    <x v="14"/>
    <x v="1"/>
    <n v="13713"/>
    <x v="0"/>
    <x v="0"/>
    <s v="ATORVASTATIN CALCIUM"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14"/>
    <x v="1"/>
    <n v="1371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n v="2"/>
  </r>
  <r>
    <x v="14"/>
    <x v="1"/>
    <n v="13713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14"/>
    <x v="1"/>
    <n v="1430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4300"/>
    <x v="0"/>
    <x v="4"/>
    <s v="SUCRALFATE"/>
    <m/>
    <m/>
    <m/>
    <n v="1"/>
    <m/>
    <m/>
    <m/>
    <m/>
    <m/>
    <m/>
    <m/>
    <m/>
    <m/>
    <m/>
    <m/>
    <n v="1"/>
    <n v="1"/>
    <m/>
    <m/>
    <m/>
    <m/>
    <m/>
    <m/>
    <n v="1"/>
    <m/>
    <m/>
    <m/>
    <m/>
    <m/>
    <m/>
    <m/>
    <m/>
    <m/>
    <n v="1"/>
    <m/>
    <m/>
    <n v="2"/>
    <m/>
    <m/>
    <m/>
    <m/>
    <m/>
    <m/>
    <m/>
    <m/>
    <m/>
    <n v="7"/>
  </r>
  <r>
    <x v="14"/>
    <x v="1"/>
    <n v="1430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n v="2"/>
  </r>
  <r>
    <x v="14"/>
    <x v="1"/>
    <n v="16313"/>
    <x v="0"/>
    <x v="0"/>
    <s v="ATORVASTATIN CALCIUM"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m/>
    <n v="4"/>
  </r>
  <r>
    <x v="14"/>
    <x v="1"/>
    <n v="16570"/>
    <x v="0"/>
    <x v="3"/>
    <s v="ESOMEPRAZOLE MAGNESIUM"/>
    <m/>
    <n v="1"/>
    <m/>
    <m/>
    <m/>
    <m/>
    <m/>
    <m/>
    <m/>
    <m/>
    <n v="1"/>
    <m/>
    <m/>
    <n v="1"/>
    <m/>
    <m/>
    <m/>
    <m/>
    <m/>
    <m/>
    <m/>
    <m/>
    <m/>
    <m/>
    <m/>
    <n v="1"/>
    <m/>
    <m/>
    <m/>
    <m/>
    <m/>
    <m/>
    <m/>
    <n v="1"/>
    <m/>
    <m/>
    <m/>
    <m/>
    <m/>
    <m/>
    <n v="2"/>
    <m/>
    <n v="1"/>
    <m/>
    <m/>
    <n v="1"/>
    <n v="9"/>
  </r>
  <r>
    <x v="14"/>
    <x v="1"/>
    <n v="16759"/>
    <x v="0"/>
    <x v="0"/>
    <s v="ATORVASTATIN CALCIUM"/>
    <m/>
    <m/>
    <m/>
    <m/>
    <m/>
    <m/>
    <m/>
    <m/>
    <m/>
    <n v="1"/>
    <m/>
    <m/>
    <m/>
    <m/>
    <m/>
    <m/>
    <n v="1"/>
    <m/>
    <m/>
    <m/>
    <m/>
    <n v="1"/>
    <m/>
    <m/>
    <m/>
    <m/>
    <n v="1"/>
    <m/>
    <m/>
    <m/>
    <n v="1"/>
    <m/>
    <m/>
    <m/>
    <m/>
    <m/>
    <n v="1"/>
    <m/>
    <m/>
    <m/>
    <m/>
    <n v="1"/>
    <m/>
    <m/>
    <m/>
    <m/>
    <n v="7"/>
  </r>
  <r>
    <x v="14"/>
    <x v="1"/>
    <n v="16827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682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4"/>
    <x v="1"/>
    <n v="1692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4"/>
    <x v="1"/>
    <n v="1733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869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4"/>
    <x v="1"/>
    <n v="20038"/>
    <x v="0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20038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4"/>
    <x v="1"/>
    <n v="20038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4"/>
    <x v="1"/>
    <n v="20038"/>
    <x v="0"/>
    <x v="3"/>
    <s v="RABEPRAZOLE SODIUM"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5"/>
  </r>
  <r>
    <x v="14"/>
    <x v="1"/>
    <n v="22088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9152"/>
    <x v="0"/>
    <x v="8"/>
    <s v="FENOFIBRA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4"/>
    <x v="1"/>
    <n v="29152"/>
    <x v="0"/>
    <x v="1"/>
    <s v="RANITIDINE HCL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2915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4"/>
    <x v="1"/>
    <n v="2915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4"/>
    <x v="1"/>
    <n v="29746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3"/>
  </r>
  <r>
    <x v="14"/>
    <x v="1"/>
    <n v="263"/>
    <x v="1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3"/>
  </r>
  <r>
    <x v="14"/>
    <x v="1"/>
    <n v="1022"/>
    <x v="1"/>
    <x v="1"/>
    <s v="RANITIDINE HCL"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n v="3"/>
  </r>
  <r>
    <x v="14"/>
    <x v="1"/>
    <n v="1924"/>
    <x v="1"/>
    <x v="1"/>
    <s v="RANITIDINE HCL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924"/>
    <x v="1"/>
    <x v="3"/>
    <s v="PANTOPRAZOLE SODIUM"/>
    <m/>
    <m/>
    <m/>
    <m/>
    <m/>
    <m/>
    <m/>
    <m/>
    <m/>
    <m/>
    <m/>
    <m/>
    <m/>
    <m/>
    <m/>
    <m/>
    <m/>
    <m/>
    <m/>
    <m/>
    <m/>
    <m/>
    <n v="2"/>
    <m/>
    <n v="1"/>
    <m/>
    <m/>
    <m/>
    <n v="1"/>
    <m/>
    <m/>
    <n v="1"/>
    <m/>
    <m/>
    <m/>
    <n v="1"/>
    <m/>
    <m/>
    <m/>
    <n v="1"/>
    <m/>
    <m/>
    <m/>
    <m/>
    <m/>
    <m/>
    <n v="7"/>
  </r>
  <r>
    <x v="14"/>
    <x v="1"/>
    <n v="2160"/>
    <x v="1"/>
    <x v="8"/>
    <s v="FENOFIBRATE, MICRONIZED"/>
    <n v="1"/>
    <m/>
    <m/>
    <m/>
    <m/>
    <m/>
    <m/>
    <m/>
    <n v="1"/>
    <m/>
    <m/>
    <m/>
    <m/>
    <m/>
    <m/>
    <n v="1"/>
    <m/>
    <m/>
    <m/>
    <m/>
    <n v="1"/>
    <m/>
    <m/>
    <m/>
    <m/>
    <m/>
    <m/>
    <m/>
    <m/>
    <n v="1"/>
    <m/>
    <m/>
    <m/>
    <m/>
    <m/>
    <m/>
    <m/>
    <m/>
    <m/>
    <m/>
    <m/>
    <m/>
    <m/>
    <n v="1"/>
    <m/>
    <m/>
    <n v="6"/>
  </r>
  <r>
    <x v="14"/>
    <x v="1"/>
    <n v="2989"/>
    <x v="1"/>
    <x v="3"/>
    <s v="RABEPRAZOLE SODIUM"/>
    <m/>
    <m/>
    <m/>
    <m/>
    <m/>
    <m/>
    <m/>
    <m/>
    <m/>
    <m/>
    <n v="2"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4"/>
  </r>
  <r>
    <x v="14"/>
    <x v="1"/>
    <n v="3345"/>
    <x v="1"/>
    <x v="3"/>
    <s v="RABEPRAZOLE SODIUM"/>
    <m/>
    <m/>
    <m/>
    <n v="1"/>
    <m/>
    <m/>
    <m/>
    <m/>
    <n v="1"/>
    <m/>
    <m/>
    <n v="1"/>
    <m/>
    <m/>
    <n v="1"/>
    <m/>
    <m/>
    <m/>
    <n v="1"/>
    <m/>
    <m/>
    <m/>
    <n v="2"/>
    <m/>
    <m/>
    <m/>
    <m/>
    <m/>
    <m/>
    <m/>
    <m/>
    <m/>
    <m/>
    <m/>
    <m/>
    <m/>
    <m/>
    <m/>
    <m/>
    <m/>
    <m/>
    <m/>
    <m/>
    <m/>
    <m/>
    <m/>
    <n v="7"/>
  </r>
  <r>
    <x v="14"/>
    <x v="1"/>
    <n v="3683"/>
    <x v="1"/>
    <x v="0"/>
    <s v="ATORVASTATIN CALCIUM"/>
    <n v="1"/>
    <m/>
    <m/>
    <m/>
    <n v="1"/>
    <m/>
    <m/>
    <m/>
    <m/>
    <m/>
    <m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m/>
    <n v="1"/>
    <m/>
    <n v="10"/>
  </r>
  <r>
    <x v="14"/>
    <x v="1"/>
    <n v="3859"/>
    <x v="1"/>
    <x v="0"/>
    <s v="ROSU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n v="1"/>
    <m/>
    <m/>
    <m/>
    <m/>
    <m/>
    <m/>
    <m/>
    <m/>
    <n v="3"/>
  </r>
  <r>
    <x v="14"/>
    <x v="1"/>
    <n v="3889"/>
    <x v="1"/>
    <x v="0"/>
    <s v="ROSUVASTATIN CALCIUM"/>
    <n v="1"/>
    <m/>
    <m/>
    <m/>
    <n v="1"/>
    <m/>
    <m/>
    <m/>
    <m/>
    <n v="1"/>
    <m/>
    <m/>
    <m/>
    <n v="1"/>
    <m/>
    <m/>
    <n v="1"/>
    <m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m/>
    <n v="11"/>
  </r>
  <r>
    <x v="14"/>
    <x v="1"/>
    <n v="4047"/>
    <x v="1"/>
    <x v="9"/>
    <s v="CHOLESTYRAMINE/ASPARTAME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14"/>
    <x v="1"/>
    <n v="4214"/>
    <x v="1"/>
    <x v="0"/>
    <s v="SIMVASTATIN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14"/>
    <x v="1"/>
    <n v="4584"/>
    <x v="1"/>
    <x v="0"/>
    <s v="ATORVASTATIN CALCIUM"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14"/>
    <x v="1"/>
    <n v="476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4765"/>
    <x v="1"/>
    <x v="3"/>
    <s v="RABEPRAZOLE SODIUM"/>
    <m/>
    <m/>
    <m/>
    <m/>
    <n v="1"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4"/>
  </r>
  <r>
    <x v="14"/>
    <x v="1"/>
    <n v="5083"/>
    <x v="1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n v="1"/>
    <m/>
    <m/>
    <m/>
    <m/>
    <m/>
    <m/>
    <m/>
    <n v="4"/>
  </r>
  <r>
    <x v="14"/>
    <x v="1"/>
    <n v="5307"/>
    <x v="1"/>
    <x v="3"/>
    <s v="OMEPRAZOLE"/>
    <m/>
    <m/>
    <m/>
    <m/>
    <m/>
    <n v="1"/>
    <m/>
    <m/>
    <m/>
    <m/>
    <m/>
    <m/>
    <n v="1"/>
    <m/>
    <m/>
    <m/>
    <m/>
    <m/>
    <m/>
    <m/>
    <m/>
    <m/>
    <n v="1"/>
    <m/>
    <m/>
    <m/>
    <n v="1"/>
    <m/>
    <m/>
    <m/>
    <m/>
    <m/>
    <m/>
    <m/>
    <m/>
    <n v="1"/>
    <m/>
    <m/>
    <m/>
    <m/>
    <m/>
    <m/>
    <m/>
    <n v="1"/>
    <m/>
    <m/>
    <n v="6"/>
  </r>
  <r>
    <x v="14"/>
    <x v="1"/>
    <n v="5376"/>
    <x v="1"/>
    <x v="0"/>
    <s v="ROSUVASTATIN CALCIUM"/>
    <n v="1"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n v="5"/>
  </r>
  <r>
    <x v="14"/>
    <x v="1"/>
    <n v="5454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6041"/>
    <x v="1"/>
    <x v="3"/>
    <s v="RABEPRAZOLE SODIUM"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n v="1"/>
    <m/>
    <m/>
    <m/>
    <m/>
    <m/>
    <n v="1"/>
    <m/>
    <m/>
    <m/>
    <n v="1"/>
    <m/>
    <m/>
    <n v="1"/>
    <m/>
    <m/>
    <m/>
    <n v="11"/>
  </r>
  <r>
    <x v="14"/>
    <x v="1"/>
    <n v="6313"/>
    <x v="1"/>
    <x v="0"/>
    <s v="PRAVASTATIN SODIUM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14"/>
    <x v="1"/>
    <n v="6850"/>
    <x v="1"/>
    <x v="0"/>
    <s v="SIMVASTATIN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1"/>
    <n v="3"/>
  </r>
  <r>
    <x v="14"/>
    <x v="1"/>
    <n v="7463"/>
    <x v="1"/>
    <x v="0"/>
    <s v="ATORVASTATIN CALCIUM"/>
    <m/>
    <m/>
    <m/>
    <m/>
    <m/>
    <m/>
    <m/>
    <m/>
    <m/>
    <m/>
    <m/>
    <m/>
    <n v="1"/>
    <m/>
    <m/>
    <m/>
    <n v="1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4"/>
  </r>
  <r>
    <x v="14"/>
    <x v="1"/>
    <n v="7723"/>
    <x v="1"/>
    <x v="0"/>
    <s v="ROSUVASTATIN CALCIUM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2"/>
    <m/>
    <m/>
    <m/>
    <m/>
    <m/>
    <m/>
    <m/>
    <m/>
    <m/>
    <m/>
    <n v="4"/>
  </r>
  <r>
    <x v="14"/>
    <x v="1"/>
    <n v="7723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4"/>
    <x v="1"/>
    <n v="7815"/>
    <x v="1"/>
    <x v="3"/>
    <s v="ESOMEPRAZOLE MAGNES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805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n v="1"/>
    <m/>
    <m/>
    <n v="2"/>
    <n v="5"/>
  </r>
  <r>
    <x v="14"/>
    <x v="1"/>
    <n v="8184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8536"/>
    <x v="1"/>
    <x v="0"/>
    <s v="SIMVASTATIN"/>
    <m/>
    <m/>
    <n v="1"/>
    <m/>
    <m/>
    <m/>
    <m/>
    <m/>
    <m/>
    <m/>
    <m/>
    <m/>
    <m/>
    <m/>
    <m/>
    <m/>
    <m/>
    <n v="1"/>
    <m/>
    <m/>
    <m/>
    <m/>
    <n v="1"/>
    <m/>
    <m/>
    <m/>
    <m/>
    <n v="2"/>
    <m/>
    <m/>
    <m/>
    <n v="1"/>
    <m/>
    <m/>
    <m/>
    <m/>
    <n v="1"/>
    <m/>
    <m/>
    <m/>
    <n v="1"/>
    <m/>
    <m/>
    <m/>
    <m/>
    <m/>
    <n v="8"/>
  </r>
  <r>
    <x v="14"/>
    <x v="1"/>
    <n v="10208"/>
    <x v="1"/>
    <x v="3"/>
    <s v="ESOMEPRAZOLE MAGNESIUM"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4"/>
    <x v="1"/>
    <n v="1020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1279"/>
    <x v="1"/>
    <x v="0"/>
    <s v="ATORVASTATIN CALCIUM"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1"/>
    <n v="11"/>
  </r>
  <r>
    <x v="14"/>
    <x v="1"/>
    <n v="12061"/>
    <x v="1"/>
    <x v="0"/>
    <s v="ATORVASTATIN CALCIUM"/>
    <m/>
    <m/>
    <n v="1"/>
    <m/>
    <m/>
    <m/>
    <m/>
    <m/>
    <m/>
    <m/>
    <m/>
    <m/>
    <n v="1"/>
    <m/>
    <m/>
    <m/>
    <m/>
    <m/>
    <m/>
    <n v="1"/>
    <m/>
    <m/>
    <m/>
    <m/>
    <m/>
    <n v="1"/>
    <m/>
    <m/>
    <m/>
    <m/>
    <m/>
    <m/>
    <m/>
    <n v="1"/>
    <m/>
    <m/>
    <m/>
    <m/>
    <m/>
    <m/>
    <n v="1"/>
    <m/>
    <m/>
    <m/>
    <m/>
    <n v="1"/>
    <n v="7"/>
  </r>
  <r>
    <x v="14"/>
    <x v="1"/>
    <n v="12720"/>
    <x v="1"/>
    <x v="3"/>
    <s v="ESOMEPRAZOLE MAGNESIUM"/>
    <m/>
    <m/>
    <m/>
    <m/>
    <m/>
    <m/>
    <m/>
    <m/>
    <m/>
    <m/>
    <m/>
    <m/>
    <m/>
    <m/>
    <m/>
    <m/>
    <n v="1"/>
    <n v="1"/>
    <n v="1"/>
    <n v="1"/>
    <m/>
    <n v="1"/>
    <m/>
    <m/>
    <m/>
    <m/>
    <n v="1"/>
    <m/>
    <m/>
    <m/>
    <m/>
    <n v="1"/>
    <m/>
    <m/>
    <m/>
    <m/>
    <m/>
    <m/>
    <m/>
    <m/>
    <m/>
    <m/>
    <m/>
    <n v="1"/>
    <m/>
    <m/>
    <n v="8"/>
  </r>
  <r>
    <x v="14"/>
    <x v="1"/>
    <n v="12796"/>
    <x v="1"/>
    <x v="0"/>
    <s v="ATORVASTATIN CALCIUM"/>
    <m/>
    <m/>
    <m/>
    <n v="1"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5"/>
  </r>
  <r>
    <x v="14"/>
    <x v="1"/>
    <n v="13117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3619"/>
    <x v="1"/>
    <x v="3"/>
    <s v="RABEPRAZOLE SOD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4"/>
    <x v="1"/>
    <n v="13622"/>
    <x v="1"/>
    <x v="0"/>
    <s v="ATORVASTATIN CALC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14"/>
    <x v="1"/>
    <n v="13622"/>
    <x v="1"/>
    <x v="3"/>
    <s v="ESOMEPRAZOLE MAGNES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3979"/>
    <x v="1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n v="1"/>
    <m/>
    <m/>
    <m/>
    <m/>
    <m/>
    <m/>
    <n v="1"/>
    <m/>
    <m/>
    <m/>
    <m/>
    <m/>
    <m/>
    <m/>
    <n v="4"/>
  </r>
  <r>
    <x v="14"/>
    <x v="1"/>
    <n v="13979"/>
    <x v="1"/>
    <x v="3"/>
    <s v="RABEPRAZOLE SODIUM"/>
    <m/>
    <m/>
    <m/>
    <m/>
    <m/>
    <m/>
    <m/>
    <m/>
    <m/>
    <m/>
    <m/>
    <m/>
    <m/>
    <n v="1"/>
    <m/>
    <n v="1"/>
    <m/>
    <m/>
    <m/>
    <m/>
    <m/>
    <m/>
    <m/>
    <m/>
    <m/>
    <m/>
    <n v="1"/>
    <m/>
    <m/>
    <m/>
    <m/>
    <n v="2"/>
    <m/>
    <m/>
    <m/>
    <m/>
    <m/>
    <m/>
    <n v="1"/>
    <m/>
    <m/>
    <m/>
    <m/>
    <m/>
    <m/>
    <m/>
    <n v="6"/>
  </r>
  <r>
    <x v="14"/>
    <x v="1"/>
    <n v="14172"/>
    <x v="1"/>
    <x v="1"/>
    <s v="RANITIDINE HCL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n v="4"/>
  </r>
  <r>
    <x v="14"/>
    <x v="1"/>
    <n v="14256"/>
    <x v="1"/>
    <x v="3"/>
    <s v="PANTO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</r>
  <r>
    <x v="14"/>
    <x v="1"/>
    <n v="1433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4344"/>
    <x v="1"/>
    <x v="3"/>
    <s v="ESOMEPRAZOLE MAGNESIUM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14"/>
    <x v="1"/>
    <n v="15013"/>
    <x v="1"/>
    <x v="0"/>
    <s v="ATORVASTATIN CALCIUM"/>
    <m/>
    <m/>
    <m/>
    <m/>
    <m/>
    <m/>
    <m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1"/>
    <m/>
    <n v="9"/>
  </r>
  <r>
    <x v="14"/>
    <x v="1"/>
    <n v="15617"/>
    <x v="1"/>
    <x v="3"/>
    <s v="PANTO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4"/>
    <x v="1"/>
    <n v="15619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n v="1"/>
    <m/>
    <n v="5"/>
  </r>
  <r>
    <x v="14"/>
    <x v="1"/>
    <n v="17006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m/>
    <m/>
    <m/>
    <m/>
    <m/>
    <m/>
    <m/>
    <m/>
    <m/>
    <m/>
    <n v="3"/>
  </r>
  <r>
    <x v="14"/>
    <x v="1"/>
    <n v="17454"/>
    <x v="1"/>
    <x v="0"/>
    <s v="ATORVASTATIN CALCIUM"/>
    <m/>
    <m/>
    <m/>
    <m/>
    <n v="1"/>
    <m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m/>
    <m/>
    <m/>
    <m/>
    <m/>
    <n v="1"/>
    <m/>
    <m/>
    <m/>
    <m/>
    <m/>
    <n v="7"/>
  </r>
  <r>
    <x v="14"/>
    <x v="1"/>
    <n v="20538"/>
    <x v="1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2649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281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n v="1"/>
    <m/>
    <m/>
    <m/>
    <m/>
    <m/>
    <m/>
    <m/>
    <m/>
    <m/>
    <n v="3"/>
  </r>
  <r>
    <x v="14"/>
    <x v="1"/>
    <n v="23548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3548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5801"/>
    <x v="1"/>
    <x v="1"/>
    <s v="RANITIDINE HCL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4"/>
    <x v="1"/>
    <n v="25801"/>
    <x v="1"/>
    <x v="3"/>
    <s v="RABEPRAZOLE SODIUM"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4"/>
  </r>
  <r>
    <x v="14"/>
    <x v="1"/>
    <n v="26555"/>
    <x v="1"/>
    <x v="1"/>
    <s v="RANITIDINE HCL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4"/>
    <x v="1"/>
    <n v="27544"/>
    <x v="1"/>
    <x v="1"/>
    <s v="RANITIDINE HCL"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4"/>
    <x v="1"/>
    <n v="27684"/>
    <x v="1"/>
    <x v="3"/>
    <s v="ESOMEPRAZOLE MAGNESIUM"/>
    <n v="3"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6"/>
  </r>
  <r>
    <x v="14"/>
    <x v="1"/>
    <n v="31644"/>
    <x v="1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31797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1797"/>
    <x v="1"/>
    <x v="3"/>
    <s v="RABEPRAZOLE SODIUM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3"/>
  </r>
  <r>
    <x v="14"/>
    <x v="1"/>
    <n v="33475"/>
    <x v="1"/>
    <x v="3"/>
    <s v="ESOMEPRAZOLE MAGNESIUM"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14"/>
    <x v="1"/>
    <n v="3388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4"/>
    <x v="1"/>
    <n v="277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776"/>
    <x v="0"/>
    <x v="3"/>
    <s v="RABEPRAZOLE SODIUM"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14"/>
    <x v="1"/>
    <n v="5453"/>
    <x v="0"/>
    <x v="3"/>
    <s v="ESOMEPRAZOLE MAGNES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4"/>
    <x v="1"/>
    <n v="936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n v="1"/>
    <m/>
    <m/>
    <m/>
    <m/>
    <m/>
    <n v="3"/>
  </r>
  <r>
    <x v="14"/>
    <x v="1"/>
    <n v="9726"/>
    <x v="0"/>
    <x v="3"/>
    <s v="ESOMEPRAZOLE MAGNESIUM"/>
    <m/>
    <m/>
    <n v="1"/>
    <m/>
    <m/>
    <m/>
    <m/>
    <n v="1"/>
    <m/>
    <m/>
    <m/>
    <m/>
    <n v="1"/>
    <m/>
    <m/>
    <m/>
    <n v="1"/>
    <m/>
    <m/>
    <m/>
    <m/>
    <m/>
    <m/>
    <n v="1"/>
    <m/>
    <m/>
    <m/>
    <m/>
    <m/>
    <m/>
    <n v="1"/>
    <m/>
    <m/>
    <m/>
    <m/>
    <n v="1"/>
    <m/>
    <m/>
    <m/>
    <m/>
    <m/>
    <n v="1"/>
    <n v="1"/>
    <m/>
    <m/>
    <m/>
    <n v="9"/>
  </r>
  <r>
    <x v="14"/>
    <x v="1"/>
    <n v="1080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4"/>
    <x v="1"/>
    <n v="1675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6759"/>
    <x v="0"/>
    <x v="3"/>
    <s v="RABEPRAZOLE SODIUM"/>
    <m/>
    <m/>
    <m/>
    <m/>
    <m/>
    <m/>
    <m/>
    <m/>
    <m/>
    <n v="1"/>
    <m/>
    <m/>
    <m/>
    <m/>
    <m/>
    <m/>
    <n v="1"/>
    <m/>
    <m/>
    <m/>
    <m/>
    <n v="1"/>
    <m/>
    <m/>
    <m/>
    <m/>
    <n v="1"/>
    <m/>
    <m/>
    <m/>
    <n v="1"/>
    <m/>
    <m/>
    <m/>
    <m/>
    <m/>
    <n v="1"/>
    <m/>
    <m/>
    <m/>
    <m/>
    <n v="1"/>
    <m/>
    <m/>
    <m/>
    <m/>
    <n v="7"/>
  </r>
  <r>
    <x v="14"/>
    <x v="1"/>
    <n v="21131"/>
    <x v="0"/>
    <x v="1"/>
    <s v="RANITIDINE HCL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14"/>
    <x v="1"/>
    <n v="4184"/>
    <x v="1"/>
    <x v="3"/>
    <s v="ESOMEPRAZOLE MAGNESIUM"/>
    <n v="1"/>
    <m/>
    <m/>
    <m/>
    <m/>
    <n v="1"/>
    <m/>
    <m/>
    <m/>
    <m/>
    <m/>
    <m/>
    <m/>
    <m/>
    <n v="1"/>
    <m/>
    <m/>
    <m/>
    <m/>
    <n v="1"/>
    <m/>
    <m/>
    <m/>
    <m/>
    <n v="1"/>
    <m/>
    <m/>
    <n v="1"/>
    <m/>
    <m/>
    <m/>
    <m/>
    <m/>
    <n v="1"/>
    <m/>
    <n v="1"/>
    <m/>
    <m/>
    <m/>
    <m/>
    <m/>
    <n v="1"/>
    <m/>
    <m/>
    <m/>
    <m/>
    <n v="9"/>
  </r>
  <r>
    <x v="14"/>
    <x v="1"/>
    <n v="5102"/>
    <x v="1"/>
    <x v="3"/>
    <s v="RABEPRAZOLE SODIUM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4"/>
  </r>
  <r>
    <x v="14"/>
    <x v="1"/>
    <n v="6850"/>
    <x v="1"/>
    <x v="3"/>
    <s v="RABEPRAZOLE SODIUM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1"/>
    <n v="3"/>
  </r>
  <r>
    <x v="14"/>
    <x v="1"/>
    <n v="11021"/>
    <x v="1"/>
    <x v="3"/>
    <s v="RABEPRAZOLE SODIUM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29618"/>
    <x v="1"/>
    <x v="3"/>
    <s v="RABEPRAZOLE SODIUM"/>
    <m/>
    <m/>
    <n v="1"/>
    <m/>
    <m/>
    <m/>
    <n v="1"/>
    <n v="1"/>
    <m/>
    <m/>
    <m/>
    <m/>
    <n v="1"/>
    <m/>
    <m/>
    <m/>
    <n v="1"/>
    <m/>
    <m/>
    <m/>
    <m/>
    <n v="1"/>
    <m/>
    <m/>
    <m/>
    <n v="1"/>
    <m/>
    <m/>
    <m/>
    <n v="1"/>
    <m/>
    <m/>
    <n v="1"/>
    <m/>
    <m/>
    <m/>
    <n v="1"/>
    <m/>
    <m/>
    <m/>
    <n v="1"/>
    <m/>
    <n v="1"/>
    <m/>
    <n v="1"/>
    <m/>
    <n v="13"/>
  </r>
  <r>
    <x v="14"/>
    <x v="1"/>
    <n v="9357"/>
    <x v="1"/>
    <x v="3"/>
    <s v="RABEPRAZOLE SODIUM"/>
    <m/>
    <n v="1"/>
    <m/>
    <m/>
    <m/>
    <m/>
    <n v="1"/>
    <m/>
    <m/>
    <m/>
    <n v="1"/>
    <n v="1"/>
    <m/>
    <m/>
    <m/>
    <m/>
    <n v="1"/>
    <m/>
    <m/>
    <m/>
    <m/>
    <n v="1"/>
    <m/>
    <m/>
    <m/>
    <n v="1"/>
    <m/>
    <m/>
    <m/>
    <m/>
    <m/>
    <m/>
    <m/>
    <m/>
    <m/>
    <m/>
    <m/>
    <m/>
    <m/>
    <m/>
    <n v="1"/>
    <m/>
    <m/>
    <m/>
    <n v="1"/>
    <m/>
    <n v="9"/>
  </r>
  <r>
    <x v="14"/>
    <x v="1"/>
    <n v="1382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"/>
  </r>
  <r>
    <x v="14"/>
    <x v="1"/>
    <n v="2566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278"/>
    <x v="0"/>
    <x v="3"/>
    <s v="ESOMEPRAZOLE MAGNESIUM"/>
    <m/>
    <m/>
    <n v="1"/>
    <m/>
    <m/>
    <m/>
    <m/>
    <m/>
    <m/>
    <n v="1"/>
    <m/>
    <m/>
    <m/>
    <m/>
    <n v="1"/>
    <m/>
    <m/>
    <m/>
    <n v="1"/>
    <m/>
    <m/>
    <m/>
    <n v="1"/>
    <m/>
    <m/>
    <m/>
    <m/>
    <n v="1"/>
    <m/>
    <m/>
    <m/>
    <m/>
    <m/>
    <n v="1"/>
    <m/>
    <m/>
    <m/>
    <n v="1"/>
    <m/>
    <m/>
    <m/>
    <m/>
    <n v="1"/>
    <m/>
    <m/>
    <m/>
    <n v="9"/>
  </r>
  <r>
    <x v="14"/>
    <x v="1"/>
    <n v="6164"/>
    <x v="0"/>
    <x v="3"/>
    <s v="RABEPRAZOLE SOD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4"/>
    <x v="1"/>
    <n v="13030"/>
    <x v="0"/>
    <x v="3"/>
    <s v="ESOMEPRAZOLE MAGNES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14"/>
    <x v="1"/>
    <n v="1631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4"/>
    <x v="1"/>
    <n v="16442"/>
    <x v="0"/>
    <x v="3"/>
    <s v="RABEPRAZOLE SODIUM"/>
    <m/>
    <m/>
    <n v="1"/>
    <n v="1"/>
    <m/>
    <m/>
    <m/>
    <m/>
    <m/>
    <m/>
    <n v="1"/>
    <n v="1"/>
    <m/>
    <m/>
    <m/>
    <m/>
    <m/>
    <m/>
    <m/>
    <m/>
    <n v="2"/>
    <m/>
    <m/>
    <n v="1"/>
    <m/>
    <m/>
    <m/>
    <m/>
    <n v="1"/>
    <m/>
    <m/>
    <m/>
    <m/>
    <m/>
    <m/>
    <m/>
    <m/>
    <m/>
    <m/>
    <n v="1"/>
    <m/>
    <m/>
    <m/>
    <m/>
    <m/>
    <m/>
    <n v="9"/>
  </r>
  <r>
    <x v="14"/>
    <x v="1"/>
    <n v="1171"/>
    <x v="1"/>
    <x v="3"/>
    <s v="ESOMEPRAZOLE MAGNES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3"/>
  </r>
  <r>
    <x v="14"/>
    <x v="1"/>
    <n v="3683"/>
    <x v="1"/>
    <x v="3"/>
    <s v="ESOMEPRAZOLE MAGNESIUM"/>
    <n v="1"/>
    <m/>
    <m/>
    <n v="1"/>
    <m/>
    <m/>
    <m/>
    <m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1"/>
    <n v="11"/>
  </r>
  <r>
    <x v="14"/>
    <x v="1"/>
    <n v="3889"/>
    <x v="1"/>
    <x v="3"/>
    <s v="PANTOPRAZOLE SODIUM"/>
    <n v="1"/>
    <m/>
    <m/>
    <m/>
    <n v="1"/>
    <m/>
    <m/>
    <m/>
    <m/>
    <n v="1"/>
    <m/>
    <m/>
    <m/>
    <n v="1"/>
    <m/>
    <m/>
    <n v="1"/>
    <m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m/>
    <n v="11"/>
  </r>
  <r>
    <x v="14"/>
    <x v="1"/>
    <n v="4214"/>
    <x v="1"/>
    <x v="3"/>
    <s v="PANTO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n v="3"/>
  </r>
  <r>
    <x v="14"/>
    <x v="1"/>
    <n v="8053"/>
    <x v="1"/>
    <x v="3"/>
    <s v="RABEPRAZOLE SODIUM"/>
    <m/>
    <m/>
    <m/>
    <m/>
    <m/>
    <n v="1"/>
    <m/>
    <m/>
    <n v="1"/>
    <m/>
    <m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m/>
    <n v="1"/>
    <m/>
    <m/>
    <m/>
    <n v="2"/>
    <n v="11"/>
  </r>
  <r>
    <x v="14"/>
    <x v="1"/>
    <n v="1501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4584"/>
    <x v="1"/>
    <x v="3"/>
    <s v="ESOMEPRAZOLE MAGNESIUM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3"/>
  </r>
  <r>
    <x v="14"/>
    <x v="1"/>
    <n v="5376"/>
    <x v="1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450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4"/>
    <x v="1"/>
    <n v="6963"/>
    <x v="0"/>
    <x v="0"/>
    <s v="ROSUVASTATIN CALCIUM"/>
    <m/>
    <m/>
    <m/>
    <m/>
    <n v="1"/>
    <m/>
    <m/>
    <m/>
    <n v="1"/>
    <m/>
    <m/>
    <m/>
    <m/>
    <m/>
    <m/>
    <m/>
    <m/>
    <m/>
    <m/>
    <n v="1"/>
    <m/>
    <m/>
    <m/>
    <m/>
    <m/>
    <m/>
    <m/>
    <m/>
    <m/>
    <m/>
    <n v="1"/>
    <n v="1"/>
    <m/>
    <m/>
    <m/>
    <m/>
    <m/>
    <m/>
    <m/>
    <m/>
    <m/>
    <m/>
    <m/>
    <m/>
    <m/>
    <m/>
    <n v="5"/>
  </r>
  <r>
    <x v="14"/>
    <x v="1"/>
    <n v="8800"/>
    <x v="0"/>
    <x v="0"/>
    <s v="ATORVASTATIN CALCIUM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8800"/>
    <x v="0"/>
    <x v="0"/>
    <s v="ROSUVASTATIN CALCIUM"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n v="1"/>
    <n v="1"/>
    <m/>
    <m/>
    <m/>
    <m/>
    <m/>
    <m/>
    <m/>
    <m/>
    <m/>
    <m/>
    <n v="5"/>
  </r>
  <r>
    <x v="14"/>
    <x v="1"/>
    <n v="9727"/>
    <x v="0"/>
    <x v="0"/>
    <s v="ATORVASTATIN CALCIUM"/>
    <m/>
    <m/>
    <m/>
    <m/>
    <m/>
    <m/>
    <m/>
    <m/>
    <m/>
    <m/>
    <n v="2"/>
    <m/>
    <m/>
    <m/>
    <n v="1"/>
    <m/>
    <m/>
    <m/>
    <m/>
    <m/>
    <n v="1"/>
    <n v="1"/>
    <m/>
    <m/>
    <m/>
    <m/>
    <n v="1"/>
    <m/>
    <m/>
    <m/>
    <m/>
    <m/>
    <m/>
    <m/>
    <m/>
    <n v="1"/>
    <n v="1"/>
    <m/>
    <m/>
    <m/>
    <m/>
    <m/>
    <n v="1"/>
    <m/>
    <m/>
    <m/>
    <n v="9"/>
  </r>
  <r>
    <x v="14"/>
    <x v="1"/>
    <n v="16923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3"/>
  </r>
  <r>
    <x v="14"/>
    <x v="1"/>
    <n v="29048"/>
    <x v="0"/>
    <x v="0"/>
    <s v="ROSUVASTATIN CALCIUM"/>
    <m/>
    <m/>
    <n v="1"/>
    <m/>
    <m/>
    <m/>
    <n v="1"/>
    <m/>
    <m/>
    <m/>
    <n v="1"/>
    <m/>
    <n v="1"/>
    <m/>
    <m/>
    <m/>
    <m/>
    <n v="1"/>
    <m/>
    <m/>
    <n v="1"/>
    <m/>
    <m/>
    <m/>
    <n v="1"/>
    <m/>
    <n v="1"/>
    <n v="1"/>
    <m/>
    <m/>
    <n v="1"/>
    <m/>
    <n v="1"/>
    <m/>
    <n v="1"/>
    <m/>
    <m/>
    <n v="1"/>
    <m/>
    <n v="1"/>
    <m/>
    <m/>
    <n v="1"/>
    <m/>
    <m/>
    <m/>
    <n v="15"/>
  </r>
  <r>
    <x v="14"/>
    <x v="1"/>
    <n v="3033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3420"/>
    <x v="0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n v="1"/>
    <m/>
    <m/>
    <m/>
    <m/>
    <n v="4"/>
  </r>
  <r>
    <x v="14"/>
    <x v="1"/>
    <n v="506"/>
    <x v="1"/>
    <x v="0"/>
    <s v="ROSUVASTATIN CALCIUM"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4"/>
    <x v="1"/>
    <n v="3627"/>
    <x v="1"/>
    <x v="0"/>
    <s v="ATOR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n v="4"/>
  </r>
  <r>
    <x v="14"/>
    <x v="1"/>
    <n v="5362"/>
    <x v="1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14"/>
    <x v="1"/>
    <n v="5736"/>
    <x v="1"/>
    <x v="0"/>
    <s v="ROSUVASTATIN CALCIUM"/>
    <m/>
    <m/>
    <m/>
    <m/>
    <m/>
    <m/>
    <n v="1"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n v="10"/>
  </r>
  <r>
    <x v="14"/>
    <x v="1"/>
    <n v="10830"/>
    <x v="1"/>
    <x v="0"/>
    <s v="ATORVASTATIN CALCIUM"/>
    <n v="1"/>
    <m/>
    <m/>
    <m/>
    <m/>
    <n v="1"/>
    <m/>
    <m/>
    <m/>
    <m/>
    <m/>
    <n v="1"/>
    <m/>
    <m/>
    <m/>
    <n v="1"/>
    <m/>
    <m/>
    <m/>
    <m/>
    <n v="1"/>
    <m/>
    <m/>
    <m/>
    <n v="1"/>
    <m/>
    <m/>
    <m/>
    <m/>
    <n v="1"/>
    <m/>
    <m/>
    <m/>
    <m/>
    <n v="1"/>
    <m/>
    <m/>
    <m/>
    <n v="1"/>
    <m/>
    <m/>
    <m/>
    <m/>
    <n v="1"/>
    <m/>
    <m/>
    <n v="10"/>
  </r>
  <r>
    <x v="14"/>
    <x v="1"/>
    <n v="14654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5115"/>
    <x v="1"/>
    <x v="0"/>
    <s v="ATORVASTATIN CALC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14"/>
    <x v="1"/>
    <n v="17082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</r>
  <r>
    <x v="14"/>
    <x v="1"/>
    <n v="29026"/>
    <x v="1"/>
    <x v="0"/>
    <s v="ROSUVASTATIN CALCIUM"/>
    <m/>
    <m/>
    <m/>
    <m/>
    <m/>
    <m/>
    <m/>
    <m/>
    <n v="1"/>
    <n v="1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4"/>
  </r>
  <r>
    <x v="14"/>
    <x v="1"/>
    <n v="32005"/>
    <x v="1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2399"/>
    <x v="0"/>
    <x v="0"/>
    <s v="ROSU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4"/>
    <x v="1"/>
    <n v="3149"/>
    <x v="0"/>
    <x v="0"/>
    <s v="ROSUVASTATIN CALCIUM"/>
    <m/>
    <m/>
    <n v="1"/>
    <m/>
    <m/>
    <m/>
    <m/>
    <m/>
    <m/>
    <n v="1"/>
    <m/>
    <m/>
    <n v="2"/>
    <m/>
    <m/>
    <m/>
    <m/>
    <m/>
    <m/>
    <m/>
    <m/>
    <m/>
    <m/>
    <n v="1"/>
    <m/>
    <m/>
    <m/>
    <m/>
    <m/>
    <m/>
    <n v="2"/>
    <m/>
    <m/>
    <m/>
    <n v="1"/>
    <m/>
    <m/>
    <m/>
    <m/>
    <m/>
    <m/>
    <m/>
    <m/>
    <m/>
    <m/>
    <m/>
    <n v="8"/>
  </r>
  <r>
    <x v="14"/>
    <x v="1"/>
    <n v="4124"/>
    <x v="0"/>
    <x v="0"/>
    <s v="ROSUVASTATIN CALCIUM"/>
    <m/>
    <m/>
    <m/>
    <m/>
    <m/>
    <n v="2"/>
    <m/>
    <m/>
    <m/>
    <m/>
    <m/>
    <m/>
    <n v="1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5"/>
  </r>
  <r>
    <x v="14"/>
    <x v="1"/>
    <n v="6353"/>
    <x v="0"/>
    <x v="0"/>
    <s v="ATOR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3"/>
  </r>
  <r>
    <x v="14"/>
    <x v="1"/>
    <n v="8431"/>
    <x v="0"/>
    <x v="0"/>
    <s v="ATORVASTATIN CALCIUM"/>
    <m/>
    <m/>
    <m/>
    <m/>
    <m/>
    <m/>
    <m/>
    <m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m/>
    <n v="1"/>
    <m/>
    <m/>
    <m/>
    <n v="1"/>
    <m/>
    <m/>
    <n v="8"/>
  </r>
  <r>
    <x v="14"/>
    <x v="1"/>
    <n v="13280"/>
    <x v="0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4"/>
  </r>
  <r>
    <x v="14"/>
    <x v="1"/>
    <n v="25918"/>
    <x v="0"/>
    <x v="0"/>
    <s v="ATOR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  <m/>
    <m/>
    <m/>
    <m/>
    <m/>
    <m/>
    <m/>
    <m/>
    <m/>
    <m/>
    <m/>
    <m/>
    <n v="1"/>
    <m/>
    <m/>
    <m/>
    <n v="5"/>
  </r>
  <r>
    <x v="14"/>
    <x v="1"/>
    <n v="263"/>
    <x v="1"/>
    <x v="0"/>
    <s v="SIMVASTATIN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</r>
  <r>
    <x v="14"/>
    <x v="1"/>
    <n v="3480"/>
    <x v="1"/>
    <x v="0"/>
    <s v="ROSUVASTATIN CALCIUM"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4"/>
    <x v="1"/>
    <n v="5307"/>
    <x v="1"/>
    <x v="0"/>
    <s v="ROSUVASTATIN CALCIUM"/>
    <m/>
    <m/>
    <m/>
    <m/>
    <m/>
    <m/>
    <m/>
    <n v="1"/>
    <m/>
    <m/>
    <m/>
    <m/>
    <m/>
    <m/>
    <m/>
    <n v="1"/>
    <m/>
    <m/>
    <m/>
    <m/>
    <m/>
    <m/>
    <m/>
    <m/>
    <m/>
    <n v="1"/>
    <m/>
    <m/>
    <m/>
    <m/>
    <m/>
    <m/>
    <m/>
    <m/>
    <m/>
    <n v="1"/>
    <m/>
    <m/>
    <m/>
    <m/>
    <m/>
    <m/>
    <m/>
    <n v="1"/>
    <m/>
    <m/>
    <n v="5"/>
  </r>
  <r>
    <x v="14"/>
    <x v="1"/>
    <n v="6041"/>
    <x v="1"/>
    <x v="0"/>
    <s v="ROSUVASTATIN CALCIUM"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n v="1"/>
    <m/>
    <m/>
    <m/>
    <m/>
    <m/>
    <n v="1"/>
    <m/>
    <m/>
    <m/>
    <n v="1"/>
    <m/>
    <m/>
    <n v="1"/>
    <m/>
    <m/>
    <m/>
    <n v="11"/>
  </r>
  <r>
    <x v="14"/>
    <x v="1"/>
    <n v="6354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6429"/>
    <x v="1"/>
    <x v="0"/>
    <s v="ATORVASTATIN CALCIUM"/>
    <m/>
    <n v="3"/>
    <m/>
    <m/>
    <m/>
    <m/>
    <m/>
    <m/>
    <m/>
    <m/>
    <m/>
    <m/>
    <n v="1"/>
    <m/>
    <m/>
    <m/>
    <m/>
    <m/>
    <m/>
    <m/>
    <m/>
    <m/>
    <m/>
    <m/>
    <n v="1"/>
    <n v="1"/>
    <n v="1"/>
    <m/>
    <m/>
    <m/>
    <m/>
    <m/>
    <m/>
    <m/>
    <m/>
    <m/>
    <m/>
    <n v="1"/>
    <m/>
    <m/>
    <m/>
    <m/>
    <m/>
    <m/>
    <m/>
    <m/>
    <n v="8"/>
  </r>
  <r>
    <x v="14"/>
    <x v="1"/>
    <n v="6759"/>
    <x v="1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1"/>
    <n v="4"/>
  </r>
  <r>
    <x v="14"/>
    <x v="1"/>
    <n v="7616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n v="3"/>
  </r>
  <r>
    <x v="14"/>
    <x v="1"/>
    <n v="8650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n v="3"/>
  </r>
  <r>
    <x v="14"/>
    <x v="1"/>
    <n v="12111"/>
    <x v="1"/>
    <x v="0"/>
    <s v="ROSUVASTATIN CALCIUM"/>
    <n v="1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3"/>
  </r>
  <r>
    <x v="14"/>
    <x v="1"/>
    <n v="1231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3619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4"/>
    <x v="1"/>
    <n v="14172"/>
    <x v="1"/>
    <x v="0"/>
    <s v="ATORVASTATIN CALCIUM"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5"/>
  </r>
  <r>
    <x v="14"/>
    <x v="1"/>
    <n v="14330"/>
    <x v="1"/>
    <x v="0"/>
    <s v="ATORVASTATIN CALCIUM"/>
    <m/>
    <m/>
    <m/>
    <n v="1"/>
    <m/>
    <n v="1"/>
    <m/>
    <m/>
    <m/>
    <n v="1"/>
    <m/>
    <n v="1"/>
    <m/>
    <m/>
    <m/>
    <m/>
    <m/>
    <n v="1"/>
    <m/>
    <m/>
    <n v="1"/>
    <m/>
    <m/>
    <n v="1"/>
    <m/>
    <m/>
    <m/>
    <m/>
    <m/>
    <m/>
    <n v="1"/>
    <m/>
    <n v="1"/>
    <m/>
    <n v="1"/>
    <m/>
    <n v="1"/>
    <n v="1"/>
    <m/>
    <n v="1"/>
    <m/>
    <m/>
    <m/>
    <n v="1"/>
    <m/>
    <m/>
    <n v="14"/>
  </r>
  <r>
    <x v="14"/>
    <x v="1"/>
    <n v="1459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</r>
  <r>
    <x v="14"/>
    <x v="1"/>
    <n v="21758"/>
    <x v="1"/>
    <x v="0"/>
    <s v="ATORVASTATIN CALCIUM"/>
    <m/>
    <m/>
    <m/>
    <m/>
    <m/>
    <m/>
    <m/>
    <m/>
    <m/>
    <m/>
    <m/>
    <m/>
    <m/>
    <m/>
    <m/>
    <m/>
    <m/>
    <n v="1"/>
    <m/>
    <m/>
    <n v="1"/>
    <m/>
    <m/>
    <m/>
    <n v="2"/>
    <m/>
    <m/>
    <m/>
    <m/>
    <n v="1"/>
    <m/>
    <m/>
    <m/>
    <m/>
    <m/>
    <n v="1"/>
    <m/>
    <m/>
    <n v="1"/>
    <m/>
    <m/>
    <m/>
    <n v="1"/>
    <m/>
    <m/>
    <m/>
    <n v="8"/>
  </r>
  <r>
    <x v="14"/>
    <x v="1"/>
    <n v="23089"/>
    <x v="1"/>
    <x v="0"/>
    <s v="ATORVASTATIN CALCIUM"/>
    <m/>
    <m/>
    <m/>
    <m/>
    <m/>
    <n v="1"/>
    <m/>
    <m/>
    <m/>
    <m/>
    <n v="1"/>
    <m/>
    <m/>
    <m/>
    <m/>
    <n v="1"/>
    <m/>
    <m/>
    <m/>
    <m/>
    <m/>
    <n v="1"/>
    <m/>
    <m/>
    <m/>
    <m/>
    <n v="1"/>
    <m/>
    <m/>
    <m/>
    <m/>
    <m/>
    <n v="1"/>
    <m/>
    <m/>
    <m/>
    <m/>
    <n v="1"/>
    <m/>
    <m/>
    <m/>
    <m/>
    <n v="1"/>
    <m/>
    <m/>
    <m/>
    <n v="8"/>
  </r>
  <r>
    <x v="15"/>
    <x v="1"/>
    <n v="375"/>
    <x v="0"/>
    <x v="0"/>
    <s v="ATORVASTATIN CALCIUM"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n v="12"/>
  </r>
  <r>
    <x v="15"/>
    <x v="1"/>
    <n v="83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5"/>
    <x v="1"/>
    <n v="83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</r>
  <r>
    <x v="15"/>
    <x v="1"/>
    <n v="3573"/>
    <x v="0"/>
    <x v="0"/>
    <s v="SIMVASTATIN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n v="1"/>
    <m/>
    <n v="4"/>
  </r>
  <r>
    <x v="15"/>
    <x v="1"/>
    <n v="4349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4349"/>
    <x v="0"/>
    <x v="3"/>
    <s v="PANTOPRAZOLE MAGNES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5578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763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006"/>
    <x v="0"/>
    <x v="0"/>
    <s v="SIMVASTATIN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8417"/>
    <x v="0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8417"/>
    <x v="0"/>
    <x v="0"/>
    <s v="SIMVASTATIN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3"/>
  </r>
  <r>
    <x v="15"/>
    <x v="1"/>
    <n v="8572"/>
    <x v="0"/>
    <x v="0"/>
    <s v="SIMVASTATIN"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n v="1"/>
    <m/>
    <m/>
    <m/>
    <m/>
    <m/>
    <m/>
    <m/>
    <m/>
    <m/>
    <m/>
    <m/>
    <n v="1"/>
    <m/>
    <m/>
    <m/>
    <m/>
    <n v="4"/>
  </r>
  <r>
    <x v="15"/>
    <x v="1"/>
    <n v="889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9660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3"/>
  </r>
  <r>
    <x v="15"/>
    <x v="1"/>
    <n v="10589"/>
    <x v="0"/>
    <x v="0"/>
    <s v="FLUVASTATIN SOD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5"/>
    <x v="1"/>
    <n v="11623"/>
    <x v="0"/>
    <x v="0"/>
    <s v="ATOR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n v="4"/>
  </r>
  <r>
    <x v="15"/>
    <x v="1"/>
    <n v="13611"/>
    <x v="0"/>
    <x v="3"/>
    <s v="RABEPRAZOLE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16663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5"/>
    <x v="1"/>
    <n v="17188"/>
    <x v="0"/>
    <x v="0"/>
    <s v="ATORVASTATIN CALCIUM"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5"/>
    <x v="1"/>
    <n v="23118"/>
    <x v="0"/>
    <x v="4"/>
    <s v="SUCRALFATE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2510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5"/>
    <x v="1"/>
    <n v="25500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5"/>
    <x v="1"/>
    <n v="18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8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28"/>
    <x v="1"/>
    <x v="0"/>
    <s v="ATORVASTATIN CALCIUM"/>
    <m/>
    <n v="2"/>
    <m/>
    <m/>
    <m/>
    <m/>
    <m/>
    <m/>
    <m/>
    <m/>
    <m/>
    <m/>
    <m/>
    <n v="1"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n v="6"/>
  </r>
  <r>
    <x v="15"/>
    <x v="1"/>
    <n v="80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51"/>
    <x v="1"/>
    <x v="1"/>
    <s v="RANITIDINE HCL"/>
    <m/>
    <m/>
    <m/>
    <m/>
    <n v="2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n v="34"/>
  </r>
  <r>
    <x v="15"/>
    <x v="1"/>
    <n v="85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1"/>
    <n v="1"/>
    <n v="1"/>
    <n v="1"/>
    <n v="1"/>
    <n v="8"/>
  </r>
  <r>
    <x v="15"/>
    <x v="1"/>
    <n v="873"/>
    <x v="1"/>
    <x v="0"/>
    <s v="SIMVASTATIN"/>
    <m/>
    <m/>
    <n v="1"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4"/>
  </r>
  <r>
    <x v="15"/>
    <x v="1"/>
    <n v="1348"/>
    <x v="1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998"/>
    <x v="1"/>
    <x v="0"/>
    <s v="ATOR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3"/>
  </r>
  <r>
    <x v="15"/>
    <x v="1"/>
    <n v="2194"/>
    <x v="1"/>
    <x v="0"/>
    <s v="ATORVASTATIN CALCIUM"/>
    <m/>
    <n v="1"/>
    <m/>
    <m/>
    <m/>
    <n v="1"/>
    <m/>
    <m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n v="12"/>
  </r>
  <r>
    <x v="15"/>
    <x v="1"/>
    <n v="3746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3"/>
  </r>
  <r>
    <x v="15"/>
    <x v="1"/>
    <n v="4414"/>
    <x v="1"/>
    <x v="0"/>
    <s v="SIMVASTATIN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5"/>
    <x v="1"/>
    <n v="4723"/>
    <x v="1"/>
    <x v="0"/>
    <s v="SIMVASTATIN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4813"/>
    <x v="1"/>
    <x v="0"/>
    <s v="ATOR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15"/>
    <x v="1"/>
    <n v="5247"/>
    <x v="1"/>
    <x v="0"/>
    <s v="ATORVASTATIN CALCIUM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5999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3"/>
  </r>
  <r>
    <x v="15"/>
    <x v="1"/>
    <n v="6181"/>
    <x v="1"/>
    <x v="3"/>
    <s v="RABEPRAZOLE SODIUM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6226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1"/>
    <m/>
    <m/>
    <n v="1"/>
    <m/>
    <m/>
    <m/>
    <m/>
    <m/>
    <n v="4"/>
  </r>
  <r>
    <x v="15"/>
    <x v="1"/>
    <n v="6303"/>
    <x v="1"/>
    <x v="0"/>
    <s v="SIMVASTATIN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3"/>
  </r>
  <r>
    <x v="15"/>
    <x v="1"/>
    <n v="6549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n v="1"/>
    <m/>
    <m/>
    <m/>
    <m/>
    <m/>
    <m/>
    <m/>
    <m/>
    <m/>
    <m/>
    <m/>
    <m/>
    <m/>
    <n v="1"/>
    <m/>
    <m/>
    <m/>
    <m/>
    <m/>
    <m/>
    <n v="4"/>
  </r>
  <r>
    <x v="15"/>
    <x v="1"/>
    <n v="7346"/>
    <x v="1"/>
    <x v="1"/>
    <s v="FAMOTIDINE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3"/>
  </r>
  <r>
    <x v="15"/>
    <x v="1"/>
    <n v="7415"/>
    <x v="1"/>
    <x v="0"/>
    <s v="SIMVASTATIN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n v="3"/>
  </r>
  <r>
    <x v="15"/>
    <x v="1"/>
    <n v="7442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n v="2"/>
  </r>
  <r>
    <x v="15"/>
    <x v="1"/>
    <n v="7603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7623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5"/>
    <x v="1"/>
    <n v="7633"/>
    <x v="1"/>
    <x v="0"/>
    <s v="ROSUVASTATIN CALCIUM"/>
    <m/>
    <m/>
    <m/>
    <m/>
    <m/>
    <m/>
    <m/>
    <m/>
    <m/>
    <n v="1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4"/>
  </r>
  <r>
    <x v="15"/>
    <x v="1"/>
    <n v="7771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15"/>
    <x v="1"/>
    <n v="7827"/>
    <x v="1"/>
    <x v="0"/>
    <s v="ATORVASTATIN CALCIUM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n v="1"/>
    <m/>
    <m/>
    <m/>
    <m/>
    <n v="1"/>
    <m/>
    <m/>
    <m/>
    <n v="1"/>
    <m/>
    <m/>
    <m/>
    <n v="1"/>
    <m/>
    <m/>
    <n v="11"/>
  </r>
  <r>
    <x v="15"/>
    <x v="1"/>
    <n v="7852"/>
    <x v="1"/>
    <x v="0"/>
    <s v="ATORVASTATIN CALCIUM"/>
    <m/>
    <m/>
    <m/>
    <n v="1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4"/>
  </r>
  <r>
    <x v="15"/>
    <x v="1"/>
    <n v="8041"/>
    <x v="1"/>
    <x v="0"/>
    <s v="SIMVASTATIN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15"/>
    <x v="1"/>
    <n v="8161"/>
    <x v="1"/>
    <x v="1"/>
    <s v="RANITIDINE HCL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15"/>
    <x v="1"/>
    <n v="1030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5"/>
    <x v="1"/>
    <n v="11178"/>
    <x v="1"/>
    <x v="0"/>
    <s v="ATORVASTATIN CALCIUM"/>
    <m/>
    <m/>
    <m/>
    <m/>
    <m/>
    <m/>
    <m/>
    <m/>
    <m/>
    <m/>
    <m/>
    <n v="2"/>
    <m/>
    <m/>
    <m/>
    <n v="1"/>
    <m/>
    <m/>
    <m/>
    <m/>
    <n v="1"/>
    <m/>
    <m/>
    <m/>
    <m/>
    <m/>
    <m/>
    <m/>
    <n v="1"/>
    <m/>
    <m/>
    <m/>
    <m/>
    <m/>
    <m/>
    <m/>
    <m/>
    <m/>
    <m/>
    <m/>
    <n v="1"/>
    <m/>
    <m/>
    <m/>
    <m/>
    <m/>
    <n v="6"/>
  </r>
  <r>
    <x v="15"/>
    <x v="1"/>
    <n v="11179"/>
    <x v="1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1249"/>
    <x v="1"/>
    <x v="3"/>
    <s v="RABEPRAZOLE SODIUM"/>
    <n v="1"/>
    <m/>
    <m/>
    <m/>
    <n v="1"/>
    <m/>
    <m/>
    <m/>
    <m/>
    <n v="1"/>
    <m/>
    <m/>
    <m/>
    <n v="1"/>
    <m/>
    <m/>
    <m/>
    <m/>
    <n v="1"/>
    <m/>
    <m/>
    <n v="1"/>
    <m/>
    <m/>
    <m/>
    <m/>
    <m/>
    <n v="1"/>
    <m/>
    <m/>
    <n v="1"/>
    <m/>
    <m/>
    <m/>
    <m/>
    <m/>
    <n v="1"/>
    <m/>
    <m/>
    <m/>
    <m/>
    <n v="1"/>
    <m/>
    <m/>
    <m/>
    <n v="1"/>
    <n v="11"/>
  </r>
  <r>
    <x v="15"/>
    <x v="1"/>
    <n v="11652"/>
    <x v="1"/>
    <x v="0"/>
    <s v="ATORVASTATIN CALCIUM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4"/>
  </r>
  <r>
    <x v="15"/>
    <x v="1"/>
    <n v="13461"/>
    <x v="1"/>
    <x v="1"/>
    <s v="RANITIDINE HCL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3646"/>
    <x v="1"/>
    <x v="0"/>
    <s v="ATORVASTATIN CALCIUM"/>
    <m/>
    <m/>
    <n v="1"/>
    <m/>
    <m/>
    <m/>
    <m/>
    <m/>
    <m/>
    <m/>
    <n v="1"/>
    <m/>
    <m/>
    <m/>
    <m/>
    <m/>
    <m/>
    <m/>
    <n v="1"/>
    <n v="1"/>
    <m/>
    <m/>
    <m/>
    <m/>
    <m/>
    <m/>
    <m/>
    <m/>
    <n v="1"/>
    <m/>
    <m/>
    <m/>
    <m/>
    <m/>
    <m/>
    <m/>
    <n v="1"/>
    <m/>
    <m/>
    <m/>
    <m/>
    <m/>
    <m/>
    <m/>
    <m/>
    <m/>
    <n v="6"/>
  </r>
  <r>
    <x v="15"/>
    <x v="1"/>
    <n v="14616"/>
    <x v="1"/>
    <x v="0"/>
    <s v="ATORVASTATIN CALCIUM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1"/>
    <m/>
    <m/>
    <m/>
    <m/>
    <m/>
    <m/>
    <m/>
    <m/>
    <n v="4"/>
  </r>
  <r>
    <x v="15"/>
    <x v="1"/>
    <n v="14647"/>
    <x v="1"/>
    <x v="0"/>
    <s v="ROSUVASTATIN CALCIUM"/>
    <m/>
    <m/>
    <m/>
    <m/>
    <m/>
    <m/>
    <n v="1"/>
    <m/>
    <m/>
    <n v="1"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m/>
    <m/>
    <m/>
    <m/>
    <n v="5"/>
  </r>
  <r>
    <x v="15"/>
    <x v="1"/>
    <n v="16468"/>
    <x v="1"/>
    <x v="0"/>
    <s v="ATORVASTATIN CALCIUM"/>
    <m/>
    <m/>
    <n v="1"/>
    <m/>
    <m/>
    <m/>
    <m/>
    <n v="1"/>
    <n v="1"/>
    <m/>
    <m/>
    <m/>
    <m/>
    <n v="1"/>
    <n v="1"/>
    <m/>
    <m/>
    <m/>
    <m/>
    <n v="1"/>
    <m/>
    <m/>
    <m/>
    <n v="1"/>
    <m/>
    <m/>
    <m/>
    <m/>
    <n v="1"/>
    <m/>
    <m/>
    <m/>
    <m/>
    <n v="1"/>
    <m/>
    <m/>
    <m/>
    <n v="1"/>
    <m/>
    <m/>
    <m/>
    <n v="1"/>
    <m/>
    <m/>
    <m/>
    <m/>
    <n v="11"/>
  </r>
  <r>
    <x v="15"/>
    <x v="1"/>
    <n v="17022"/>
    <x v="1"/>
    <x v="0"/>
    <s v="ATORVASTATIN CALCIUM"/>
    <m/>
    <m/>
    <n v="1"/>
    <m/>
    <m/>
    <m/>
    <m/>
    <n v="1"/>
    <n v="1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n v="11"/>
  </r>
  <r>
    <x v="15"/>
    <x v="1"/>
    <n v="1827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5"/>
    <x v="1"/>
    <n v="19073"/>
    <x v="1"/>
    <x v="0"/>
    <s v="FLUVASTATIN SOD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5"/>
    <x v="1"/>
    <n v="19659"/>
    <x v="1"/>
    <x v="0"/>
    <s v="SIMVASTATIN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5"/>
    <x v="1"/>
    <n v="27386"/>
    <x v="1"/>
    <x v="3"/>
    <s v="OMEPRAZOLE"/>
    <n v="1"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5"/>
  </r>
  <r>
    <x v="15"/>
    <x v="1"/>
    <n v="28872"/>
    <x v="1"/>
    <x v="1"/>
    <s v="CIMETIDINE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5"/>
    <x v="1"/>
    <n v="30943"/>
    <x v="1"/>
    <x v="3"/>
    <s v="RABEPRAZOLE SODIUM"/>
    <m/>
    <m/>
    <m/>
    <m/>
    <m/>
    <m/>
    <m/>
    <m/>
    <m/>
    <m/>
    <m/>
    <m/>
    <m/>
    <m/>
    <m/>
    <m/>
    <m/>
    <m/>
    <m/>
    <n v="2"/>
    <m/>
    <m/>
    <m/>
    <n v="1"/>
    <m/>
    <m/>
    <m/>
    <m/>
    <m/>
    <n v="1"/>
    <m/>
    <m/>
    <m/>
    <m/>
    <n v="1"/>
    <m/>
    <m/>
    <m/>
    <m/>
    <m/>
    <m/>
    <m/>
    <m/>
    <m/>
    <m/>
    <m/>
    <n v="5"/>
  </r>
  <r>
    <x v="15"/>
    <x v="1"/>
    <n v="3255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2"/>
  </r>
  <r>
    <x v="15"/>
    <x v="1"/>
    <n v="32894"/>
    <x v="1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3"/>
  </r>
  <r>
    <x v="15"/>
    <x v="1"/>
    <n v="33115"/>
    <x v="1"/>
    <x v="0"/>
    <s v="SIMVASTATIN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5"/>
    <x v="1"/>
    <n v="33254"/>
    <x v="1"/>
    <x v="0"/>
    <s v="ATORVASTATIN CALC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3"/>
  </r>
  <r>
    <x v="15"/>
    <x v="1"/>
    <n v="3347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3535"/>
    <x v="1"/>
    <x v="0"/>
    <s v="ROSUVASTATIN CALCIUM"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m/>
    <n v="5"/>
  </r>
  <r>
    <x v="15"/>
    <x v="1"/>
    <n v="797"/>
    <x v="0"/>
    <x v="3"/>
    <s v="ESOMEPRAZOLE MAGNESIUM"/>
    <m/>
    <m/>
    <m/>
    <n v="1"/>
    <m/>
    <m/>
    <m/>
    <m/>
    <m/>
    <m/>
    <m/>
    <n v="1"/>
    <m/>
    <m/>
    <m/>
    <m/>
    <m/>
    <m/>
    <m/>
    <n v="1"/>
    <m/>
    <m/>
    <m/>
    <m/>
    <m/>
    <m/>
    <m/>
    <n v="1"/>
    <m/>
    <m/>
    <m/>
    <m/>
    <m/>
    <n v="1"/>
    <m/>
    <m/>
    <m/>
    <m/>
    <m/>
    <m/>
    <m/>
    <m/>
    <m/>
    <n v="1"/>
    <m/>
    <m/>
    <n v="6"/>
  </r>
  <r>
    <x v="15"/>
    <x v="1"/>
    <n v="2067"/>
    <x v="0"/>
    <x v="0"/>
    <s v="PRAVASTATIN SOD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</r>
  <r>
    <x v="15"/>
    <x v="1"/>
    <n v="2325"/>
    <x v="0"/>
    <x v="0"/>
    <s v="SIMVASTATIN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2676"/>
    <x v="0"/>
    <x v="3"/>
    <s v="RABEPRAZOLE SOD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5"/>
    <x v="1"/>
    <n v="3558"/>
    <x v="0"/>
    <x v="0"/>
    <s v="ATORVASTATIN CALCIUM"/>
    <m/>
    <n v="1"/>
    <m/>
    <m/>
    <n v="1"/>
    <m/>
    <m/>
    <m/>
    <n v="1"/>
    <m/>
    <m/>
    <m/>
    <m/>
    <n v="1"/>
    <m/>
    <m/>
    <m/>
    <n v="1"/>
    <m/>
    <m/>
    <m/>
    <n v="1"/>
    <m/>
    <m/>
    <m/>
    <n v="1"/>
    <m/>
    <m/>
    <n v="1"/>
    <m/>
    <m/>
    <m/>
    <n v="1"/>
    <m/>
    <m/>
    <m/>
    <m/>
    <n v="1"/>
    <m/>
    <m/>
    <m/>
    <n v="1"/>
    <m/>
    <m/>
    <n v="1"/>
    <m/>
    <n v="12"/>
  </r>
  <r>
    <x v="15"/>
    <x v="1"/>
    <n v="4500"/>
    <x v="0"/>
    <x v="0"/>
    <s v="ATORVASTATIN CALCIUM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4"/>
  </r>
  <r>
    <x v="15"/>
    <x v="1"/>
    <n v="4533"/>
    <x v="0"/>
    <x v="3"/>
    <s v="OMEPRAZOLE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n v="2"/>
  </r>
  <r>
    <x v="15"/>
    <x v="1"/>
    <n v="5249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3"/>
  </r>
  <r>
    <x v="15"/>
    <x v="1"/>
    <n v="557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891"/>
    <x v="0"/>
    <x v="0"/>
    <s v="ATORVASTATIN CALCIUM"/>
    <m/>
    <n v="1"/>
    <m/>
    <m/>
    <m/>
    <m/>
    <m/>
    <m/>
    <m/>
    <m/>
    <m/>
    <m/>
    <m/>
    <m/>
    <n v="1"/>
    <m/>
    <m/>
    <m/>
    <m/>
    <m/>
    <m/>
    <m/>
    <m/>
    <n v="1"/>
    <m/>
    <m/>
    <m/>
    <n v="1"/>
    <m/>
    <m/>
    <m/>
    <m/>
    <m/>
    <m/>
    <m/>
    <m/>
    <m/>
    <m/>
    <m/>
    <n v="1"/>
    <m/>
    <m/>
    <m/>
    <m/>
    <m/>
    <m/>
    <n v="5"/>
  </r>
  <r>
    <x v="15"/>
    <x v="1"/>
    <n v="593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5"/>
    <x v="1"/>
    <n v="6594"/>
    <x v="0"/>
    <x v="3"/>
    <s v="RABEPRAZOLE SODIUM"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n v="5"/>
  </r>
  <r>
    <x v="15"/>
    <x v="1"/>
    <n v="6685"/>
    <x v="0"/>
    <x v="3"/>
    <s v="RABEPRAZOLE SODIUM"/>
    <m/>
    <m/>
    <m/>
    <m/>
    <m/>
    <m/>
    <m/>
    <m/>
    <m/>
    <m/>
    <n v="1"/>
    <m/>
    <m/>
    <m/>
    <m/>
    <m/>
    <m/>
    <m/>
    <n v="1"/>
    <m/>
    <m/>
    <m/>
    <m/>
    <m/>
    <m/>
    <m/>
    <n v="1"/>
    <m/>
    <m/>
    <m/>
    <m/>
    <m/>
    <n v="1"/>
    <m/>
    <n v="1"/>
    <m/>
    <m/>
    <m/>
    <m/>
    <n v="1"/>
    <m/>
    <m/>
    <m/>
    <m/>
    <n v="1"/>
    <m/>
    <n v="7"/>
  </r>
  <r>
    <x v="15"/>
    <x v="1"/>
    <n v="669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271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1"/>
    <m/>
    <n v="1"/>
    <m/>
    <m/>
    <m/>
    <m/>
    <m/>
    <m/>
    <m/>
    <m/>
    <m/>
    <n v="4"/>
  </r>
  <r>
    <x v="15"/>
    <x v="1"/>
    <n v="804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710"/>
    <x v="0"/>
    <x v="3"/>
    <s v="RABEPRAZOLE SODIUM"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4"/>
  </r>
  <r>
    <x v="15"/>
    <x v="1"/>
    <n v="969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9692"/>
    <x v="0"/>
    <x v="3"/>
    <s v="RABEPRAZOLE SOD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15"/>
    <x v="1"/>
    <n v="9740"/>
    <x v="0"/>
    <x v="3"/>
    <s v="PANTOPRAZOLE SODIUM"/>
    <m/>
    <m/>
    <m/>
    <m/>
    <m/>
    <m/>
    <m/>
    <m/>
    <m/>
    <m/>
    <m/>
    <m/>
    <m/>
    <m/>
    <m/>
    <m/>
    <m/>
    <m/>
    <n v="1"/>
    <m/>
    <m/>
    <m/>
    <m/>
    <m/>
    <n v="1"/>
    <n v="1"/>
    <m/>
    <m/>
    <m/>
    <m/>
    <m/>
    <m/>
    <m/>
    <m/>
    <m/>
    <m/>
    <m/>
    <m/>
    <m/>
    <m/>
    <m/>
    <m/>
    <m/>
    <m/>
    <m/>
    <m/>
    <n v="3"/>
  </r>
  <r>
    <x v="15"/>
    <x v="1"/>
    <n v="1011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5"/>
    <x v="1"/>
    <n v="10168"/>
    <x v="0"/>
    <x v="3"/>
    <s v="RABEPRAZOLE SODIUM"/>
    <m/>
    <m/>
    <m/>
    <m/>
    <m/>
    <m/>
    <n v="1"/>
    <m/>
    <m/>
    <n v="2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5"/>
  </r>
  <r>
    <x v="15"/>
    <x v="1"/>
    <n v="10263"/>
    <x v="0"/>
    <x v="6"/>
    <s v="EZETIMIBE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3"/>
  </r>
  <r>
    <x v="15"/>
    <x v="1"/>
    <n v="10653"/>
    <x v="0"/>
    <x v="0"/>
    <s v="SIMVASTATIN"/>
    <m/>
    <m/>
    <m/>
    <m/>
    <m/>
    <m/>
    <m/>
    <m/>
    <m/>
    <m/>
    <m/>
    <m/>
    <m/>
    <m/>
    <m/>
    <m/>
    <m/>
    <m/>
    <m/>
    <m/>
    <m/>
    <m/>
    <m/>
    <n v="1"/>
    <m/>
    <m/>
    <m/>
    <m/>
    <n v="2"/>
    <m/>
    <m/>
    <m/>
    <m/>
    <m/>
    <m/>
    <m/>
    <m/>
    <m/>
    <n v="1"/>
    <m/>
    <m/>
    <m/>
    <m/>
    <m/>
    <m/>
    <m/>
    <n v="4"/>
  </r>
  <r>
    <x v="15"/>
    <x v="1"/>
    <n v="10970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n v="3"/>
  </r>
  <r>
    <x v="15"/>
    <x v="1"/>
    <n v="10997"/>
    <x v="0"/>
    <x v="1"/>
    <s v="RANITIDINE HCL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15"/>
    <x v="1"/>
    <n v="12010"/>
    <x v="0"/>
    <x v="3"/>
    <s v="OMEPRAZOLE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2738"/>
    <x v="0"/>
    <x v="3"/>
    <s v="RABEPRAZOLE SODIUM"/>
    <m/>
    <m/>
    <m/>
    <m/>
    <m/>
    <m/>
    <n v="1"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n v="1"/>
    <m/>
    <m/>
    <m/>
    <m/>
    <n v="4"/>
  </r>
  <r>
    <x v="15"/>
    <x v="1"/>
    <n v="13071"/>
    <x v="0"/>
    <x v="0"/>
    <s v="ATORVASTATIN CALCIUM"/>
    <m/>
    <m/>
    <m/>
    <m/>
    <n v="1"/>
    <m/>
    <m/>
    <m/>
    <m/>
    <m/>
    <m/>
    <m/>
    <m/>
    <m/>
    <n v="1"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5"/>
  </r>
  <r>
    <x v="15"/>
    <x v="1"/>
    <n v="1401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m/>
    <m/>
    <m/>
    <m/>
    <n v="1"/>
    <m/>
    <m/>
    <m/>
    <m/>
    <m/>
    <m/>
    <m/>
    <n v="4"/>
  </r>
  <r>
    <x v="15"/>
    <x v="1"/>
    <n v="14074"/>
    <x v="0"/>
    <x v="0"/>
    <s v="SIMVASTATIN"/>
    <m/>
    <n v="1"/>
    <m/>
    <m/>
    <m/>
    <n v="1"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m/>
    <m/>
    <n v="1"/>
    <n v="11"/>
  </r>
  <r>
    <x v="15"/>
    <x v="1"/>
    <n v="14414"/>
    <x v="0"/>
    <x v="1"/>
    <s v="CIMETIDINE"/>
    <n v="1"/>
    <m/>
    <m/>
    <m/>
    <n v="1"/>
    <m/>
    <m/>
    <m/>
    <m/>
    <n v="1"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5"/>
  </r>
  <r>
    <x v="15"/>
    <x v="1"/>
    <n v="14414"/>
    <x v="0"/>
    <x v="7"/>
    <s v="PINAVERIUM BROMIDE"/>
    <n v="3"/>
    <m/>
    <m/>
    <m/>
    <n v="1"/>
    <m/>
    <m/>
    <m/>
    <m/>
    <n v="2"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8"/>
  </r>
  <r>
    <x v="15"/>
    <x v="1"/>
    <n v="15130"/>
    <x v="0"/>
    <x v="3"/>
    <s v="OMEPRAZOLE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5"/>
    <x v="1"/>
    <n v="15628"/>
    <x v="0"/>
    <x v="3"/>
    <s v="RABEPRAZOLE SODIUM"/>
    <m/>
    <m/>
    <m/>
    <n v="2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4"/>
  </r>
  <r>
    <x v="15"/>
    <x v="1"/>
    <n v="18495"/>
    <x v="0"/>
    <x v="9"/>
    <s v="CHOLESTYRAMINE (WITH SUGAR)"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18495"/>
    <x v="0"/>
    <x v="1"/>
    <s v="RANITIDINE HCL"/>
    <m/>
    <m/>
    <m/>
    <m/>
    <m/>
    <m/>
    <m/>
    <m/>
    <m/>
    <m/>
    <m/>
    <m/>
    <m/>
    <m/>
    <m/>
    <m/>
    <m/>
    <n v="1"/>
    <m/>
    <n v="3"/>
    <m/>
    <n v="1"/>
    <m/>
    <m/>
    <m/>
    <m/>
    <m/>
    <m/>
    <m/>
    <m/>
    <m/>
    <m/>
    <m/>
    <m/>
    <m/>
    <m/>
    <m/>
    <m/>
    <m/>
    <m/>
    <m/>
    <m/>
    <m/>
    <m/>
    <m/>
    <m/>
    <n v="5"/>
  </r>
  <r>
    <x v="15"/>
    <x v="1"/>
    <n v="18862"/>
    <x v="0"/>
    <x v="1"/>
    <s v="RANITIDINE HCL"/>
    <m/>
    <m/>
    <m/>
    <m/>
    <m/>
    <m/>
    <m/>
    <m/>
    <m/>
    <m/>
    <m/>
    <m/>
    <m/>
    <m/>
    <n v="1"/>
    <m/>
    <m/>
    <m/>
    <m/>
    <m/>
    <n v="1"/>
    <m/>
    <m/>
    <m/>
    <m/>
    <n v="1"/>
    <m/>
    <m/>
    <m/>
    <m/>
    <n v="1"/>
    <m/>
    <m/>
    <m/>
    <m/>
    <m/>
    <m/>
    <m/>
    <m/>
    <m/>
    <m/>
    <m/>
    <m/>
    <m/>
    <m/>
    <m/>
    <n v="4"/>
  </r>
  <r>
    <x v="15"/>
    <x v="1"/>
    <n v="20107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m/>
    <n v="1"/>
    <m/>
    <m/>
    <m/>
    <m/>
    <n v="4"/>
  </r>
  <r>
    <x v="15"/>
    <x v="1"/>
    <n v="2061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</r>
  <r>
    <x v="15"/>
    <x v="1"/>
    <n v="2061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</r>
  <r>
    <x v="15"/>
    <x v="1"/>
    <n v="21473"/>
    <x v="0"/>
    <x v="3"/>
    <s v="RABEPRAZOLE SOD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n v="4"/>
  </r>
  <r>
    <x v="15"/>
    <x v="1"/>
    <n v="21867"/>
    <x v="0"/>
    <x v="3"/>
    <s v="OMEPRAZOLE"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15"/>
    <x v="1"/>
    <n v="2283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1"/>
    <m/>
    <m/>
    <m/>
    <m/>
    <m/>
    <m/>
    <m/>
    <m/>
    <n v="3"/>
  </r>
  <r>
    <x v="15"/>
    <x v="1"/>
    <n v="26361"/>
    <x v="0"/>
    <x v="3"/>
    <s v="RABEPRAZOLE SODIUM"/>
    <m/>
    <m/>
    <m/>
    <m/>
    <n v="1"/>
    <m/>
    <m/>
    <n v="1"/>
    <m/>
    <m/>
    <m/>
    <m/>
    <n v="1"/>
    <m/>
    <m/>
    <m/>
    <m/>
    <m/>
    <m/>
    <m/>
    <n v="1"/>
    <m/>
    <m/>
    <m/>
    <m/>
    <n v="1"/>
    <m/>
    <m/>
    <m/>
    <m/>
    <m/>
    <m/>
    <m/>
    <n v="1"/>
    <m/>
    <m/>
    <m/>
    <m/>
    <m/>
    <m/>
    <m/>
    <m/>
    <m/>
    <n v="1"/>
    <m/>
    <m/>
    <n v="7"/>
  </r>
  <r>
    <x v="15"/>
    <x v="1"/>
    <n v="27221"/>
    <x v="0"/>
    <x v="3"/>
    <s v="RABEPRAZOLE SODIUM"/>
    <m/>
    <m/>
    <n v="2"/>
    <m/>
    <m/>
    <m/>
    <m/>
    <m/>
    <n v="1"/>
    <m/>
    <m/>
    <m/>
    <m/>
    <n v="2"/>
    <n v="2"/>
    <m/>
    <m/>
    <m/>
    <m/>
    <m/>
    <m/>
    <n v="1"/>
    <n v="1"/>
    <m/>
    <m/>
    <m/>
    <m/>
    <m/>
    <n v="1"/>
    <m/>
    <m/>
    <m/>
    <m/>
    <m/>
    <m/>
    <m/>
    <n v="1"/>
    <m/>
    <m/>
    <m/>
    <m/>
    <m/>
    <m/>
    <n v="1"/>
    <m/>
    <m/>
    <n v="12"/>
  </r>
  <r>
    <x v="15"/>
    <x v="1"/>
    <n v="29600"/>
    <x v="0"/>
    <x v="3"/>
    <s v="RABEPRAZOLE SODIUM"/>
    <n v="1"/>
    <m/>
    <m/>
    <m/>
    <m/>
    <m/>
    <m/>
    <m/>
    <m/>
    <m/>
    <m/>
    <n v="1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5"/>
  </r>
  <r>
    <x v="15"/>
    <x v="1"/>
    <n v="31598"/>
    <x v="0"/>
    <x v="3"/>
    <s v="RABE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32826"/>
    <x v="0"/>
    <x v="1"/>
    <s v="CIMETIDINE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15"/>
    <x v="1"/>
    <n v="3282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2923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3"/>
  </r>
  <r>
    <x v="15"/>
    <x v="1"/>
    <n v="33594"/>
    <x v="0"/>
    <x v="3"/>
    <s v="RABEPRAZOLE SODIUM"/>
    <n v="1"/>
    <m/>
    <m/>
    <m/>
    <m/>
    <n v="1"/>
    <m/>
    <m/>
    <m/>
    <n v="1"/>
    <m/>
    <m/>
    <n v="1"/>
    <m/>
    <m/>
    <m/>
    <n v="2"/>
    <m/>
    <m/>
    <m/>
    <m/>
    <m/>
    <m/>
    <m/>
    <n v="1"/>
    <m/>
    <m/>
    <m/>
    <m/>
    <m/>
    <m/>
    <m/>
    <m/>
    <m/>
    <n v="1"/>
    <m/>
    <m/>
    <m/>
    <m/>
    <m/>
    <m/>
    <m/>
    <n v="1"/>
    <m/>
    <m/>
    <m/>
    <n v="9"/>
  </r>
  <r>
    <x v="15"/>
    <x v="1"/>
    <n v="3363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363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5"/>
    <x v="1"/>
    <n v="1848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n v="2"/>
    <m/>
    <m/>
    <m/>
    <n v="1"/>
    <m/>
    <m/>
    <m/>
    <m/>
    <m/>
    <m/>
    <m/>
    <m/>
    <m/>
    <m/>
    <m/>
    <m/>
    <n v="2"/>
    <m/>
    <m/>
    <m/>
    <m/>
    <n v="6"/>
  </r>
  <r>
    <x v="15"/>
    <x v="1"/>
    <n v="2848"/>
    <x v="1"/>
    <x v="3"/>
    <s v="OMEPRAZOLE"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n v="1"/>
    <m/>
    <n v="1"/>
    <m/>
    <m/>
    <m/>
    <n v="1"/>
    <m/>
    <m/>
    <n v="12"/>
  </r>
  <r>
    <x v="15"/>
    <x v="1"/>
    <n v="327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270"/>
    <x v="1"/>
    <x v="3"/>
    <s v="RABEPRAZOLE SODIUM"/>
    <n v="1"/>
    <m/>
    <m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m/>
    <n v="1"/>
    <m/>
    <m/>
    <n v="1"/>
    <m/>
    <m/>
    <m/>
    <m/>
    <m/>
    <n v="10"/>
  </r>
  <r>
    <x v="15"/>
    <x v="1"/>
    <n v="3333"/>
    <x v="1"/>
    <x v="1"/>
    <s v="CIMETIDINE"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333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4478"/>
    <x v="1"/>
    <x v="3"/>
    <s v="ESOMEPRAZOLE MAGNESIUM"/>
    <m/>
    <m/>
    <m/>
    <n v="1"/>
    <m/>
    <m/>
    <m/>
    <m/>
    <n v="1"/>
    <m/>
    <m/>
    <m/>
    <m/>
    <n v="1"/>
    <m/>
    <m/>
    <m/>
    <m/>
    <n v="1"/>
    <m/>
    <m/>
    <m/>
    <n v="2"/>
    <m/>
    <m/>
    <m/>
    <n v="1"/>
    <m/>
    <m/>
    <m/>
    <m/>
    <n v="1"/>
    <m/>
    <m/>
    <m/>
    <n v="1"/>
    <m/>
    <m/>
    <m/>
    <m/>
    <n v="2"/>
    <m/>
    <m/>
    <m/>
    <m/>
    <n v="1"/>
    <n v="12"/>
  </r>
  <r>
    <x v="15"/>
    <x v="1"/>
    <n v="6323"/>
    <x v="1"/>
    <x v="0"/>
    <s v="ATOR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3"/>
  </r>
  <r>
    <x v="15"/>
    <x v="1"/>
    <n v="6467"/>
    <x v="1"/>
    <x v="1"/>
    <s v="RANITIDINE HCL"/>
    <m/>
    <m/>
    <m/>
    <m/>
    <m/>
    <m/>
    <n v="1"/>
    <m/>
    <n v="1"/>
    <m/>
    <m/>
    <m/>
    <m/>
    <m/>
    <m/>
    <n v="1"/>
    <m/>
    <m/>
    <n v="2"/>
    <m/>
    <m/>
    <m/>
    <m/>
    <m/>
    <m/>
    <n v="1"/>
    <m/>
    <m/>
    <m/>
    <m/>
    <n v="1"/>
    <m/>
    <m/>
    <m/>
    <m/>
    <m/>
    <n v="1"/>
    <m/>
    <m/>
    <m/>
    <m/>
    <m/>
    <n v="1"/>
    <m/>
    <m/>
    <m/>
    <n v="9"/>
  </r>
  <r>
    <x v="15"/>
    <x v="1"/>
    <n v="7279"/>
    <x v="1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n v="4"/>
  </r>
  <r>
    <x v="15"/>
    <x v="1"/>
    <n v="7881"/>
    <x v="1"/>
    <x v="3"/>
    <s v="OMEPRAZOLE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7955"/>
    <x v="1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5"/>
    <x v="1"/>
    <n v="7955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n v="2"/>
  </r>
  <r>
    <x v="15"/>
    <x v="1"/>
    <n v="830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348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n v="3"/>
  </r>
  <r>
    <x v="15"/>
    <x v="1"/>
    <n v="8418"/>
    <x v="1"/>
    <x v="3"/>
    <s v="RABEPRAZOLE SOD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n v="1"/>
    <n v="5"/>
  </r>
  <r>
    <x v="15"/>
    <x v="1"/>
    <n v="8503"/>
    <x v="1"/>
    <x v="0"/>
    <s v="ATORVASTATIN CALCIUM"/>
    <n v="1"/>
    <m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n v="1"/>
    <n v="12"/>
  </r>
  <r>
    <x v="15"/>
    <x v="1"/>
    <n v="8559"/>
    <x v="1"/>
    <x v="0"/>
    <s v="ATOR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3"/>
  </r>
  <r>
    <x v="15"/>
    <x v="1"/>
    <n v="8571"/>
    <x v="1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n v="4"/>
  </r>
  <r>
    <x v="15"/>
    <x v="1"/>
    <n v="8639"/>
    <x v="1"/>
    <x v="0"/>
    <s v="ATORVASTATIN CALCIUM"/>
    <m/>
    <m/>
    <n v="3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n v="6"/>
  </r>
  <r>
    <x v="15"/>
    <x v="1"/>
    <n v="8725"/>
    <x v="1"/>
    <x v="0"/>
    <s v="ATOR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n v="4"/>
  </r>
  <r>
    <x v="15"/>
    <x v="1"/>
    <n v="8818"/>
    <x v="1"/>
    <x v="1"/>
    <s v="CIMETIDINE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881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81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907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</r>
  <r>
    <x v="15"/>
    <x v="1"/>
    <n v="9438"/>
    <x v="1"/>
    <x v="3"/>
    <s v="ESOMEPRAZOLE MAGNES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n v="3"/>
  </r>
  <r>
    <x v="15"/>
    <x v="1"/>
    <n v="970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n v="1"/>
    <m/>
    <m/>
    <m/>
    <m/>
    <m/>
    <m/>
    <m/>
    <n v="3"/>
  </r>
  <r>
    <x v="15"/>
    <x v="1"/>
    <n v="982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5"/>
    <x v="1"/>
    <n v="9820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5"/>
    <x v="1"/>
    <n v="9820"/>
    <x v="1"/>
    <x v="3"/>
    <s v="ESOMEPRAZOLE MAGNESIUM"/>
    <m/>
    <m/>
    <m/>
    <m/>
    <m/>
    <m/>
    <m/>
    <m/>
    <n v="1"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n v="1"/>
    <m/>
    <m/>
    <m/>
    <m/>
    <m/>
    <n v="4"/>
  </r>
  <r>
    <x v="15"/>
    <x v="1"/>
    <n v="10113"/>
    <x v="1"/>
    <x v="3"/>
    <s v="OMEPRAZOLE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n v="3"/>
  </r>
  <r>
    <x v="15"/>
    <x v="1"/>
    <n v="10200"/>
    <x v="1"/>
    <x v="0"/>
    <s v="ATORVASTATIN CALCIUM"/>
    <n v="1"/>
    <n v="1"/>
    <n v="1"/>
    <n v="1"/>
    <n v="2"/>
    <n v="2"/>
    <n v="1"/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0"/>
  </r>
  <r>
    <x v="15"/>
    <x v="1"/>
    <n v="11017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n v="3"/>
  </r>
  <r>
    <x v="15"/>
    <x v="1"/>
    <n v="11062"/>
    <x v="1"/>
    <x v="0"/>
    <s v="ATORVASTATIN CALCIUM"/>
    <m/>
    <m/>
    <m/>
    <m/>
    <n v="1"/>
    <m/>
    <m/>
    <m/>
    <m/>
    <m/>
    <m/>
    <m/>
    <m/>
    <m/>
    <m/>
    <m/>
    <m/>
    <m/>
    <m/>
    <m/>
    <n v="1"/>
    <m/>
    <m/>
    <m/>
    <m/>
    <m/>
    <m/>
    <n v="1"/>
    <m/>
    <m/>
    <m/>
    <m/>
    <m/>
    <n v="1"/>
    <m/>
    <m/>
    <m/>
    <m/>
    <m/>
    <m/>
    <m/>
    <m/>
    <m/>
    <m/>
    <m/>
    <m/>
    <n v="4"/>
  </r>
  <r>
    <x v="15"/>
    <x v="1"/>
    <n v="11837"/>
    <x v="1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3070"/>
    <x v="1"/>
    <x v="0"/>
    <s v="SIMVASTATIN"/>
    <n v="1"/>
    <m/>
    <m/>
    <m/>
    <n v="1"/>
    <m/>
    <m/>
    <m/>
    <m/>
    <m/>
    <n v="1"/>
    <m/>
    <m/>
    <n v="1"/>
    <m/>
    <m/>
    <m/>
    <n v="1"/>
    <m/>
    <m/>
    <m/>
    <m/>
    <m/>
    <n v="1"/>
    <m/>
    <m/>
    <m/>
    <n v="1"/>
    <m/>
    <m/>
    <n v="1"/>
    <m/>
    <m/>
    <m/>
    <m/>
    <n v="1"/>
    <m/>
    <m/>
    <m/>
    <n v="1"/>
    <m/>
    <m/>
    <n v="1"/>
    <m/>
    <m/>
    <m/>
    <n v="11"/>
  </r>
  <r>
    <x v="15"/>
    <x v="1"/>
    <n v="15339"/>
    <x v="1"/>
    <x v="3"/>
    <s v="RABEPRAZOLE SODIUM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5"/>
    <x v="1"/>
    <n v="16556"/>
    <x v="1"/>
    <x v="7"/>
    <s v="PINAVERIUM BROMIDE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</r>
  <r>
    <x v="15"/>
    <x v="1"/>
    <n v="16704"/>
    <x v="1"/>
    <x v="1"/>
    <s v="RANITIDINE HCL"/>
    <m/>
    <m/>
    <n v="2"/>
    <m/>
    <m/>
    <m/>
    <m/>
    <m/>
    <m/>
    <m/>
    <n v="1"/>
    <m/>
    <m/>
    <m/>
    <m/>
    <m/>
    <m/>
    <m/>
    <m/>
    <m/>
    <n v="1"/>
    <m/>
    <m/>
    <m/>
    <m/>
    <m/>
    <m/>
    <n v="1"/>
    <m/>
    <m/>
    <m/>
    <m/>
    <m/>
    <m/>
    <m/>
    <n v="1"/>
    <m/>
    <m/>
    <m/>
    <m/>
    <m/>
    <m/>
    <n v="1"/>
    <m/>
    <m/>
    <m/>
    <n v="7"/>
  </r>
  <r>
    <x v="15"/>
    <x v="1"/>
    <n v="16704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7256"/>
    <x v="1"/>
    <x v="8"/>
    <s v="GEMFIBROZ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7256"/>
    <x v="1"/>
    <x v="3"/>
    <s v="RABEPRAZOLE SODIUM"/>
    <n v="1"/>
    <m/>
    <m/>
    <m/>
    <n v="1"/>
    <m/>
    <m/>
    <m/>
    <n v="1"/>
    <m/>
    <m/>
    <m/>
    <n v="1"/>
    <n v="1"/>
    <m/>
    <n v="2"/>
    <m/>
    <n v="1"/>
    <m/>
    <m/>
    <m/>
    <n v="1"/>
    <m/>
    <m/>
    <m/>
    <m/>
    <n v="1"/>
    <m/>
    <n v="1"/>
    <m/>
    <n v="1"/>
    <m/>
    <m/>
    <m/>
    <n v="1"/>
    <m/>
    <m/>
    <m/>
    <m/>
    <n v="1"/>
    <m/>
    <m/>
    <m/>
    <n v="2"/>
    <m/>
    <m/>
    <n v="16"/>
  </r>
  <r>
    <x v="15"/>
    <x v="1"/>
    <n v="18778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9144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3"/>
  </r>
  <r>
    <x v="15"/>
    <x v="1"/>
    <n v="19167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0393"/>
    <x v="1"/>
    <x v="0"/>
    <s v="ATORVASTATIN CALCIUM"/>
    <m/>
    <m/>
    <m/>
    <n v="1"/>
    <m/>
    <m/>
    <m/>
    <n v="1"/>
    <m/>
    <m/>
    <m/>
    <n v="1"/>
    <m/>
    <m/>
    <m/>
    <m/>
    <n v="1"/>
    <m/>
    <m/>
    <m/>
    <m/>
    <m/>
    <n v="2"/>
    <n v="1"/>
    <n v="1"/>
    <m/>
    <m/>
    <n v="1"/>
    <m/>
    <m/>
    <m/>
    <n v="1"/>
    <m/>
    <m/>
    <m/>
    <n v="1"/>
    <m/>
    <m/>
    <m/>
    <n v="1"/>
    <m/>
    <m/>
    <m/>
    <n v="1"/>
    <m/>
    <m/>
    <n v="13"/>
  </r>
  <r>
    <x v="15"/>
    <x v="1"/>
    <n v="20557"/>
    <x v="1"/>
    <x v="3"/>
    <s v="RABE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5"/>
    <x v="1"/>
    <n v="22037"/>
    <x v="1"/>
    <x v="1"/>
    <s v="RANITIDINE HCL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23069"/>
    <x v="1"/>
    <x v="0"/>
    <s v="SIMVASTATIN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25942"/>
    <x v="1"/>
    <x v="3"/>
    <s v="RABEPRAZOLE SOD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3"/>
  </r>
  <r>
    <x v="15"/>
    <x v="1"/>
    <n v="28758"/>
    <x v="1"/>
    <x v="3"/>
    <s v="LANSOPRAZOLE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n v="1"/>
    <m/>
    <n v="4"/>
  </r>
  <r>
    <x v="15"/>
    <x v="1"/>
    <n v="30492"/>
    <x v="1"/>
    <x v="3"/>
    <s v="ESOMEPRAZOLE MAGNESIUM"/>
    <n v="1"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n v="1"/>
    <m/>
    <m/>
    <m/>
    <n v="1"/>
    <m/>
    <n v="12"/>
  </r>
  <r>
    <x v="15"/>
    <x v="1"/>
    <n v="31839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5"/>
    <x v="1"/>
    <n v="3281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5"/>
    <x v="1"/>
    <n v="885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400"/>
    <x v="1"/>
    <x v="3"/>
    <s v="RABEPRAZOLE SODIUM"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m/>
    <n v="1"/>
    <m/>
    <m/>
    <m/>
    <m/>
    <n v="1"/>
    <m/>
    <m/>
    <m/>
    <n v="1"/>
    <m/>
    <m/>
    <n v="11"/>
  </r>
  <r>
    <x v="15"/>
    <x v="1"/>
    <n v="4086"/>
    <x v="1"/>
    <x v="1"/>
    <s v="RANITIDINE HCL"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599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5"/>
    <x v="1"/>
    <n v="7727"/>
    <x v="1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709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13"/>
    <x v="0"/>
    <x v="3"/>
    <s v="OMEPRAZOLE"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3"/>
  </r>
  <r>
    <x v="15"/>
    <x v="1"/>
    <n v="3558"/>
    <x v="0"/>
    <x v="3"/>
    <s v="LANSOPRAZOLE"/>
    <m/>
    <n v="1"/>
    <m/>
    <m/>
    <n v="1"/>
    <m/>
    <m/>
    <m/>
    <n v="1"/>
    <m/>
    <m/>
    <m/>
    <m/>
    <n v="1"/>
    <m/>
    <m/>
    <m/>
    <n v="1"/>
    <m/>
    <m/>
    <m/>
    <n v="1"/>
    <m/>
    <m/>
    <m/>
    <n v="1"/>
    <m/>
    <m/>
    <n v="1"/>
    <m/>
    <m/>
    <m/>
    <n v="1"/>
    <m/>
    <m/>
    <m/>
    <m/>
    <n v="1"/>
    <m/>
    <m/>
    <m/>
    <n v="1"/>
    <m/>
    <m/>
    <n v="1"/>
    <m/>
    <n v="12"/>
  </r>
  <r>
    <x v="15"/>
    <x v="1"/>
    <n v="4540"/>
    <x v="0"/>
    <x v="3"/>
    <s v="RABEPRAZOLE SOD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n v="4"/>
  </r>
  <r>
    <x v="15"/>
    <x v="1"/>
    <n v="8173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15"/>
    <x v="1"/>
    <n v="825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961"/>
    <x v="0"/>
    <x v="3"/>
    <s v="RABEPRAZOLE SODIUM"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3"/>
  </r>
  <r>
    <x v="15"/>
    <x v="1"/>
    <n v="11129"/>
    <x v="0"/>
    <x v="3"/>
    <s v="RABEPRAZOLE SODIUM"/>
    <m/>
    <m/>
    <m/>
    <m/>
    <n v="1"/>
    <m/>
    <m/>
    <m/>
    <m/>
    <m/>
    <m/>
    <m/>
    <m/>
    <m/>
    <n v="1"/>
    <m/>
    <m/>
    <m/>
    <n v="1"/>
    <m/>
    <m/>
    <m/>
    <n v="1"/>
    <m/>
    <m/>
    <m/>
    <n v="1"/>
    <m/>
    <m/>
    <m/>
    <m/>
    <m/>
    <m/>
    <m/>
    <m/>
    <m/>
    <m/>
    <m/>
    <m/>
    <n v="1"/>
    <m/>
    <m/>
    <m/>
    <m/>
    <m/>
    <m/>
    <n v="6"/>
  </r>
  <r>
    <x v="15"/>
    <x v="1"/>
    <n v="1141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141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1531"/>
    <x v="0"/>
    <x v="3"/>
    <s v="ESOMEPRAZOLE MAGNES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5"/>
    <x v="1"/>
    <n v="11653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m/>
    <n v="1"/>
    <m/>
    <m/>
    <n v="1"/>
    <m/>
    <m/>
    <m/>
    <m/>
    <n v="5"/>
  </r>
  <r>
    <x v="15"/>
    <x v="1"/>
    <n v="12515"/>
    <x v="0"/>
    <x v="3"/>
    <s v="RABEPRAZOLE SODIUM"/>
    <m/>
    <n v="1"/>
    <m/>
    <m/>
    <m/>
    <m/>
    <n v="1"/>
    <m/>
    <m/>
    <m/>
    <m/>
    <n v="1"/>
    <m/>
    <m/>
    <m/>
    <n v="1"/>
    <m/>
    <m/>
    <m/>
    <m/>
    <n v="1"/>
    <m/>
    <m/>
    <m/>
    <n v="1"/>
    <m/>
    <m/>
    <n v="1"/>
    <m/>
    <m/>
    <m/>
    <n v="1"/>
    <m/>
    <n v="1"/>
    <m/>
    <m/>
    <m/>
    <m/>
    <m/>
    <m/>
    <m/>
    <m/>
    <m/>
    <n v="2"/>
    <m/>
    <m/>
    <n v="11"/>
  </r>
  <r>
    <x v="15"/>
    <x v="1"/>
    <n v="14127"/>
    <x v="0"/>
    <x v="3"/>
    <s v="PANTO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21772"/>
    <x v="0"/>
    <x v="3"/>
    <s v="RABEPRAZOLE SODIUM"/>
    <m/>
    <m/>
    <m/>
    <m/>
    <m/>
    <m/>
    <n v="1"/>
    <m/>
    <m/>
    <m/>
    <m/>
    <m/>
    <m/>
    <m/>
    <m/>
    <m/>
    <m/>
    <m/>
    <m/>
    <n v="1"/>
    <m/>
    <m/>
    <m/>
    <m/>
    <n v="1"/>
    <m/>
    <m/>
    <m/>
    <m/>
    <m/>
    <m/>
    <m/>
    <n v="1"/>
    <m/>
    <m/>
    <m/>
    <m/>
    <m/>
    <m/>
    <m/>
    <m/>
    <m/>
    <n v="1"/>
    <m/>
    <m/>
    <m/>
    <n v="5"/>
  </r>
  <r>
    <x v="15"/>
    <x v="1"/>
    <n v="796"/>
    <x v="1"/>
    <x v="3"/>
    <s v="ESOMEPRAZOLE MAGNESIUM"/>
    <m/>
    <m/>
    <m/>
    <n v="1"/>
    <m/>
    <m/>
    <m/>
    <m/>
    <m/>
    <m/>
    <m/>
    <n v="1"/>
    <m/>
    <m/>
    <m/>
    <m/>
    <m/>
    <m/>
    <m/>
    <n v="1"/>
    <m/>
    <m/>
    <m/>
    <m/>
    <m/>
    <m/>
    <m/>
    <n v="1"/>
    <m/>
    <m/>
    <m/>
    <m/>
    <m/>
    <n v="1"/>
    <m/>
    <m/>
    <m/>
    <m/>
    <m/>
    <m/>
    <m/>
    <m/>
    <m/>
    <n v="1"/>
    <m/>
    <m/>
    <n v="6"/>
  </r>
  <r>
    <x v="15"/>
    <x v="1"/>
    <n v="1798"/>
    <x v="1"/>
    <x v="3"/>
    <s v="RABEPRAZOLE SODIUM"/>
    <m/>
    <m/>
    <m/>
    <n v="1"/>
    <m/>
    <m/>
    <m/>
    <m/>
    <m/>
    <m/>
    <n v="1"/>
    <n v="2"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n v="6"/>
  </r>
  <r>
    <x v="15"/>
    <x v="1"/>
    <n v="7279"/>
    <x v="1"/>
    <x v="3"/>
    <s v="RABEPRAZOLE SOD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m/>
    <n v="4"/>
  </r>
  <r>
    <x v="15"/>
    <x v="1"/>
    <n v="7668"/>
    <x v="1"/>
    <x v="3"/>
    <s v="RABEPRAZOLE SODIUM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n v="3"/>
  </r>
  <r>
    <x v="15"/>
    <x v="1"/>
    <n v="9568"/>
    <x v="1"/>
    <x v="1"/>
    <s v="RANITIDINE HCL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3"/>
  </r>
  <r>
    <x v="15"/>
    <x v="1"/>
    <n v="1056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0565"/>
    <x v="1"/>
    <x v="3"/>
    <s v="PANTOPRAZOLE SOD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5"/>
    <x v="1"/>
    <n v="1206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861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9863"/>
    <x v="1"/>
    <x v="3"/>
    <s v="RABEPRAZOLE SODIUM"/>
    <n v="1"/>
    <m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x v="15"/>
    <x v="1"/>
    <n v="22347"/>
    <x v="1"/>
    <x v="3"/>
    <s v="OMEPRAZOLE"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27716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8417"/>
    <x v="0"/>
    <x v="3"/>
    <s v="RABEPRAZOLE SODIUM"/>
    <n v="1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n v="4"/>
  </r>
  <r>
    <x v="15"/>
    <x v="1"/>
    <n v="33535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3535"/>
    <x v="1"/>
    <x v="3"/>
    <s v="RABEPRAZOLE SODIUM"/>
    <m/>
    <n v="2"/>
    <m/>
    <m/>
    <m/>
    <n v="1"/>
    <m/>
    <m/>
    <m/>
    <n v="1"/>
    <n v="1"/>
    <m/>
    <m/>
    <m/>
    <n v="1"/>
    <m/>
    <m/>
    <m/>
    <n v="1"/>
    <m/>
    <n v="1"/>
    <m/>
    <m/>
    <m/>
    <n v="1"/>
    <m/>
    <m/>
    <m/>
    <n v="1"/>
    <m/>
    <m/>
    <m/>
    <n v="1"/>
    <m/>
    <m/>
    <m/>
    <n v="2"/>
    <m/>
    <m/>
    <n v="1"/>
    <m/>
    <m/>
    <n v="1"/>
    <m/>
    <m/>
    <m/>
    <n v="15"/>
  </r>
  <r>
    <x v="15"/>
    <x v="1"/>
    <n v="2067"/>
    <x v="0"/>
    <x v="3"/>
    <s v="OMEPRAZOLE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3"/>
  </r>
  <r>
    <x v="15"/>
    <x v="1"/>
    <n v="2067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439"/>
    <x v="0"/>
    <x v="3"/>
    <s v="RABEPRAZOLE SODIUM"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4"/>
  </r>
  <r>
    <x v="15"/>
    <x v="1"/>
    <n v="414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n v="2"/>
  </r>
  <r>
    <x v="15"/>
    <x v="1"/>
    <n v="526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</r>
  <r>
    <x v="15"/>
    <x v="1"/>
    <n v="589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891"/>
    <x v="0"/>
    <x v="3"/>
    <s v="RABEPRAZOLE SODIUM"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m/>
    <m/>
    <n v="3"/>
    <m/>
    <m/>
    <m/>
    <m/>
    <m/>
    <m/>
    <m/>
    <m/>
    <m/>
    <m/>
    <m/>
    <m/>
    <n v="6"/>
  </r>
  <r>
    <x v="15"/>
    <x v="1"/>
    <n v="10263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3"/>
  </r>
  <r>
    <x v="15"/>
    <x v="1"/>
    <n v="13071"/>
    <x v="0"/>
    <x v="3"/>
    <s v="OMEPRAZOLE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3"/>
  </r>
  <r>
    <x v="15"/>
    <x v="1"/>
    <n v="2045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932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3"/>
  </r>
  <r>
    <x v="15"/>
    <x v="1"/>
    <n v="6641"/>
    <x v="1"/>
    <x v="3"/>
    <s v="OMEPRAZOLE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15"/>
    <x v="1"/>
    <n v="795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5"/>
    <x v="1"/>
    <n v="7955"/>
    <x v="1"/>
    <x v="3"/>
    <s v="RABEPRAZOLE SOD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15"/>
    <x v="1"/>
    <n v="8223"/>
    <x v="1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8348"/>
    <x v="1"/>
    <x v="3"/>
    <s v="ESOMEPRAZOLE MAGNES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3"/>
  </r>
  <r>
    <x v="15"/>
    <x v="1"/>
    <n v="8503"/>
    <x v="1"/>
    <x v="4"/>
    <s v="SUCRALFATE"/>
    <n v="1"/>
    <m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n v="1"/>
    <n v="12"/>
  </r>
  <r>
    <x v="15"/>
    <x v="1"/>
    <n v="8503"/>
    <x v="1"/>
    <x v="3"/>
    <s v="RABEPRAZOLE SODIUM"/>
    <n v="1"/>
    <m/>
    <m/>
    <m/>
    <n v="1"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n v="1"/>
    <n v="12"/>
  </r>
  <r>
    <x v="15"/>
    <x v="1"/>
    <n v="8559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296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m/>
    <n v="1"/>
    <m/>
    <m/>
    <m/>
    <n v="1"/>
    <m/>
    <n v="5"/>
  </r>
  <r>
    <x v="15"/>
    <x v="1"/>
    <n v="12968"/>
    <x v="1"/>
    <x v="3"/>
    <s v="RABEPRAZOLE SODIUM"/>
    <m/>
    <m/>
    <m/>
    <m/>
    <n v="1"/>
    <n v="1"/>
    <m/>
    <m/>
    <m/>
    <n v="1"/>
    <m/>
    <m/>
    <m/>
    <n v="1"/>
    <m/>
    <m/>
    <m/>
    <n v="1"/>
    <m/>
    <m/>
    <m/>
    <n v="2"/>
    <m/>
    <m/>
    <n v="1"/>
    <m/>
    <m/>
    <m/>
    <n v="1"/>
    <m/>
    <m/>
    <m/>
    <n v="1"/>
    <m/>
    <n v="1"/>
    <m/>
    <m/>
    <m/>
    <m/>
    <m/>
    <m/>
    <m/>
    <m/>
    <m/>
    <m/>
    <m/>
    <n v="11"/>
  </r>
  <r>
    <x v="15"/>
    <x v="1"/>
    <n v="13070"/>
    <x v="1"/>
    <x v="3"/>
    <s v="RABEPRAZOLE SODIUM"/>
    <n v="1"/>
    <m/>
    <m/>
    <m/>
    <n v="1"/>
    <m/>
    <m/>
    <m/>
    <m/>
    <m/>
    <n v="1"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5"/>
  </r>
  <r>
    <x v="15"/>
    <x v="1"/>
    <n v="1718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5"/>
    <x v="1"/>
    <n v="773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5"/>
    <x v="1"/>
    <n v="7734"/>
    <x v="0"/>
    <x v="3"/>
    <s v="OMEPRAZOLE MAGNESIUM"/>
    <n v="1"/>
    <m/>
    <m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n v="1"/>
    <m/>
    <m/>
    <n v="6"/>
  </r>
  <r>
    <x v="15"/>
    <x v="1"/>
    <n v="663"/>
    <x v="1"/>
    <x v="1"/>
    <s v="RANITIDINE HCL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n v="2"/>
  </r>
  <r>
    <x v="15"/>
    <x v="1"/>
    <n v="663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n v="1"/>
    <m/>
    <m/>
    <m/>
    <m/>
    <n v="1"/>
    <m/>
    <m/>
    <m/>
    <n v="4"/>
  </r>
  <r>
    <x v="15"/>
    <x v="1"/>
    <n v="6323"/>
    <x v="1"/>
    <x v="3"/>
    <s v="RABEPRAZOLE SOD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3"/>
  </r>
  <r>
    <x v="15"/>
    <x v="1"/>
    <n v="10200"/>
    <x v="1"/>
    <x v="3"/>
    <s v="RABEPRAZOLE SODIUM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6"/>
  </r>
  <r>
    <x v="15"/>
    <x v="1"/>
    <n v="19144"/>
    <x v="1"/>
    <x v="3"/>
    <s v="RABEPRAZOLE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n v="4"/>
  </r>
  <r>
    <x v="15"/>
    <x v="1"/>
    <n v="6109"/>
    <x v="0"/>
    <x v="0"/>
    <s v="ATOR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15"/>
    <x v="1"/>
    <n v="6437"/>
    <x v="0"/>
    <x v="0"/>
    <s v="ROSUVASTATIN CALC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2"/>
    <m/>
    <m/>
    <m/>
    <m/>
    <m/>
    <n v="5"/>
  </r>
  <r>
    <x v="15"/>
    <x v="1"/>
    <n v="10039"/>
    <x v="0"/>
    <x v="0"/>
    <s v="SIMVASTATIN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n v="4"/>
  </r>
  <r>
    <x v="15"/>
    <x v="1"/>
    <n v="806"/>
    <x v="1"/>
    <x v="0"/>
    <s v="ATORVASTATIN CALCIUM"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n v="1"/>
    <m/>
    <m/>
    <m/>
    <m/>
    <m/>
    <m/>
    <m/>
    <m/>
    <m/>
    <n v="3"/>
  </r>
  <r>
    <x v="15"/>
    <x v="1"/>
    <n v="2190"/>
    <x v="1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n v="2"/>
    <m/>
    <m/>
    <m/>
    <m/>
    <m/>
    <m/>
    <m/>
    <m/>
    <m/>
    <m/>
    <m/>
    <n v="5"/>
  </r>
  <r>
    <x v="15"/>
    <x v="1"/>
    <n v="3502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5"/>
    <x v="1"/>
    <n v="5315"/>
    <x v="1"/>
    <x v="0"/>
    <s v="FLUVASTATIN SODIUM"/>
    <m/>
    <m/>
    <m/>
    <n v="1"/>
    <m/>
    <m/>
    <m/>
    <m/>
    <n v="1"/>
    <m/>
    <m/>
    <m/>
    <m/>
    <n v="2"/>
    <m/>
    <m/>
    <m/>
    <m/>
    <n v="1"/>
    <m/>
    <m/>
    <m/>
    <m/>
    <n v="1"/>
    <m/>
    <m/>
    <n v="1"/>
    <n v="1"/>
    <m/>
    <m/>
    <m/>
    <m/>
    <m/>
    <n v="1"/>
    <m/>
    <m/>
    <m/>
    <m/>
    <m/>
    <m/>
    <n v="1"/>
    <m/>
    <m/>
    <m/>
    <m/>
    <m/>
    <n v="10"/>
  </r>
  <r>
    <x v="15"/>
    <x v="1"/>
    <n v="5387"/>
    <x v="1"/>
    <x v="0"/>
    <s v="SIMVASTATIN"/>
    <m/>
    <m/>
    <m/>
    <m/>
    <m/>
    <m/>
    <m/>
    <m/>
    <m/>
    <m/>
    <m/>
    <m/>
    <m/>
    <n v="1"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5"/>
  </r>
  <r>
    <x v="15"/>
    <x v="1"/>
    <n v="599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5"/>
    <x v="1"/>
    <n v="6060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15"/>
    <x v="1"/>
    <n v="7727"/>
    <x v="1"/>
    <x v="0"/>
    <s v="SIMVASTATIN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m/>
    <m/>
    <m/>
    <n v="4"/>
  </r>
  <r>
    <x v="15"/>
    <x v="1"/>
    <n v="8305"/>
    <x v="1"/>
    <x v="0"/>
    <s v="ATOR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n v="3"/>
  </r>
  <r>
    <x v="15"/>
    <x v="1"/>
    <n v="10753"/>
    <x v="1"/>
    <x v="0"/>
    <s v="ATORVASTATIN CALCIUM"/>
    <m/>
    <m/>
    <m/>
    <m/>
    <m/>
    <m/>
    <m/>
    <n v="1"/>
    <n v="1"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n v="5"/>
  </r>
  <r>
    <x v="15"/>
    <x v="1"/>
    <n v="11249"/>
    <x v="1"/>
    <x v="0"/>
    <s v="SIMVASTATIN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n v="4"/>
  </r>
  <r>
    <x v="15"/>
    <x v="1"/>
    <n v="1304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5"/>
    <x v="1"/>
    <n v="13582"/>
    <x v="1"/>
    <x v="0"/>
    <s v="ROSU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15"/>
    <x v="1"/>
    <n v="14126"/>
    <x v="1"/>
    <x v="0"/>
    <s v="ATOR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5"/>
    <x v="1"/>
    <n v="17187"/>
    <x v="1"/>
    <x v="8"/>
    <s v="FENOFIBRATE, MICROCOAT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7187"/>
    <x v="1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718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5"/>
    <x v="1"/>
    <n v="17554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3"/>
  </r>
  <r>
    <x v="15"/>
    <x v="1"/>
    <n v="19214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5"/>
    <x v="1"/>
    <n v="21273"/>
    <x v="1"/>
    <x v="8"/>
    <s v="FENOFIBRATE, MICROCOATED"/>
    <m/>
    <m/>
    <m/>
    <m/>
    <n v="1"/>
    <m/>
    <m/>
    <m/>
    <m/>
    <m/>
    <m/>
    <m/>
    <n v="1"/>
    <m/>
    <m/>
    <m/>
    <m/>
    <m/>
    <m/>
    <m/>
    <m/>
    <m/>
    <n v="1"/>
    <m/>
    <m/>
    <m/>
    <m/>
    <m/>
    <m/>
    <m/>
    <m/>
    <n v="1"/>
    <m/>
    <m/>
    <m/>
    <m/>
    <m/>
    <m/>
    <m/>
    <n v="1"/>
    <m/>
    <m/>
    <m/>
    <m/>
    <m/>
    <m/>
    <n v="5"/>
  </r>
  <r>
    <x v="15"/>
    <x v="1"/>
    <n v="21273"/>
    <x v="1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5"/>
    <x v="1"/>
    <n v="21767"/>
    <x v="1"/>
    <x v="0"/>
    <s v="ATORVASTATIN CALCIUM"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n v="3"/>
  </r>
  <r>
    <x v="15"/>
    <x v="1"/>
    <n v="23597"/>
    <x v="1"/>
    <x v="0"/>
    <s v="ATOR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23616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3"/>
  </r>
  <r>
    <x v="15"/>
    <x v="1"/>
    <n v="2738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8384"/>
    <x v="1"/>
    <x v="0"/>
    <s v="SIMVASTATIN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28872"/>
    <x v="1"/>
    <x v="0"/>
    <s v="ATORVASTATIN CALCIUM"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3"/>
  </r>
  <r>
    <x v="15"/>
    <x v="1"/>
    <n v="33099"/>
    <x v="1"/>
    <x v="0"/>
    <s v="SIMVASTATIN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4"/>
  </r>
  <r>
    <x v="15"/>
    <x v="1"/>
    <n v="5938"/>
    <x v="0"/>
    <x v="0"/>
    <s v="ATOR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5"/>
    <x v="1"/>
    <n v="6247"/>
    <x v="0"/>
    <x v="0"/>
    <s v="ATORVASTATIN CALCIUM"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4"/>
  </r>
  <r>
    <x v="15"/>
    <x v="1"/>
    <n v="7271"/>
    <x v="0"/>
    <x v="0"/>
    <s v="SIMVASTATIN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1"/>
    <m/>
    <n v="1"/>
    <m/>
    <m/>
    <m/>
    <m/>
    <m/>
    <m/>
    <m/>
    <m/>
    <m/>
    <n v="4"/>
  </r>
  <r>
    <x v="15"/>
    <x v="1"/>
    <n v="8695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9740"/>
    <x v="0"/>
    <x v="0"/>
    <s v="ROSUVASTATIN CALCIUM"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9740"/>
    <x v="0"/>
    <x v="0"/>
    <s v="SIMVASTATIN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0114"/>
    <x v="0"/>
    <x v="0"/>
    <s v="ATORVASTATIN CALC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3"/>
  </r>
  <r>
    <x v="15"/>
    <x v="1"/>
    <n v="21772"/>
    <x v="0"/>
    <x v="0"/>
    <s v="ATORVASTATIN CALCIUM"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3607"/>
    <x v="1"/>
    <x v="0"/>
    <s v="SIMVASTATIN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4"/>
  </r>
  <r>
    <x v="15"/>
    <x v="1"/>
    <n v="5444"/>
    <x v="1"/>
    <x v="0"/>
    <s v="ROSUVASTATIN CALCIUM"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n v="3"/>
  </r>
  <r>
    <x v="15"/>
    <x v="1"/>
    <n v="6083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3"/>
  </r>
  <r>
    <x v="15"/>
    <x v="1"/>
    <n v="7311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n v="3"/>
  </r>
  <r>
    <x v="15"/>
    <x v="1"/>
    <n v="9706"/>
    <x v="1"/>
    <x v="0"/>
    <s v="ATORVASTATIN CALCIUM"/>
    <m/>
    <m/>
    <m/>
    <m/>
    <m/>
    <m/>
    <m/>
    <m/>
    <n v="2"/>
    <m/>
    <m/>
    <m/>
    <m/>
    <m/>
    <n v="1"/>
    <m/>
    <m/>
    <m/>
    <m/>
    <m/>
    <m/>
    <m/>
    <m/>
    <m/>
    <m/>
    <m/>
    <m/>
    <n v="2"/>
    <m/>
    <m/>
    <m/>
    <m/>
    <m/>
    <m/>
    <m/>
    <n v="1"/>
    <m/>
    <m/>
    <n v="1"/>
    <m/>
    <m/>
    <m/>
    <m/>
    <m/>
    <m/>
    <m/>
    <n v="7"/>
  </r>
  <r>
    <x v="15"/>
    <x v="1"/>
    <n v="9706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1"/>
    <m/>
    <m/>
    <m/>
    <m/>
    <m/>
    <m/>
    <m/>
    <m/>
    <n v="3"/>
  </r>
  <r>
    <x v="15"/>
    <x v="1"/>
    <n v="10565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5"/>
    <x v="1"/>
    <n v="10705"/>
    <x v="1"/>
    <x v="0"/>
    <s v="ATORVASTATIN CALCIUM"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13066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4">
  <r>
    <x v="0"/>
    <x v="0"/>
    <n v="4013"/>
    <x v="0"/>
    <x v="0"/>
    <s v="ROSUVASTATIN CALCIUM"/>
    <m/>
    <m/>
    <m/>
    <n v="1"/>
    <m/>
    <m/>
    <m/>
    <m/>
    <n v="1"/>
    <m/>
    <m/>
    <m/>
    <m/>
    <n v="1"/>
    <m/>
    <m/>
    <m/>
    <n v="1"/>
    <m/>
    <m/>
    <m/>
    <n v="1"/>
    <m/>
    <m/>
    <m/>
    <m/>
    <n v="2"/>
    <m/>
    <m/>
    <n v="7"/>
  </r>
  <r>
    <x v="0"/>
    <x v="0"/>
    <n v="1023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1755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3352"/>
    <x v="0"/>
    <x v="3"/>
    <s v="LANSOPRAZOLE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0"/>
    <x v="0"/>
    <n v="14169"/>
    <x v="0"/>
    <x v="1"/>
    <s v="CIMETIDINE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0"/>
    <x v="0"/>
    <n v="14274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5118"/>
    <x v="0"/>
    <x v="1"/>
    <s v="RANITIDINE HCL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0"/>
    <x v="0"/>
    <n v="15469"/>
    <x v="0"/>
    <x v="0"/>
    <s v="ROSUVASTATIN CALCIUM"/>
    <m/>
    <n v="1"/>
    <m/>
    <m/>
    <m/>
    <m/>
    <m/>
    <n v="1"/>
    <m/>
    <m/>
    <m/>
    <n v="1"/>
    <m/>
    <m/>
    <m/>
    <m/>
    <n v="1"/>
    <m/>
    <m/>
    <m/>
    <m/>
    <m/>
    <m/>
    <n v="1"/>
    <m/>
    <m/>
    <m/>
    <m/>
    <n v="1"/>
    <n v="6"/>
  </r>
  <r>
    <x v="0"/>
    <x v="0"/>
    <n v="17706"/>
    <x v="0"/>
    <x v="2"/>
    <s v="MISOPROSTOL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</r>
  <r>
    <x v="0"/>
    <x v="0"/>
    <n v="18578"/>
    <x v="0"/>
    <x v="2"/>
    <s v="MISOPROSTOL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</r>
  <r>
    <x v="0"/>
    <x v="0"/>
    <n v="20802"/>
    <x v="0"/>
    <x v="2"/>
    <s v="MISOPROSTOL"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</r>
  <r>
    <x v="0"/>
    <x v="0"/>
    <n v="2084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0"/>
    <x v="0"/>
    <n v="21263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0"/>
    <x v="0"/>
    <n v="2146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3618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189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0"/>
    <x v="0"/>
    <n v="33272"/>
    <x v="0"/>
    <x v="2"/>
    <s v="MISOPROSTOL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0"/>
    <x v="0"/>
    <n v="2057"/>
    <x v="1"/>
    <x v="3"/>
    <s v="RABEPRAZOLE SODIUM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2"/>
  </r>
  <r>
    <x v="0"/>
    <x v="0"/>
    <n v="2352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n v="2"/>
  </r>
  <r>
    <x v="0"/>
    <x v="0"/>
    <n v="2665"/>
    <x v="1"/>
    <x v="0"/>
    <s v="ATORVASTATIN CALCIUM"/>
    <n v="1"/>
    <n v="1"/>
    <n v="1"/>
    <n v="2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n v="27"/>
  </r>
  <r>
    <x v="0"/>
    <x v="0"/>
    <n v="4135"/>
    <x v="1"/>
    <x v="0"/>
    <s v="ATORVASTATIN CALCIUM"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0"/>
    <x v="0"/>
    <n v="5954"/>
    <x v="1"/>
    <x v="5"/>
    <s v="NIACIN"/>
    <m/>
    <m/>
    <m/>
    <m/>
    <m/>
    <n v="2"/>
    <m/>
    <m/>
    <m/>
    <m/>
    <m/>
    <m/>
    <m/>
    <m/>
    <m/>
    <m/>
    <m/>
    <m/>
    <m/>
    <n v="5"/>
    <m/>
    <m/>
    <m/>
    <m/>
    <m/>
    <m/>
    <m/>
    <m/>
    <m/>
    <n v="7"/>
  </r>
  <r>
    <x v="0"/>
    <x v="0"/>
    <n v="773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</r>
  <r>
    <x v="0"/>
    <x v="0"/>
    <n v="9791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0"/>
    <x v="0"/>
    <n v="10789"/>
    <x v="1"/>
    <x v="0"/>
    <s v="ROSUVASTATIN CALC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0"/>
    <x v="0"/>
    <n v="10789"/>
    <x v="1"/>
    <x v="6"/>
    <s v="EZETIMIBE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0"/>
    <x v="0"/>
    <n v="10952"/>
    <x v="1"/>
    <x v="0"/>
    <s v="ATORVASTATIN CALCIUM"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n v="2"/>
  </r>
  <r>
    <x v="0"/>
    <x v="0"/>
    <n v="13046"/>
    <x v="1"/>
    <x v="1"/>
    <s v="RANITIDINE HCL"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n v="3"/>
  </r>
  <r>
    <x v="0"/>
    <x v="0"/>
    <n v="14190"/>
    <x v="1"/>
    <x v="0"/>
    <s v="ATORVASTATIN CALCIUM"/>
    <m/>
    <m/>
    <m/>
    <m/>
    <m/>
    <m/>
    <m/>
    <m/>
    <m/>
    <m/>
    <m/>
    <m/>
    <m/>
    <m/>
    <m/>
    <m/>
    <m/>
    <m/>
    <m/>
    <m/>
    <m/>
    <n v="2"/>
    <m/>
    <m/>
    <m/>
    <m/>
    <n v="1"/>
    <m/>
    <m/>
    <n v="3"/>
  </r>
  <r>
    <x v="0"/>
    <x v="0"/>
    <n v="14190"/>
    <x v="1"/>
    <x v="3"/>
    <s v="OMEPRAZOLE MAGNESIUM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</r>
  <r>
    <x v="0"/>
    <x v="0"/>
    <n v="18729"/>
    <x v="1"/>
    <x v="0"/>
    <s v="SIMVASTATIN"/>
    <m/>
    <m/>
    <m/>
    <n v="1"/>
    <m/>
    <m/>
    <m/>
    <m/>
    <n v="1"/>
    <m/>
    <m/>
    <n v="1"/>
    <m/>
    <m/>
    <m/>
    <m/>
    <m/>
    <n v="1"/>
    <m/>
    <m/>
    <m/>
    <n v="1"/>
    <m/>
    <m/>
    <m/>
    <m/>
    <n v="1"/>
    <m/>
    <m/>
    <n v="6"/>
  </r>
  <r>
    <x v="0"/>
    <x v="0"/>
    <n v="2259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7792"/>
    <x v="1"/>
    <x v="3"/>
    <s v="RABEPRAZOLE SODIUM"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</r>
  <r>
    <x v="0"/>
    <x v="0"/>
    <n v="30342"/>
    <x v="1"/>
    <x v="1"/>
    <s v="RANITIDINE HCL"/>
    <m/>
    <m/>
    <m/>
    <m/>
    <m/>
    <m/>
    <m/>
    <m/>
    <m/>
    <m/>
    <m/>
    <n v="1"/>
    <n v="1"/>
    <n v="1"/>
    <n v="1"/>
    <m/>
    <n v="1"/>
    <m/>
    <m/>
    <m/>
    <m/>
    <m/>
    <m/>
    <m/>
    <m/>
    <n v="1"/>
    <m/>
    <m/>
    <m/>
    <n v="6"/>
  </r>
  <r>
    <x v="0"/>
    <x v="0"/>
    <n v="3034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328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3280"/>
    <x v="1"/>
    <x v="3"/>
    <s v="PANTOPRAZOLE MAGNESIUM"/>
    <m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m/>
    <n v="6"/>
  </r>
  <r>
    <x v="0"/>
    <x v="0"/>
    <n v="969"/>
    <x v="0"/>
    <x v="3"/>
    <s v="RABEPRAZOLE SODIUM"/>
    <n v="1"/>
    <n v="1"/>
    <n v="1"/>
    <n v="1"/>
    <n v="1"/>
    <n v="1"/>
    <m/>
    <n v="1"/>
    <n v="1"/>
    <n v="1"/>
    <n v="1"/>
    <n v="1"/>
    <n v="1"/>
    <n v="1"/>
    <n v="1"/>
    <m/>
    <m/>
    <m/>
    <m/>
    <m/>
    <m/>
    <m/>
    <m/>
    <m/>
    <m/>
    <m/>
    <m/>
    <m/>
    <m/>
    <n v="14"/>
  </r>
  <r>
    <x v="0"/>
    <x v="0"/>
    <n v="975"/>
    <x v="0"/>
    <x v="0"/>
    <s v="ATORVASTATIN CALCIUM"/>
    <m/>
    <m/>
    <m/>
    <n v="1"/>
    <m/>
    <m/>
    <m/>
    <m/>
    <m/>
    <m/>
    <m/>
    <m/>
    <m/>
    <m/>
    <m/>
    <m/>
    <m/>
    <n v="1"/>
    <m/>
    <m/>
    <m/>
    <n v="1"/>
    <m/>
    <m/>
    <n v="3"/>
    <n v="2"/>
    <n v="2"/>
    <m/>
    <m/>
    <n v="10"/>
  </r>
  <r>
    <x v="0"/>
    <x v="0"/>
    <n v="1950"/>
    <x v="0"/>
    <x v="0"/>
    <s v="ATORVASTATIN CALCIUM"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0"/>
    <x v="0"/>
    <n v="225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524"/>
    <x v="0"/>
    <x v="3"/>
    <s v="RABEPRAZOLE SODIUM"/>
    <m/>
    <m/>
    <m/>
    <m/>
    <m/>
    <m/>
    <m/>
    <m/>
    <m/>
    <m/>
    <n v="2"/>
    <m/>
    <m/>
    <m/>
    <m/>
    <m/>
    <m/>
    <m/>
    <m/>
    <m/>
    <m/>
    <m/>
    <m/>
    <n v="1"/>
    <m/>
    <m/>
    <m/>
    <m/>
    <m/>
    <n v="3"/>
  </r>
  <r>
    <x v="0"/>
    <x v="0"/>
    <n v="2931"/>
    <x v="0"/>
    <x v="0"/>
    <s v="ATORVASTATIN CALCIUM"/>
    <n v="1"/>
    <n v="1"/>
    <n v="1"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7"/>
  </r>
  <r>
    <x v="0"/>
    <x v="0"/>
    <n v="4062"/>
    <x v="0"/>
    <x v="0"/>
    <s v="SIMVASTATIN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4137"/>
    <x v="0"/>
    <x v="1"/>
    <s v="RANITIDINE HCL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0"/>
    <x v="0"/>
    <n v="4235"/>
    <x v="0"/>
    <x v="3"/>
    <s v="RABEPRAZOLE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0"/>
    <x v="0"/>
    <n v="4296"/>
    <x v="0"/>
    <x v="3"/>
    <s v="RABEPRAZOLE SODIUM"/>
    <m/>
    <n v="1"/>
    <m/>
    <m/>
    <m/>
    <n v="1"/>
    <m/>
    <m/>
    <m/>
    <m/>
    <m/>
    <m/>
    <m/>
    <m/>
    <m/>
    <m/>
    <m/>
    <m/>
    <m/>
    <n v="1"/>
    <m/>
    <m/>
    <m/>
    <m/>
    <n v="1"/>
    <m/>
    <m/>
    <m/>
    <m/>
    <n v="4"/>
  </r>
  <r>
    <x v="0"/>
    <x v="0"/>
    <n v="6308"/>
    <x v="0"/>
    <x v="0"/>
    <s v="ROSUVASTATIN CALCIUM"/>
    <m/>
    <m/>
    <n v="1"/>
    <m/>
    <n v="1"/>
    <m/>
    <m/>
    <m/>
    <n v="1"/>
    <m/>
    <m/>
    <m/>
    <n v="1"/>
    <m/>
    <m/>
    <m/>
    <m/>
    <n v="1"/>
    <m/>
    <m/>
    <n v="1"/>
    <m/>
    <m/>
    <n v="1"/>
    <m/>
    <m/>
    <m/>
    <m/>
    <n v="1"/>
    <n v="8"/>
  </r>
  <r>
    <x v="0"/>
    <x v="0"/>
    <n v="6802"/>
    <x v="0"/>
    <x v="0"/>
    <s v="ROSU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7495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111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952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952"/>
    <x v="0"/>
    <x v="3"/>
    <s v="RABEPRAZOLE SODIUM"/>
    <m/>
    <m/>
    <m/>
    <n v="1"/>
    <m/>
    <m/>
    <m/>
    <n v="1"/>
    <n v="1"/>
    <m/>
    <m/>
    <m/>
    <m/>
    <n v="1"/>
    <m/>
    <m/>
    <m/>
    <n v="1"/>
    <m/>
    <m/>
    <m/>
    <n v="1"/>
    <m/>
    <m/>
    <m/>
    <m/>
    <n v="1"/>
    <m/>
    <m/>
    <n v="7"/>
  </r>
  <r>
    <x v="0"/>
    <x v="0"/>
    <n v="10090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009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0777"/>
    <x v="0"/>
    <x v="3"/>
    <s v="PANTOPRAZOLE SODIUM"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n v="2"/>
  </r>
  <r>
    <x v="0"/>
    <x v="0"/>
    <n v="10790"/>
    <x v="0"/>
    <x v="3"/>
    <s v="OMEPRAZOLE MAGNES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079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0983"/>
    <x v="0"/>
    <x v="3"/>
    <s v="OMEPRAZOLE"/>
    <m/>
    <n v="1"/>
    <m/>
    <m/>
    <m/>
    <m/>
    <m/>
    <n v="1"/>
    <m/>
    <m/>
    <m/>
    <m/>
    <n v="1"/>
    <m/>
    <m/>
    <n v="1"/>
    <m/>
    <m/>
    <m/>
    <m/>
    <n v="1"/>
    <m/>
    <m/>
    <m/>
    <n v="1"/>
    <m/>
    <m/>
    <m/>
    <m/>
    <n v="6"/>
  </r>
  <r>
    <x v="0"/>
    <x v="0"/>
    <n v="12497"/>
    <x v="0"/>
    <x v="3"/>
    <s v="PANTOPRAZOLE MAGNESIUM"/>
    <m/>
    <m/>
    <m/>
    <m/>
    <m/>
    <n v="1"/>
    <m/>
    <n v="1"/>
    <m/>
    <m/>
    <m/>
    <m/>
    <n v="1"/>
    <m/>
    <m/>
    <n v="1"/>
    <m/>
    <m/>
    <m/>
    <m/>
    <n v="1"/>
    <m/>
    <m/>
    <m/>
    <n v="1"/>
    <m/>
    <m/>
    <m/>
    <m/>
    <n v="6"/>
  </r>
  <r>
    <x v="0"/>
    <x v="0"/>
    <n v="12497"/>
    <x v="0"/>
    <x v="3"/>
    <s v="PANTOPRAZOLE SODIUM"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n v="2"/>
  </r>
  <r>
    <x v="0"/>
    <x v="0"/>
    <n v="1334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3345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3672"/>
    <x v="0"/>
    <x v="7"/>
    <s v="PINAVERIUM BROMIDE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0"/>
    <x v="0"/>
    <n v="13672"/>
    <x v="0"/>
    <x v="4"/>
    <s v="SUCRALFATE"/>
    <m/>
    <m/>
    <m/>
    <m/>
    <m/>
    <m/>
    <m/>
    <m/>
    <m/>
    <m/>
    <n v="1"/>
    <m/>
    <m/>
    <m/>
    <m/>
    <m/>
    <m/>
    <m/>
    <n v="1"/>
    <m/>
    <m/>
    <m/>
    <m/>
    <n v="1"/>
    <m/>
    <m/>
    <m/>
    <m/>
    <m/>
    <n v="3"/>
  </r>
  <r>
    <x v="0"/>
    <x v="0"/>
    <n v="13672"/>
    <x v="0"/>
    <x v="3"/>
    <s v="OMEPRAZOLE MAGNESIUM"/>
    <m/>
    <m/>
    <m/>
    <n v="2"/>
    <m/>
    <m/>
    <m/>
    <m/>
    <n v="2"/>
    <m/>
    <m/>
    <m/>
    <n v="1"/>
    <m/>
    <m/>
    <m/>
    <n v="1"/>
    <m/>
    <m/>
    <m/>
    <m/>
    <n v="1"/>
    <m/>
    <m/>
    <m/>
    <m/>
    <m/>
    <m/>
    <m/>
    <n v="7"/>
  </r>
  <r>
    <x v="0"/>
    <x v="0"/>
    <n v="1452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452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4526"/>
    <x v="0"/>
    <x v="0"/>
    <s v="SIMVASTATIN"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7"/>
  </r>
  <r>
    <x v="0"/>
    <x v="0"/>
    <n v="14715"/>
    <x v="0"/>
    <x v="3"/>
    <s v="PANTOPRAZOLE MAGNESIUM"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n v="2"/>
  </r>
  <r>
    <x v="0"/>
    <x v="0"/>
    <n v="15286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5286"/>
    <x v="0"/>
    <x v="1"/>
    <s v="RANITIDINE HCL"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0"/>
    <x v="0"/>
    <n v="17464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0"/>
    <x v="0"/>
    <n v="20772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9130"/>
    <x v="0"/>
    <x v="0"/>
    <s v="ROSUVASTATIN CALCIUM"/>
    <m/>
    <m/>
    <m/>
    <m/>
    <m/>
    <m/>
    <m/>
    <m/>
    <m/>
    <m/>
    <n v="1"/>
    <m/>
    <m/>
    <m/>
    <m/>
    <m/>
    <n v="1"/>
    <m/>
    <m/>
    <m/>
    <m/>
    <n v="1"/>
    <m/>
    <m/>
    <m/>
    <m/>
    <m/>
    <m/>
    <m/>
    <n v="3"/>
  </r>
  <r>
    <x v="0"/>
    <x v="0"/>
    <n v="31836"/>
    <x v="0"/>
    <x v="2"/>
    <s v="MISOPROSTOL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595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913"/>
    <x v="1"/>
    <x v="0"/>
    <s v="ROSUVASTATIN CALCIUM"/>
    <m/>
    <m/>
    <m/>
    <n v="1"/>
    <m/>
    <m/>
    <m/>
    <n v="2"/>
    <m/>
    <m/>
    <m/>
    <m/>
    <m/>
    <m/>
    <m/>
    <m/>
    <m/>
    <m/>
    <m/>
    <m/>
    <m/>
    <m/>
    <m/>
    <n v="3"/>
    <m/>
    <m/>
    <m/>
    <m/>
    <m/>
    <n v="6"/>
  </r>
  <r>
    <x v="0"/>
    <x v="0"/>
    <n v="2034"/>
    <x v="1"/>
    <x v="3"/>
    <s v="PANTOPRAZOLE MAGNES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0"/>
    <x v="0"/>
    <n v="237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73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042"/>
    <x v="1"/>
    <x v="0"/>
    <s v="LO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042"/>
    <x v="1"/>
    <x v="0"/>
    <s v="SIMVASTATIN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0"/>
    <x v="0"/>
    <n v="3042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258"/>
    <x v="1"/>
    <x v="0"/>
    <s v="ROSUVASTATIN CALCIUM"/>
    <m/>
    <m/>
    <n v="1"/>
    <m/>
    <m/>
    <m/>
    <m/>
    <m/>
    <n v="1"/>
    <m/>
    <m/>
    <m/>
    <n v="1"/>
    <m/>
    <m/>
    <m/>
    <m/>
    <m/>
    <n v="1"/>
    <n v="1"/>
    <m/>
    <m/>
    <m/>
    <n v="1"/>
    <m/>
    <m/>
    <m/>
    <m/>
    <m/>
    <n v="6"/>
  </r>
  <r>
    <x v="0"/>
    <x v="0"/>
    <n v="3258"/>
    <x v="1"/>
    <x v="3"/>
    <s v="RABEPRAZOLE SODIUM"/>
    <m/>
    <m/>
    <n v="1"/>
    <m/>
    <m/>
    <m/>
    <m/>
    <m/>
    <n v="1"/>
    <m/>
    <m/>
    <m/>
    <n v="1"/>
    <m/>
    <m/>
    <m/>
    <m/>
    <m/>
    <n v="1"/>
    <n v="1"/>
    <m/>
    <m/>
    <m/>
    <n v="1"/>
    <m/>
    <n v="2"/>
    <m/>
    <m/>
    <m/>
    <n v="8"/>
  </r>
  <r>
    <x v="0"/>
    <x v="0"/>
    <n v="5217"/>
    <x v="1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5217"/>
    <x v="1"/>
    <x v="3"/>
    <s v="PANTOPRAZOLE MAGNESIUM"/>
    <m/>
    <m/>
    <n v="1"/>
    <m/>
    <m/>
    <m/>
    <m/>
    <m/>
    <n v="1"/>
    <m/>
    <m/>
    <m/>
    <n v="1"/>
    <m/>
    <m/>
    <m/>
    <m/>
    <m/>
    <n v="1"/>
    <m/>
    <m/>
    <m/>
    <m/>
    <m/>
    <n v="1"/>
    <m/>
    <m/>
    <m/>
    <m/>
    <n v="5"/>
  </r>
  <r>
    <x v="0"/>
    <x v="0"/>
    <n v="5297"/>
    <x v="1"/>
    <x v="3"/>
    <s v="LANSOPRAZOLE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0"/>
    <x v="0"/>
    <n v="5510"/>
    <x v="1"/>
    <x v="1"/>
    <s v="RANITIDINE HCL"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</r>
  <r>
    <x v="0"/>
    <x v="0"/>
    <n v="5920"/>
    <x v="1"/>
    <x v="0"/>
    <s v="ROSUVASTATIN CALCIUM"/>
    <m/>
    <m/>
    <n v="2"/>
    <m/>
    <m/>
    <m/>
    <m/>
    <m/>
    <n v="2"/>
    <m/>
    <m/>
    <m/>
    <n v="2"/>
    <m/>
    <m/>
    <m/>
    <m/>
    <m/>
    <n v="2"/>
    <m/>
    <m/>
    <m/>
    <m/>
    <n v="2"/>
    <m/>
    <m/>
    <m/>
    <m/>
    <n v="2"/>
    <n v="12"/>
  </r>
  <r>
    <x v="0"/>
    <x v="0"/>
    <n v="6036"/>
    <x v="1"/>
    <x v="0"/>
    <s v="ATORVASTATIN CALCIUM"/>
    <m/>
    <m/>
    <m/>
    <n v="1"/>
    <m/>
    <m/>
    <m/>
    <m/>
    <n v="1"/>
    <m/>
    <m/>
    <m/>
    <m/>
    <n v="1"/>
    <m/>
    <m/>
    <m/>
    <n v="2"/>
    <m/>
    <m/>
    <m/>
    <n v="1"/>
    <m/>
    <m/>
    <m/>
    <m/>
    <m/>
    <m/>
    <m/>
    <n v="6"/>
  </r>
  <r>
    <x v="0"/>
    <x v="0"/>
    <n v="6036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n v="2"/>
  </r>
  <r>
    <x v="0"/>
    <x v="0"/>
    <n v="6249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6249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6249"/>
    <x v="1"/>
    <x v="3"/>
    <s v="PANTOPRAZOLE MAGNESIUM"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n v="2"/>
  </r>
  <r>
    <x v="0"/>
    <x v="0"/>
    <n v="7021"/>
    <x v="1"/>
    <x v="0"/>
    <s v="ROSUVASTATIN CALCIUM"/>
    <m/>
    <n v="1"/>
    <m/>
    <m/>
    <m/>
    <m/>
    <m/>
    <m/>
    <n v="1"/>
    <m/>
    <m/>
    <m/>
    <n v="1"/>
    <m/>
    <n v="1"/>
    <m/>
    <m/>
    <m/>
    <n v="1"/>
    <m/>
    <m/>
    <m/>
    <n v="1"/>
    <m/>
    <m/>
    <m/>
    <m/>
    <m/>
    <m/>
    <n v="6"/>
  </r>
  <r>
    <x v="0"/>
    <x v="0"/>
    <n v="7351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8000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0"/>
    <x v="0"/>
    <n v="810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8497"/>
    <x v="1"/>
    <x v="1"/>
    <s v="RANITIDINE HCL"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n v="2"/>
  </r>
  <r>
    <x v="0"/>
    <x v="0"/>
    <n v="8497"/>
    <x v="1"/>
    <x v="3"/>
    <s v="PANTOPRAZOLE MAGNES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0"/>
    <x v="0"/>
    <n v="1011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011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0110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1938"/>
    <x v="1"/>
    <x v="0"/>
    <s v="SIMVASTATIN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0"/>
    <x v="0"/>
    <n v="13514"/>
    <x v="1"/>
    <x v="3"/>
    <s v="ESOMEPRAZOLE MAGNESIUM"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n v="3"/>
  </r>
  <r>
    <x v="0"/>
    <x v="0"/>
    <n v="13589"/>
    <x v="1"/>
    <x v="0"/>
    <s v="ROSUVASTATIN CALCIUM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n v="6"/>
  </r>
  <r>
    <x v="0"/>
    <x v="0"/>
    <n v="14378"/>
    <x v="1"/>
    <x v="1"/>
    <s v="RANITIDINE HCL"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n v="2"/>
  </r>
  <r>
    <x v="0"/>
    <x v="0"/>
    <n v="15751"/>
    <x v="1"/>
    <x v="3"/>
    <s v="OMEPRAZOLE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0"/>
    <x v="0"/>
    <n v="1592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6032"/>
    <x v="1"/>
    <x v="0"/>
    <s v="ROSUVASTATIN CALCIUM"/>
    <m/>
    <m/>
    <m/>
    <m/>
    <m/>
    <m/>
    <m/>
    <m/>
    <m/>
    <m/>
    <m/>
    <m/>
    <m/>
    <m/>
    <m/>
    <n v="1"/>
    <m/>
    <m/>
    <m/>
    <n v="1"/>
    <m/>
    <m/>
    <m/>
    <n v="3"/>
    <m/>
    <m/>
    <m/>
    <m/>
    <n v="1"/>
    <n v="6"/>
  </r>
  <r>
    <x v="0"/>
    <x v="0"/>
    <n v="16032"/>
    <x v="1"/>
    <x v="3"/>
    <s v="RABEPRAZOLE SODIUM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</r>
  <r>
    <x v="0"/>
    <x v="0"/>
    <n v="17238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7499"/>
    <x v="1"/>
    <x v="3"/>
    <s v="PANTOPRAZOLE MAGNESIUM"/>
    <m/>
    <m/>
    <m/>
    <m/>
    <m/>
    <m/>
    <m/>
    <m/>
    <m/>
    <m/>
    <m/>
    <m/>
    <m/>
    <m/>
    <n v="2"/>
    <m/>
    <m/>
    <n v="1"/>
    <m/>
    <m/>
    <m/>
    <m/>
    <m/>
    <n v="1"/>
    <m/>
    <m/>
    <m/>
    <m/>
    <n v="1"/>
    <n v="5"/>
  </r>
  <r>
    <x v="0"/>
    <x v="0"/>
    <n v="18128"/>
    <x v="1"/>
    <x v="1"/>
    <s v="RANITIDINE HCL"/>
    <m/>
    <m/>
    <m/>
    <m/>
    <m/>
    <m/>
    <m/>
    <m/>
    <m/>
    <m/>
    <m/>
    <m/>
    <m/>
    <m/>
    <m/>
    <m/>
    <m/>
    <n v="3"/>
    <n v="1"/>
    <n v="1"/>
    <n v="1"/>
    <n v="1"/>
    <n v="1"/>
    <n v="1"/>
    <n v="1"/>
    <n v="1"/>
    <n v="1"/>
    <m/>
    <n v="1"/>
    <n v="13"/>
  </r>
  <r>
    <x v="0"/>
    <x v="0"/>
    <n v="18176"/>
    <x v="1"/>
    <x v="3"/>
    <s v="PANTOPRAZOLE MAGNESIUM"/>
    <m/>
    <m/>
    <m/>
    <m/>
    <m/>
    <n v="1"/>
    <m/>
    <m/>
    <m/>
    <m/>
    <m/>
    <n v="1"/>
    <m/>
    <m/>
    <m/>
    <n v="1"/>
    <m/>
    <m/>
    <m/>
    <m/>
    <m/>
    <n v="1"/>
    <m/>
    <m/>
    <m/>
    <n v="1"/>
    <m/>
    <m/>
    <m/>
    <n v="5"/>
  </r>
  <r>
    <x v="0"/>
    <x v="0"/>
    <n v="18324"/>
    <x v="1"/>
    <x v="0"/>
    <s v="ROSUVASTATIN CALCIUM"/>
    <m/>
    <m/>
    <n v="2"/>
    <m/>
    <m/>
    <m/>
    <m/>
    <m/>
    <n v="1"/>
    <m/>
    <m/>
    <m/>
    <n v="1"/>
    <m/>
    <m/>
    <m/>
    <m/>
    <n v="1"/>
    <m/>
    <m/>
    <m/>
    <m/>
    <m/>
    <n v="1"/>
    <m/>
    <m/>
    <m/>
    <m/>
    <n v="1"/>
    <n v="7"/>
  </r>
  <r>
    <x v="0"/>
    <x v="0"/>
    <n v="18664"/>
    <x v="1"/>
    <x v="3"/>
    <s v="RABEPRAZOLE SODIUM"/>
    <n v="1"/>
    <m/>
    <m/>
    <m/>
    <n v="1"/>
    <m/>
    <m/>
    <m/>
    <m/>
    <m/>
    <n v="1"/>
    <m/>
    <m/>
    <m/>
    <n v="1"/>
    <m/>
    <m/>
    <m/>
    <m/>
    <n v="1"/>
    <m/>
    <m/>
    <m/>
    <n v="1"/>
    <m/>
    <m/>
    <m/>
    <n v="1"/>
    <m/>
    <n v="7"/>
  </r>
  <r>
    <x v="0"/>
    <x v="0"/>
    <n v="18682"/>
    <x v="1"/>
    <x v="0"/>
    <s v="ROSUVASTATIN CALCIUM"/>
    <n v="1"/>
    <m/>
    <m/>
    <m/>
    <n v="1"/>
    <m/>
    <m/>
    <m/>
    <m/>
    <m/>
    <n v="2"/>
    <m/>
    <m/>
    <m/>
    <n v="1"/>
    <m/>
    <m/>
    <m/>
    <m/>
    <n v="1"/>
    <n v="1"/>
    <n v="1"/>
    <n v="1"/>
    <n v="1"/>
    <n v="1"/>
    <n v="1"/>
    <n v="1"/>
    <n v="1"/>
    <m/>
    <n v="14"/>
  </r>
  <r>
    <x v="0"/>
    <x v="0"/>
    <n v="20458"/>
    <x v="1"/>
    <x v="0"/>
    <s v="SIMVASTATIN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0"/>
    <x v="0"/>
    <n v="20458"/>
    <x v="1"/>
    <x v="3"/>
    <s v="RABEPRAZOLE SODIUM"/>
    <m/>
    <m/>
    <m/>
    <m/>
    <m/>
    <m/>
    <m/>
    <m/>
    <m/>
    <m/>
    <m/>
    <n v="1"/>
    <m/>
    <m/>
    <m/>
    <m/>
    <m/>
    <m/>
    <n v="1"/>
    <n v="1"/>
    <m/>
    <m/>
    <m/>
    <m/>
    <n v="1"/>
    <m/>
    <m/>
    <m/>
    <m/>
    <n v="4"/>
  </r>
  <r>
    <x v="0"/>
    <x v="0"/>
    <n v="2145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236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519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14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3606"/>
    <x v="0"/>
    <x v="3"/>
    <s v="PANTOPRAZOLE MAGNESIUM"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n v="2"/>
  </r>
  <r>
    <x v="0"/>
    <x v="0"/>
    <n v="13606"/>
    <x v="0"/>
    <x v="3"/>
    <s v="PANTOPRAZOLE SODIUM"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n v="2"/>
  </r>
  <r>
    <x v="0"/>
    <x v="0"/>
    <n v="2280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0"/>
    <x v="0"/>
    <n v="31355"/>
    <x v="0"/>
    <x v="3"/>
    <s v="RABEPRAZOLE SODIUM"/>
    <m/>
    <n v="1"/>
    <n v="1"/>
    <n v="1"/>
    <n v="1"/>
    <n v="1"/>
    <m/>
    <n v="1"/>
    <m/>
    <n v="1"/>
    <n v="2"/>
    <n v="1"/>
    <m/>
    <n v="2"/>
    <n v="1"/>
    <n v="2"/>
    <n v="1"/>
    <n v="1"/>
    <n v="1"/>
    <n v="1"/>
    <n v="1"/>
    <n v="1"/>
    <n v="1"/>
    <n v="1"/>
    <n v="1"/>
    <n v="1"/>
    <m/>
    <n v="1"/>
    <n v="1"/>
    <n v="27"/>
  </r>
  <r>
    <x v="0"/>
    <x v="0"/>
    <n v="3042"/>
    <x v="1"/>
    <x v="1"/>
    <s v="FAMOTIDINE"/>
    <m/>
    <m/>
    <m/>
    <m/>
    <m/>
    <n v="1"/>
    <m/>
    <m/>
    <n v="1"/>
    <m/>
    <m/>
    <m/>
    <m/>
    <m/>
    <m/>
    <m/>
    <m/>
    <m/>
    <m/>
    <m/>
    <n v="1"/>
    <m/>
    <m/>
    <m/>
    <n v="1"/>
    <m/>
    <m/>
    <m/>
    <m/>
    <n v="4"/>
  </r>
  <r>
    <x v="0"/>
    <x v="0"/>
    <n v="3042"/>
    <x v="1"/>
    <x v="3"/>
    <s v="LANSOPRAZOLE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304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892"/>
    <x v="0"/>
    <x v="1"/>
    <s v="RANITIDINE HCL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0"/>
    <x v="0"/>
    <n v="2021"/>
    <x v="0"/>
    <x v="3"/>
    <s v="PANTOPRAZOLE MAGNESIUM"/>
    <m/>
    <m/>
    <n v="1"/>
    <n v="1"/>
    <m/>
    <m/>
    <m/>
    <m/>
    <n v="1"/>
    <m/>
    <m/>
    <m/>
    <m/>
    <n v="1"/>
    <m/>
    <n v="1"/>
    <m/>
    <n v="1"/>
    <m/>
    <m/>
    <m/>
    <n v="1"/>
    <m/>
    <m/>
    <m/>
    <m/>
    <n v="1"/>
    <m/>
    <m/>
    <n v="8"/>
  </r>
  <r>
    <x v="0"/>
    <x v="0"/>
    <n v="4062"/>
    <x v="0"/>
    <x v="3"/>
    <s v="PANTOPRAZOLE MAGNESIUM"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n v="2"/>
  </r>
  <r>
    <x v="0"/>
    <x v="0"/>
    <n v="7021"/>
    <x v="1"/>
    <x v="3"/>
    <s v="RABEPRAZOLE SODIUM"/>
    <m/>
    <n v="1"/>
    <m/>
    <m/>
    <m/>
    <m/>
    <m/>
    <m/>
    <n v="1"/>
    <m/>
    <m/>
    <m/>
    <n v="1"/>
    <m/>
    <m/>
    <m/>
    <m/>
    <m/>
    <m/>
    <m/>
    <m/>
    <m/>
    <m/>
    <m/>
    <m/>
    <m/>
    <m/>
    <m/>
    <m/>
    <n v="3"/>
  </r>
  <r>
    <x v="0"/>
    <x v="0"/>
    <n v="18682"/>
    <x v="1"/>
    <x v="1"/>
    <s v="RANITIDINE HCL"/>
    <m/>
    <m/>
    <m/>
    <m/>
    <m/>
    <m/>
    <m/>
    <m/>
    <m/>
    <m/>
    <m/>
    <m/>
    <n v="1"/>
    <m/>
    <n v="1"/>
    <m/>
    <m/>
    <m/>
    <m/>
    <n v="1"/>
    <n v="2"/>
    <n v="1"/>
    <n v="1"/>
    <n v="1"/>
    <n v="1"/>
    <n v="1"/>
    <n v="1"/>
    <n v="1"/>
    <m/>
    <n v="12"/>
  </r>
  <r>
    <x v="0"/>
    <x v="0"/>
    <n v="1868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111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9130"/>
    <x v="0"/>
    <x v="1"/>
    <s v="RANITIDINE HCL"/>
    <m/>
    <m/>
    <m/>
    <m/>
    <m/>
    <m/>
    <m/>
    <m/>
    <m/>
    <m/>
    <n v="1"/>
    <m/>
    <m/>
    <m/>
    <m/>
    <m/>
    <n v="1"/>
    <m/>
    <m/>
    <m/>
    <m/>
    <n v="1"/>
    <m/>
    <m/>
    <m/>
    <m/>
    <m/>
    <m/>
    <m/>
    <n v="3"/>
  </r>
  <r>
    <x v="0"/>
    <x v="0"/>
    <n v="911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110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11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11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427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7080"/>
    <x v="0"/>
    <x v="0"/>
    <s v="ATOR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0"/>
    <x v="0"/>
    <n v="8684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630"/>
    <x v="0"/>
    <x v="0"/>
    <s v="SIMVASTATIN"/>
    <n v="1"/>
    <m/>
    <m/>
    <m/>
    <m/>
    <m/>
    <m/>
    <m/>
    <m/>
    <m/>
    <n v="1"/>
    <m/>
    <m/>
    <m/>
    <m/>
    <m/>
    <m/>
    <m/>
    <n v="1"/>
    <m/>
    <m/>
    <m/>
    <m/>
    <n v="1"/>
    <m/>
    <m/>
    <m/>
    <n v="1"/>
    <m/>
    <n v="5"/>
  </r>
  <r>
    <x v="0"/>
    <x v="0"/>
    <n v="535"/>
    <x v="1"/>
    <x v="0"/>
    <s v="ROSUVASTATIN CALCIUM"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n v="2"/>
  </r>
  <r>
    <x v="0"/>
    <x v="0"/>
    <n v="535"/>
    <x v="1"/>
    <x v="0"/>
    <s v="SIMVASTATIN"/>
    <m/>
    <m/>
    <m/>
    <n v="1"/>
    <m/>
    <m/>
    <m/>
    <m/>
    <m/>
    <m/>
    <m/>
    <m/>
    <m/>
    <m/>
    <m/>
    <n v="1"/>
    <m/>
    <m/>
    <m/>
    <m/>
    <m/>
    <n v="1"/>
    <m/>
    <m/>
    <m/>
    <m/>
    <m/>
    <m/>
    <m/>
    <n v="3"/>
  </r>
  <r>
    <x v="0"/>
    <x v="0"/>
    <n v="976"/>
    <x v="1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976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76"/>
    <x v="1"/>
    <x v="5"/>
    <s v="NIACIN"/>
    <m/>
    <m/>
    <m/>
    <m/>
    <m/>
    <m/>
    <m/>
    <m/>
    <m/>
    <n v="2"/>
    <m/>
    <m/>
    <m/>
    <m/>
    <n v="3"/>
    <m/>
    <m/>
    <m/>
    <m/>
    <m/>
    <m/>
    <m/>
    <m/>
    <m/>
    <m/>
    <m/>
    <m/>
    <m/>
    <m/>
    <n v="5"/>
  </r>
  <r>
    <x v="0"/>
    <x v="0"/>
    <n v="1548"/>
    <x v="1"/>
    <x v="0"/>
    <s v="ROSUVASTATIN CALCIUM"/>
    <m/>
    <m/>
    <m/>
    <m/>
    <m/>
    <m/>
    <m/>
    <m/>
    <m/>
    <m/>
    <m/>
    <n v="1"/>
    <m/>
    <m/>
    <m/>
    <m/>
    <n v="1"/>
    <m/>
    <m/>
    <m/>
    <n v="1"/>
    <m/>
    <m/>
    <m/>
    <n v="1"/>
    <m/>
    <m/>
    <m/>
    <m/>
    <n v="4"/>
  </r>
  <r>
    <x v="0"/>
    <x v="0"/>
    <n v="1949"/>
    <x v="1"/>
    <x v="0"/>
    <s v="ATORVASTATIN CALCIUM"/>
    <m/>
    <m/>
    <n v="1"/>
    <m/>
    <n v="1"/>
    <m/>
    <m/>
    <m/>
    <m/>
    <n v="1"/>
    <m/>
    <m/>
    <m/>
    <n v="1"/>
    <m/>
    <m/>
    <m/>
    <n v="1"/>
    <m/>
    <m/>
    <m/>
    <n v="1"/>
    <m/>
    <m/>
    <m/>
    <m/>
    <n v="1"/>
    <m/>
    <n v="1"/>
    <n v="8"/>
  </r>
  <r>
    <x v="0"/>
    <x v="0"/>
    <n v="2273"/>
    <x v="1"/>
    <x v="0"/>
    <s v="ATOR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0"/>
    <x v="0"/>
    <n v="6177"/>
    <x v="1"/>
    <x v="0"/>
    <s v="ROSUVASTATIN CALC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0"/>
    <x v="0"/>
    <n v="8786"/>
    <x v="1"/>
    <x v="8"/>
    <s v="FENOFIBRATE, MICRONIZED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0"/>
    <x v="0"/>
    <n v="8786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0"/>
    <x v="0"/>
    <n v="9330"/>
    <x v="1"/>
    <x v="0"/>
    <s v="SIMVASTATIN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0"/>
    <x v="0"/>
    <n v="9928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9928"/>
    <x v="1"/>
    <x v="5"/>
    <s v="NIACIN"/>
    <m/>
    <n v="1"/>
    <m/>
    <m/>
    <m/>
    <m/>
    <m/>
    <n v="1"/>
    <m/>
    <m/>
    <m/>
    <n v="1"/>
    <m/>
    <m/>
    <m/>
    <m/>
    <m/>
    <m/>
    <n v="1"/>
    <m/>
    <m/>
    <m/>
    <n v="1"/>
    <m/>
    <m/>
    <m/>
    <n v="1"/>
    <m/>
    <m/>
    <n v="6"/>
  </r>
  <r>
    <x v="0"/>
    <x v="0"/>
    <n v="9935"/>
    <x v="1"/>
    <x v="0"/>
    <s v="ROSUVASTATIN CALC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0"/>
    <x v="0"/>
    <n v="11256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0"/>
    <x v="0"/>
    <n v="11312"/>
    <x v="1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n v="3"/>
  </r>
  <r>
    <x v="0"/>
    <x v="0"/>
    <n v="11977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0"/>
    <x v="0"/>
    <n v="12602"/>
    <x v="1"/>
    <x v="8"/>
    <s v="FENOFIBRATE, MICROCOATED"/>
    <m/>
    <n v="1"/>
    <m/>
    <m/>
    <n v="2"/>
    <m/>
    <m/>
    <m/>
    <m/>
    <m/>
    <m/>
    <n v="1"/>
    <m/>
    <m/>
    <m/>
    <n v="1"/>
    <m/>
    <m/>
    <m/>
    <m/>
    <n v="1"/>
    <m/>
    <m/>
    <m/>
    <n v="1"/>
    <m/>
    <m/>
    <m/>
    <m/>
    <n v="7"/>
  </r>
  <r>
    <x v="0"/>
    <x v="0"/>
    <n v="12602"/>
    <x v="1"/>
    <x v="0"/>
    <s v="ROSUVASTATIN CALCIUM"/>
    <m/>
    <m/>
    <m/>
    <m/>
    <n v="1"/>
    <m/>
    <m/>
    <m/>
    <m/>
    <m/>
    <m/>
    <n v="1"/>
    <m/>
    <m/>
    <m/>
    <n v="1"/>
    <m/>
    <m/>
    <m/>
    <m/>
    <n v="1"/>
    <m/>
    <m/>
    <m/>
    <n v="1"/>
    <m/>
    <m/>
    <m/>
    <m/>
    <n v="5"/>
  </r>
  <r>
    <x v="0"/>
    <x v="0"/>
    <n v="12602"/>
    <x v="1"/>
    <x v="6"/>
    <s v="EZETIMIBE"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n v="2"/>
  </r>
  <r>
    <x v="0"/>
    <x v="0"/>
    <n v="13081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n v="2"/>
    <m/>
    <m/>
    <n v="3"/>
  </r>
  <r>
    <x v="0"/>
    <x v="0"/>
    <n v="15935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0"/>
    <x v="0"/>
    <n v="20214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n v="2"/>
  </r>
  <r>
    <x v="0"/>
    <x v="0"/>
    <n v="20559"/>
    <x v="1"/>
    <x v="0"/>
    <s v="ROSUVASTATIN CALCIUM"/>
    <m/>
    <m/>
    <n v="1"/>
    <m/>
    <m/>
    <m/>
    <m/>
    <m/>
    <n v="1"/>
    <m/>
    <m/>
    <m/>
    <n v="1"/>
    <m/>
    <m/>
    <m/>
    <n v="1"/>
    <m/>
    <m/>
    <m/>
    <n v="1"/>
    <m/>
    <m/>
    <m/>
    <m/>
    <n v="2"/>
    <m/>
    <m/>
    <m/>
    <n v="7"/>
  </r>
  <r>
    <x v="0"/>
    <x v="0"/>
    <n v="20923"/>
    <x v="1"/>
    <x v="0"/>
    <s v="ATORVASTATIN CALCIUM"/>
    <m/>
    <m/>
    <m/>
    <m/>
    <m/>
    <m/>
    <m/>
    <m/>
    <n v="1"/>
    <m/>
    <m/>
    <m/>
    <m/>
    <n v="1"/>
    <m/>
    <m/>
    <m/>
    <m/>
    <m/>
    <m/>
    <n v="1"/>
    <m/>
    <m/>
    <n v="1"/>
    <m/>
    <m/>
    <m/>
    <m/>
    <m/>
    <n v="4"/>
  </r>
  <r>
    <x v="0"/>
    <x v="0"/>
    <n v="969"/>
    <x v="0"/>
    <x v="0"/>
    <s v="ATORVASTATIN CALC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0"/>
    <x v="0"/>
    <n v="1143"/>
    <x v="0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4296"/>
    <x v="0"/>
    <x v="0"/>
    <s v="ATORVASTATIN CALCIUM"/>
    <m/>
    <n v="1"/>
    <m/>
    <m/>
    <m/>
    <n v="1"/>
    <m/>
    <m/>
    <m/>
    <m/>
    <m/>
    <m/>
    <m/>
    <m/>
    <m/>
    <m/>
    <m/>
    <m/>
    <m/>
    <n v="1"/>
    <m/>
    <m/>
    <m/>
    <m/>
    <n v="1"/>
    <m/>
    <m/>
    <m/>
    <m/>
    <n v="4"/>
  </r>
  <r>
    <x v="0"/>
    <x v="0"/>
    <n v="1249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31355"/>
    <x v="0"/>
    <x v="0"/>
    <s v="ATORVASTATIN CALCIUM"/>
    <m/>
    <n v="1"/>
    <n v="1"/>
    <n v="1"/>
    <n v="1"/>
    <n v="1"/>
    <m/>
    <n v="1"/>
    <m/>
    <n v="1"/>
    <n v="2"/>
    <n v="1"/>
    <m/>
    <n v="1"/>
    <n v="1"/>
    <n v="2"/>
    <n v="1"/>
    <n v="1"/>
    <n v="1"/>
    <n v="1"/>
    <n v="1"/>
    <n v="1"/>
    <n v="1"/>
    <n v="1"/>
    <n v="1"/>
    <n v="1"/>
    <m/>
    <n v="1"/>
    <n v="1"/>
    <n v="26"/>
  </r>
  <r>
    <x v="0"/>
    <x v="0"/>
    <n v="33035"/>
    <x v="0"/>
    <x v="5"/>
    <s v="NIACIN"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</r>
  <r>
    <x v="0"/>
    <x v="0"/>
    <n v="650"/>
    <x v="1"/>
    <x v="0"/>
    <s v="SIMVASTATIN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2"/>
  </r>
  <r>
    <x v="0"/>
    <x v="0"/>
    <n v="974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2034"/>
    <x v="1"/>
    <x v="0"/>
    <s v="ROSU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0"/>
    <x v="0"/>
    <n v="2034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5947"/>
    <x v="1"/>
    <x v="0"/>
    <s v="ATOR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0"/>
    <x v="0"/>
    <n v="5947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6373"/>
    <x v="1"/>
    <x v="0"/>
    <s v="SIMVASTATIN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0"/>
    <x v="0"/>
    <n v="9656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n v="2"/>
  </r>
  <r>
    <x v="0"/>
    <x v="0"/>
    <n v="12144"/>
    <x v="1"/>
    <x v="0"/>
    <s v="ATORVASTATIN CALCIUM"/>
    <m/>
    <n v="1"/>
    <m/>
    <m/>
    <m/>
    <n v="1"/>
    <m/>
    <m/>
    <m/>
    <m/>
    <m/>
    <n v="1"/>
    <m/>
    <m/>
    <m/>
    <m/>
    <n v="1"/>
    <m/>
    <m/>
    <m/>
    <m/>
    <m/>
    <n v="1"/>
    <m/>
    <m/>
    <m/>
    <m/>
    <m/>
    <n v="1"/>
    <n v="6"/>
  </r>
  <r>
    <x v="0"/>
    <x v="0"/>
    <n v="1351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3514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0"/>
    <x v="0"/>
    <n v="18786"/>
    <x v="1"/>
    <x v="0"/>
    <s v="ROSUVASTATIN CALCIUM"/>
    <m/>
    <m/>
    <m/>
    <n v="1"/>
    <m/>
    <m/>
    <m/>
    <m/>
    <m/>
    <m/>
    <m/>
    <m/>
    <m/>
    <m/>
    <m/>
    <n v="1"/>
    <m/>
    <m/>
    <m/>
    <m/>
    <m/>
    <m/>
    <m/>
    <m/>
    <m/>
    <m/>
    <m/>
    <m/>
    <n v="2"/>
    <n v="4"/>
  </r>
  <r>
    <x v="1"/>
    <x v="0"/>
    <n v="864"/>
    <x v="0"/>
    <x v="8"/>
    <s v="FENOFIBRATE"/>
    <m/>
    <m/>
    <m/>
    <m/>
    <m/>
    <n v="1"/>
    <m/>
    <m/>
    <m/>
    <m/>
    <n v="1"/>
    <m/>
    <m/>
    <m/>
    <m/>
    <m/>
    <m/>
    <m/>
    <m/>
    <m/>
    <m/>
    <m/>
    <m/>
    <m/>
    <n v="1"/>
    <m/>
    <m/>
    <m/>
    <m/>
    <n v="3"/>
  </r>
  <r>
    <x v="1"/>
    <x v="0"/>
    <n v="864"/>
    <x v="0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373"/>
    <x v="0"/>
    <x v="1"/>
    <s v="CIMETIDINE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"/>
    <x v="0"/>
    <n v="173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897"/>
    <x v="0"/>
    <x v="3"/>
    <s v="RABEPRAZOLE SODIUM"/>
    <n v="1"/>
    <n v="1"/>
    <n v="1"/>
    <n v="1"/>
    <n v="1"/>
    <n v="1"/>
    <m/>
    <n v="1"/>
    <n v="2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m/>
    <n v="29"/>
  </r>
  <r>
    <x v="1"/>
    <x v="0"/>
    <n v="237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788"/>
    <x v="0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"/>
    <x v="0"/>
    <n v="2788"/>
    <x v="0"/>
    <x v="3"/>
    <s v="PANTO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"/>
    <x v="0"/>
    <n v="2788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720"/>
    <x v="0"/>
    <x v="3"/>
    <s v="ESOMEPRAZOLE MAGNESIUM"/>
    <m/>
    <m/>
    <m/>
    <n v="1"/>
    <m/>
    <m/>
    <m/>
    <m/>
    <m/>
    <n v="1"/>
    <m/>
    <m/>
    <m/>
    <n v="1"/>
    <m/>
    <m/>
    <m/>
    <m/>
    <m/>
    <m/>
    <m/>
    <n v="1"/>
    <m/>
    <m/>
    <m/>
    <m/>
    <m/>
    <m/>
    <m/>
    <n v="4"/>
  </r>
  <r>
    <x v="1"/>
    <x v="0"/>
    <n v="562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605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</r>
  <r>
    <x v="1"/>
    <x v="0"/>
    <n v="6053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6458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6657"/>
    <x v="0"/>
    <x v="0"/>
    <s v="ATORVASTATIN CALCIUM"/>
    <m/>
    <m/>
    <n v="1"/>
    <m/>
    <m/>
    <n v="1"/>
    <m/>
    <m/>
    <m/>
    <m/>
    <n v="1"/>
    <m/>
    <m/>
    <m/>
    <m/>
    <m/>
    <m/>
    <m/>
    <m/>
    <m/>
    <m/>
    <m/>
    <m/>
    <n v="1"/>
    <m/>
    <m/>
    <m/>
    <m/>
    <m/>
    <n v="4"/>
  </r>
  <r>
    <x v="1"/>
    <x v="0"/>
    <n v="6657"/>
    <x v="0"/>
    <x v="3"/>
    <s v="RABEPRAZOLE SOD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1"/>
    <x v="0"/>
    <n v="7171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7502"/>
    <x v="0"/>
    <x v="0"/>
    <s v="SIMVASTATIN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1"/>
    <x v="0"/>
    <n v="765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8296"/>
    <x v="0"/>
    <x v="3"/>
    <s v="PANTOPRAZOLE MAGNESIUM"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n v="2"/>
  </r>
  <r>
    <x v="1"/>
    <x v="0"/>
    <n v="14791"/>
    <x v="0"/>
    <x v="3"/>
    <s v="RABEPRAZOLE SODIUM"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</r>
  <r>
    <x v="1"/>
    <x v="0"/>
    <n v="1521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6954"/>
    <x v="0"/>
    <x v="0"/>
    <s v="SIMVASTATIN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1"/>
    <x v="0"/>
    <n v="1756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"/>
    <x v="0"/>
    <n v="17753"/>
    <x v="0"/>
    <x v="3"/>
    <s v="PANTO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17759"/>
    <x v="0"/>
    <x v="0"/>
    <s v="SIMVASTATIN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</r>
  <r>
    <x v="1"/>
    <x v="0"/>
    <n v="18339"/>
    <x v="0"/>
    <x v="3"/>
    <s v="PANTOPRAZOLE MAGNES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"/>
    <x v="0"/>
    <n v="19710"/>
    <x v="0"/>
    <x v="3"/>
    <s v="PANTO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20822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"/>
    <x v="0"/>
    <n v="22399"/>
    <x v="0"/>
    <x v="3"/>
    <s v="PANTOPRAZOLE MAGNES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"/>
    <x v="0"/>
    <n v="30512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051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0651"/>
    <x v="0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30651"/>
    <x v="0"/>
    <x v="3"/>
    <s v="PANTOPRAZOLE MAGNES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"/>
    <x v="0"/>
    <n v="32234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2234"/>
    <x v="0"/>
    <x v="3"/>
    <s v="PANTOPRAZOLE SODIUM"/>
    <m/>
    <m/>
    <m/>
    <n v="2"/>
    <m/>
    <m/>
    <m/>
    <m/>
    <m/>
    <m/>
    <m/>
    <m/>
    <m/>
    <n v="1"/>
    <m/>
    <m/>
    <m/>
    <n v="1"/>
    <m/>
    <m/>
    <m/>
    <m/>
    <m/>
    <m/>
    <m/>
    <m/>
    <m/>
    <m/>
    <m/>
    <n v="4"/>
  </r>
  <r>
    <x v="1"/>
    <x v="0"/>
    <n v="32315"/>
    <x v="0"/>
    <x v="3"/>
    <s v="PANTO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"/>
    <x v="0"/>
    <n v="32315"/>
    <x v="0"/>
    <x v="3"/>
    <s v="RABE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"/>
    <x v="0"/>
    <n v="32414"/>
    <x v="0"/>
    <x v="1"/>
    <s v="RANITIDINE HCL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1"/>
    <x v="0"/>
    <n v="3268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"/>
    <x v="0"/>
    <n v="32683"/>
    <x v="0"/>
    <x v="3"/>
    <s v="RABEPRAZOLE SODIUM"/>
    <m/>
    <m/>
    <m/>
    <n v="1"/>
    <m/>
    <m/>
    <m/>
    <m/>
    <m/>
    <m/>
    <m/>
    <n v="1"/>
    <m/>
    <m/>
    <m/>
    <m/>
    <m/>
    <m/>
    <m/>
    <n v="1"/>
    <m/>
    <m/>
    <m/>
    <m/>
    <m/>
    <m/>
    <m/>
    <n v="1"/>
    <m/>
    <n v="4"/>
  </r>
  <r>
    <x v="1"/>
    <x v="0"/>
    <n v="32795"/>
    <x v="0"/>
    <x v="3"/>
    <s v="OMEPRAZOLE"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"/>
    <x v="0"/>
    <n v="32795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283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"/>
    <x v="0"/>
    <n v="33211"/>
    <x v="0"/>
    <x v="0"/>
    <s v="SIMVASTATIN"/>
    <n v="1"/>
    <m/>
    <n v="1"/>
    <m/>
    <n v="1"/>
    <m/>
    <m/>
    <n v="1"/>
    <m/>
    <m/>
    <n v="1"/>
    <m/>
    <n v="1"/>
    <m/>
    <n v="1"/>
    <m/>
    <n v="1"/>
    <m/>
    <m/>
    <n v="1"/>
    <m/>
    <n v="1"/>
    <n v="1"/>
    <m/>
    <n v="1"/>
    <m/>
    <n v="1"/>
    <m/>
    <m/>
    <n v="13"/>
  </r>
  <r>
    <x v="1"/>
    <x v="0"/>
    <n v="33211"/>
    <x v="0"/>
    <x v="3"/>
    <s v="PANTOPRAZOLE SODIUM"/>
    <n v="1"/>
    <m/>
    <n v="1"/>
    <m/>
    <n v="1"/>
    <m/>
    <m/>
    <n v="1"/>
    <m/>
    <m/>
    <n v="2"/>
    <m/>
    <n v="1"/>
    <m/>
    <n v="1"/>
    <m/>
    <n v="1"/>
    <m/>
    <m/>
    <n v="1"/>
    <m/>
    <n v="1"/>
    <n v="1"/>
    <m/>
    <n v="1"/>
    <m/>
    <n v="1"/>
    <m/>
    <m/>
    <n v="14"/>
  </r>
  <r>
    <x v="1"/>
    <x v="0"/>
    <n v="33730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3835"/>
    <x v="0"/>
    <x v="0"/>
    <s v="SIMVASTATIN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"/>
    <x v="0"/>
    <n v="3384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429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"/>
    <x v="0"/>
    <n v="5351"/>
    <x v="1"/>
    <x v="0"/>
    <s v="ROSUVASTATIN CALCIUM"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"/>
    <x v="0"/>
    <n v="8489"/>
    <x v="1"/>
    <x v="0"/>
    <s v="SIMVASTATIN"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"/>
    <x v="0"/>
    <n v="17844"/>
    <x v="1"/>
    <x v="0"/>
    <s v="SIMVASTATIN"/>
    <m/>
    <n v="1"/>
    <m/>
    <m/>
    <m/>
    <m/>
    <m/>
    <m/>
    <m/>
    <n v="3"/>
    <m/>
    <m/>
    <m/>
    <m/>
    <m/>
    <m/>
    <m/>
    <m/>
    <m/>
    <m/>
    <m/>
    <m/>
    <m/>
    <n v="1"/>
    <m/>
    <m/>
    <m/>
    <m/>
    <m/>
    <n v="5"/>
  </r>
  <r>
    <x v="1"/>
    <x v="0"/>
    <n v="19696"/>
    <x v="1"/>
    <x v="3"/>
    <s v="OMEPRAZOLE"/>
    <m/>
    <n v="1"/>
    <m/>
    <m/>
    <m/>
    <m/>
    <m/>
    <m/>
    <m/>
    <m/>
    <n v="3"/>
    <m/>
    <m/>
    <m/>
    <m/>
    <m/>
    <m/>
    <m/>
    <m/>
    <m/>
    <m/>
    <m/>
    <m/>
    <m/>
    <m/>
    <n v="1"/>
    <m/>
    <m/>
    <m/>
    <n v="5"/>
  </r>
  <r>
    <x v="1"/>
    <x v="0"/>
    <n v="2188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365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"/>
    <x v="0"/>
    <n v="30597"/>
    <x v="1"/>
    <x v="3"/>
    <s v="RABEPRAZOLE SODIUM"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</r>
  <r>
    <x v="1"/>
    <x v="0"/>
    <n v="31872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237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2498"/>
    <x v="1"/>
    <x v="0"/>
    <s v="ATORVASTATIN CALCIUM"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n v="2"/>
  </r>
  <r>
    <x v="1"/>
    <x v="0"/>
    <n v="32670"/>
    <x v="1"/>
    <x v="3"/>
    <s v="PANTO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"/>
    <x v="0"/>
    <n v="564"/>
    <x v="0"/>
    <x v="1"/>
    <s v="RANITIDINE HCL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1"/>
    <x v="0"/>
    <n v="56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844"/>
    <x v="0"/>
    <x v="9"/>
    <s v="CHOLESTYRAMINE (WITH SUGAR)"/>
    <m/>
    <m/>
    <m/>
    <m/>
    <m/>
    <m/>
    <m/>
    <m/>
    <m/>
    <m/>
    <m/>
    <m/>
    <m/>
    <m/>
    <m/>
    <m/>
    <n v="2"/>
    <m/>
    <m/>
    <m/>
    <m/>
    <n v="1"/>
    <m/>
    <m/>
    <m/>
    <m/>
    <m/>
    <n v="1"/>
    <m/>
    <n v="4"/>
  </r>
  <r>
    <x v="1"/>
    <x v="0"/>
    <n v="1458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508"/>
    <x v="0"/>
    <x v="3"/>
    <s v="PANTOPRAZOLE MAGNESIUM"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n v="2"/>
  </r>
  <r>
    <x v="1"/>
    <x v="0"/>
    <n v="4033"/>
    <x v="0"/>
    <x v="3"/>
    <s v="OMEPRAZOLE"/>
    <m/>
    <m/>
    <n v="1"/>
    <m/>
    <n v="1"/>
    <m/>
    <m/>
    <m/>
    <m/>
    <m/>
    <m/>
    <m/>
    <m/>
    <m/>
    <m/>
    <m/>
    <m/>
    <m/>
    <n v="1"/>
    <m/>
    <m/>
    <m/>
    <m/>
    <m/>
    <m/>
    <m/>
    <m/>
    <m/>
    <m/>
    <n v="3"/>
  </r>
  <r>
    <x v="1"/>
    <x v="0"/>
    <n v="5093"/>
    <x v="0"/>
    <x v="3"/>
    <s v="OMEPRAZOLE MAGNES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1"/>
    <x v="0"/>
    <n v="509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662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6626"/>
    <x v="0"/>
    <x v="3"/>
    <s v="ESOMEPRAZOLE MAGNESIUM"/>
    <m/>
    <n v="1"/>
    <m/>
    <n v="1"/>
    <m/>
    <n v="1"/>
    <m/>
    <m/>
    <n v="1"/>
    <m/>
    <n v="1"/>
    <m/>
    <n v="1"/>
    <m/>
    <n v="1"/>
    <m/>
    <n v="1"/>
    <m/>
    <n v="1"/>
    <m/>
    <n v="1"/>
    <m/>
    <n v="1"/>
    <m/>
    <n v="1"/>
    <m/>
    <n v="1"/>
    <m/>
    <n v="1"/>
    <n v="14"/>
  </r>
  <r>
    <x v="1"/>
    <x v="0"/>
    <n v="6720"/>
    <x v="0"/>
    <x v="3"/>
    <s v="RABEPRAZOLE SOD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2"/>
  </r>
  <r>
    <x v="1"/>
    <x v="0"/>
    <n v="6754"/>
    <x v="0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1"/>
    <x v="0"/>
    <n v="7023"/>
    <x v="0"/>
    <x v="3"/>
    <s v="RABEPRAZOLE SOD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1"/>
    <x v="0"/>
    <n v="7111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8015"/>
    <x v="0"/>
    <x v="1"/>
    <s v="CIMETIDINE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"/>
    <x v="0"/>
    <n v="1100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2533"/>
    <x v="0"/>
    <x v="3"/>
    <s v="PANTOPRAZOLE MAGNES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"/>
    <x v="0"/>
    <n v="13333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1"/>
    <x v="0"/>
    <n v="15715"/>
    <x v="0"/>
    <x v="3"/>
    <s v="PANTOPRAZOLE SOD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"/>
    <x v="0"/>
    <n v="1690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8094"/>
    <x v="0"/>
    <x v="1"/>
    <s v="RANITIDINE HCL"/>
    <m/>
    <m/>
    <m/>
    <m/>
    <n v="2"/>
    <m/>
    <m/>
    <m/>
    <m/>
    <m/>
    <m/>
    <m/>
    <m/>
    <m/>
    <m/>
    <m/>
    <m/>
    <m/>
    <n v="1"/>
    <m/>
    <m/>
    <m/>
    <m/>
    <m/>
    <m/>
    <m/>
    <m/>
    <m/>
    <m/>
    <n v="3"/>
  </r>
  <r>
    <x v="1"/>
    <x v="0"/>
    <n v="18094"/>
    <x v="0"/>
    <x v="3"/>
    <s v="ESOMEPRAZOLE MAGNESIUM"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n v="2"/>
  </r>
  <r>
    <x v="1"/>
    <x v="0"/>
    <n v="1809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2508"/>
    <x v="0"/>
    <x v="3"/>
    <s v="PANTOPRAZOLE MAGNES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"/>
    <x v="0"/>
    <n v="30312"/>
    <x v="0"/>
    <x v="1"/>
    <s v="RANITIDINE HCL"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</r>
  <r>
    <x v="1"/>
    <x v="0"/>
    <n v="33615"/>
    <x v="0"/>
    <x v="3"/>
    <s v="PANTOPRAZOLE SODIUM"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n v="3"/>
  </r>
  <r>
    <x v="1"/>
    <x v="0"/>
    <n v="5660"/>
    <x v="1"/>
    <x v="0"/>
    <s v="ROSUVASTATIN CALCIUM"/>
    <m/>
    <m/>
    <m/>
    <n v="1"/>
    <m/>
    <m/>
    <m/>
    <m/>
    <m/>
    <m/>
    <m/>
    <m/>
    <m/>
    <m/>
    <m/>
    <m/>
    <m/>
    <m/>
    <m/>
    <m/>
    <n v="2"/>
    <m/>
    <m/>
    <m/>
    <m/>
    <m/>
    <m/>
    <m/>
    <m/>
    <n v="3"/>
  </r>
  <r>
    <x v="1"/>
    <x v="0"/>
    <n v="5660"/>
    <x v="1"/>
    <x v="3"/>
    <s v="PANTOPRAZOLE SODIUM"/>
    <n v="1"/>
    <m/>
    <m/>
    <n v="1"/>
    <m/>
    <m/>
    <m/>
    <m/>
    <m/>
    <m/>
    <n v="1"/>
    <m/>
    <m/>
    <m/>
    <m/>
    <n v="1"/>
    <m/>
    <m/>
    <m/>
    <m/>
    <m/>
    <m/>
    <m/>
    <m/>
    <m/>
    <m/>
    <m/>
    <m/>
    <m/>
    <n v="4"/>
  </r>
  <r>
    <x v="1"/>
    <x v="0"/>
    <n v="775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5025"/>
    <x v="1"/>
    <x v="1"/>
    <s v="RANITIDINE HCL"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</r>
  <r>
    <x v="1"/>
    <x v="0"/>
    <n v="15025"/>
    <x v="1"/>
    <x v="3"/>
    <s v="ESOMEPRAZOLE MAGNES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</r>
  <r>
    <x v="1"/>
    <x v="0"/>
    <n v="26562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0758"/>
    <x v="1"/>
    <x v="1"/>
    <s v="RANITIDINE HCL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"/>
    <x v="0"/>
    <n v="650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6500"/>
    <x v="0"/>
    <x v="3"/>
    <s v="PANTOPRAZOLE SODIUM"/>
    <m/>
    <m/>
    <m/>
    <n v="1"/>
    <m/>
    <m/>
    <m/>
    <m/>
    <m/>
    <m/>
    <m/>
    <m/>
    <m/>
    <m/>
    <m/>
    <m/>
    <n v="1"/>
    <m/>
    <m/>
    <m/>
    <m/>
    <m/>
    <m/>
    <m/>
    <n v="1"/>
    <m/>
    <m/>
    <m/>
    <m/>
    <n v="3"/>
  </r>
  <r>
    <x v="1"/>
    <x v="0"/>
    <n v="1763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7636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20715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"/>
    <x v="0"/>
    <n v="30458"/>
    <x v="1"/>
    <x v="3"/>
    <s v="OMEPRAZOLE"/>
    <m/>
    <n v="1"/>
    <m/>
    <m/>
    <m/>
    <m/>
    <m/>
    <m/>
    <m/>
    <m/>
    <n v="2"/>
    <m/>
    <m/>
    <m/>
    <m/>
    <m/>
    <m/>
    <m/>
    <m/>
    <m/>
    <m/>
    <m/>
    <m/>
    <m/>
    <m/>
    <m/>
    <m/>
    <m/>
    <m/>
    <n v="3"/>
  </r>
  <r>
    <x v="1"/>
    <x v="0"/>
    <n v="2945"/>
    <x v="0"/>
    <x v="3"/>
    <s v="RABEPRAZOLE SOD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1"/>
    <x v="0"/>
    <n v="1704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"/>
    <x v="0"/>
    <n v="84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844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170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001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"/>
    <x v="0"/>
    <n v="1688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18084"/>
    <x v="0"/>
    <x v="3"/>
    <s v="OMEPRAZOLE MAGNESIUM"/>
    <n v="1"/>
    <m/>
    <m/>
    <m/>
    <m/>
    <n v="1"/>
    <m/>
    <m/>
    <m/>
    <m/>
    <n v="1"/>
    <m/>
    <m/>
    <m/>
    <m/>
    <m/>
    <n v="2"/>
    <m/>
    <m/>
    <m/>
    <m/>
    <m/>
    <m/>
    <m/>
    <m/>
    <m/>
    <m/>
    <m/>
    <m/>
    <n v="5"/>
  </r>
  <r>
    <x v="1"/>
    <x v="0"/>
    <n v="629"/>
    <x v="0"/>
    <x v="0"/>
    <s v="SIMVASTATIN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1"/>
    <x v="0"/>
    <n v="901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901"/>
    <x v="0"/>
    <x v="0"/>
    <s v="SIMVASTATIN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"/>
    <x v="0"/>
    <n v="4950"/>
    <x v="0"/>
    <x v="0"/>
    <s v="SIMVASTATIN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"/>
    <x v="0"/>
    <n v="8296"/>
    <x v="0"/>
    <x v="0"/>
    <s v="ATORVASTATIN CALCIUM"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1"/>
    <x v="0"/>
    <n v="9077"/>
    <x v="0"/>
    <x v="0"/>
    <s v="PRAVASTATIN SODIUM"/>
    <m/>
    <n v="1"/>
    <n v="1"/>
    <m/>
    <n v="1"/>
    <m/>
    <m/>
    <n v="1"/>
    <m/>
    <n v="1"/>
    <n v="1"/>
    <n v="1"/>
    <n v="1"/>
    <m/>
    <n v="1"/>
    <m/>
    <n v="1"/>
    <m/>
    <n v="1"/>
    <m/>
    <m/>
    <n v="1"/>
    <m/>
    <n v="1"/>
    <n v="1"/>
    <m/>
    <n v="1"/>
    <m/>
    <m/>
    <n v="15"/>
  </r>
  <r>
    <x v="1"/>
    <x v="0"/>
    <n v="20822"/>
    <x v="0"/>
    <x v="0"/>
    <s v="SIMVASTATIN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"/>
    <x v="0"/>
    <n v="21553"/>
    <x v="0"/>
    <x v="0"/>
    <s v="ATORVASTATIN CALCIUM"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n v="3"/>
  </r>
  <r>
    <x v="1"/>
    <x v="0"/>
    <n v="25113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32414"/>
    <x v="0"/>
    <x v="0"/>
    <s v="SIMVASTATIN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1"/>
    <x v="0"/>
    <n v="30652"/>
    <x v="1"/>
    <x v="0"/>
    <s v="ATORVASTATIN CALCIUM"/>
    <n v="2"/>
    <m/>
    <m/>
    <m/>
    <m/>
    <m/>
    <m/>
    <m/>
    <m/>
    <m/>
    <m/>
    <m/>
    <m/>
    <n v="1"/>
    <m/>
    <m/>
    <m/>
    <m/>
    <m/>
    <m/>
    <m/>
    <m/>
    <m/>
    <m/>
    <m/>
    <m/>
    <n v="3"/>
    <m/>
    <m/>
    <n v="6"/>
  </r>
  <r>
    <x v="1"/>
    <x v="0"/>
    <n v="32816"/>
    <x v="1"/>
    <x v="0"/>
    <s v="SIMVASTATIN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"/>
    <x v="0"/>
    <n v="564"/>
    <x v="0"/>
    <x v="8"/>
    <s v="FENOFIBRATE, MICRONIZED"/>
    <m/>
    <m/>
    <n v="1"/>
    <m/>
    <m/>
    <m/>
    <m/>
    <n v="1"/>
    <m/>
    <m/>
    <m/>
    <m/>
    <m/>
    <m/>
    <m/>
    <m/>
    <m/>
    <m/>
    <m/>
    <m/>
    <m/>
    <n v="1"/>
    <m/>
    <m/>
    <m/>
    <m/>
    <m/>
    <m/>
    <m/>
    <n v="3"/>
  </r>
  <r>
    <x v="1"/>
    <x v="0"/>
    <n v="2945"/>
    <x v="0"/>
    <x v="0"/>
    <s v="SIMVASTATIN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1"/>
    <x v="0"/>
    <n v="6720"/>
    <x v="0"/>
    <x v="0"/>
    <s v="SIMVASTATIN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2"/>
  </r>
  <r>
    <x v="1"/>
    <x v="0"/>
    <n v="6754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"/>
    <x v="0"/>
    <n v="7023"/>
    <x v="0"/>
    <x v="0"/>
    <s v="FLUVASTATIN SODIUM"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n v="3"/>
  </r>
  <r>
    <x v="1"/>
    <x v="0"/>
    <n v="10835"/>
    <x v="0"/>
    <x v="0"/>
    <s v="SIMVASTATIN"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n v="3"/>
  </r>
  <r>
    <x v="1"/>
    <x v="0"/>
    <n v="13333"/>
    <x v="0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n v="2"/>
  </r>
  <r>
    <x v="1"/>
    <x v="0"/>
    <n v="19934"/>
    <x v="0"/>
    <x v="0"/>
    <s v="SIMVASTATIN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1"/>
    <x v="0"/>
    <n v="563"/>
    <x v="1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"/>
    <x v="0"/>
    <n v="15025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2"/>
    <x v="0"/>
    <n v="2289"/>
    <x v="0"/>
    <x v="0"/>
    <s v="SIMVASTATIN"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n v="2"/>
  </r>
  <r>
    <x v="2"/>
    <x v="0"/>
    <n v="3221"/>
    <x v="0"/>
    <x v="0"/>
    <s v="ROSUVASTATIN CALCIUM"/>
    <m/>
    <m/>
    <m/>
    <m/>
    <m/>
    <m/>
    <m/>
    <m/>
    <m/>
    <m/>
    <m/>
    <m/>
    <n v="1"/>
    <m/>
    <n v="1"/>
    <m/>
    <m/>
    <m/>
    <m/>
    <m/>
    <m/>
    <m/>
    <m/>
    <m/>
    <m/>
    <m/>
    <m/>
    <n v="1"/>
    <m/>
    <n v="3"/>
  </r>
  <r>
    <x v="2"/>
    <x v="0"/>
    <n v="5088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2"/>
    <x v="0"/>
    <n v="562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6116"/>
    <x v="0"/>
    <x v="0"/>
    <s v="ATORVASTATIN CALCIUM"/>
    <m/>
    <n v="1"/>
    <m/>
    <m/>
    <m/>
    <n v="1"/>
    <m/>
    <m/>
    <m/>
    <m/>
    <m/>
    <m/>
    <m/>
    <m/>
    <m/>
    <n v="1"/>
    <m/>
    <m/>
    <m/>
    <m/>
    <n v="1"/>
    <m/>
    <m/>
    <m/>
    <m/>
    <n v="1"/>
    <m/>
    <m/>
    <m/>
    <n v="5"/>
  </r>
  <r>
    <x v="2"/>
    <x v="0"/>
    <n v="6401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6401"/>
    <x v="0"/>
    <x v="0"/>
    <s v="SIMVASTATIN"/>
    <m/>
    <m/>
    <m/>
    <m/>
    <m/>
    <m/>
    <m/>
    <m/>
    <m/>
    <m/>
    <m/>
    <m/>
    <m/>
    <m/>
    <m/>
    <m/>
    <m/>
    <n v="2"/>
    <n v="1"/>
    <n v="1"/>
    <n v="1"/>
    <n v="1"/>
    <m/>
    <m/>
    <m/>
    <n v="1"/>
    <m/>
    <m/>
    <m/>
    <n v="7"/>
  </r>
  <r>
    <x v="2"/>
    <x v="0"/>
    <n v="6401"/>
    <x v="0"/>
    <x v="3"/>
    <s v="PANTOPRAZOLE MAGNESIUM"/>
    <m/>
    <m/>
    <m/>
    <m/>
    <m/>
    <m/>
    <m/>
    <m/>
    <m/>
    <m/>
    <m/>
    <m/>
    <m/>
    <m/>
    <m/>
    <m/>
    <n v="2"/>
    <n v="1"/>
    <n v="1"/>
    <n v="1"/>
    <n v="2"/>
    <m/>
    <m/>
    <m/>
    <m/>
    <m/>
    <m/>
    <m/>
    <m/>
    <n v="7"/>
  </r>
  <r>
    <x v="2"/>
    <x v="0"/>
    <n v="640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7297"/>
    <x v="0"/>
    <x v="3"/>
    <s v="RABEPRAZOLE SODIUM"/>
    <m/>
    <m/>
    <n v="1"/>
    <m/>
    <m/>
    <m/>
    <m/>
    <m/>
    <m/>
    <m/>
    <m/>
    <m/>
    <m/>
    <m/>
    <n v="1"/>
    <m/>
    <m/>
    <m/>
    <m/>
    <m/>
    <m/>
    <n v="1"/>
    <m/>
    <m/>
    <m/>
    <m/>
    <m/>
    <m/>
    <m/>
    <n v="3"/>
  </r>
  <r>
    <x v="2"/>
    <x v="0"/>
    <n v="7833"/>
    <x v="0"/>
    <x v="3"/>
    <s v="PANTOPRAZOLE SOD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2"/>
    <x v="0"/>
    <n v="7894"/>
    <x v="0"/>
    <x v="0"/>
    <s v="ATORVASTATIN CALCIUM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2"/>
  </r>
  <r>
    <x v="2"/>
    <x v="0"/>
    <n v="10071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n v="2"/>
  </r>
  <r>
    <x v="2"/>
    <x v="0"/>
    <n v="11014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2"/>
    <x v="0"/>
    <n v="1374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4181"/>
    <x v="0"/>
    <x v="0"/>
    <s v="ROSUVASTATIN CALCIUM"/>
    <m/>
    <n v="1"/>
    <m/>
    <m/>
    <m/>
    <m/>
    <m/>
    <m/>
    <m/>
    <m/>
    <m/>
    <m/>
    <m/>
    <m/>
    <m/>
    <m/>
    <m/>
    <m/>
    <n v="2"/>
    <m/>
    <m/>
    <m/>
    <m/>
    <m/>
    <m/>
    <m/>
    <m/>
    <m/>
    <n v="1"/>
    <n v="4"/>
  </r>
  <r>
    <x v="2"/>
    <x v="0"/>
    <n v="14290"/>
    <x v="0"/>
    <x v="1"/>
    <s v="CIMETIDINE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1429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603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7630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7630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7630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9937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0039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011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2"/>
    <x v="0"/>
    <n v="20937"/>
    <x v="0"/>
    <x v="3"/>
    <s v="RABEPRAZOLE SODIUM"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n v="2"/>
  </r>
  <r>
    <x v="2"/>
    <x v="0"/>
    <n v="22643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3470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2"/>
    <x v="0"/>
    <n v="24654"/>
    <x v="0"/>
    <x v="3"/>
    <s v="OMEPRAZOLE"/>
    <n v="1"/>
    <m/>
    <m/>
    <m/>
    <n v="2"/>
    <m/>
    <m/>
    <m/>
    <m/>
    <m/>
    <m/>
    <m/>
    <m/>
    <m/>
    <n v="1"/>
    <m/>
    <m/>
    <m/>
    <m/>
    <m/>
    <m/>
    <m/>
    <m/>
    <m/>
    <n v="2"/>
    <m/>
    <m/>
    <m/>
    <m/>
    <n v="6"/>
  </r>
  <r>
    <x v="2"/>
    <x v="0"/>
    <n v="2488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4887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497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026"/>
    <x v="0"/>
    <x v="3"/>
    <s v="PANTOPRAZOLE SOD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2"/>
    <x v="0"/>
    <n v="25122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156"/>
    <x v="0"/>
    <x v="3"/>
    <s v="OMEPRAZOLE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2"/>
    <x v="0"/>
    <n v="25318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436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449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708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6039"/>
    <x v="0"/>
    <x v="3"/>
    <s v="OMEPRAZOLE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2"/>
    <x v="0"/>
    <n v="26374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6468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2"/>
    <x v="0"/>
    <n v="26770"/>
    <x v="0"/>
    <x v="2"/>
    <s v="MISOPROSTOL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7063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7126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7371"/>
    <x v="0"/>
    <x v="1"/>
    <s v="RANITIDINE HCL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2"/>
    <x v="0"/>
    <n v="29100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922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9383"/>
    <x v="0"/>
    <x v="3"/>
    <s v="PANTOPRAZOLE MAGNESIUM"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</r>
  <r>
    <x v="2"/>
    <x v="0"/>
    <n v="2950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9911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026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0396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0481"/>
    <x v="0"/>
    <x v="0"/>
    <s v="ATORVASTATIN CALCIUM"/>
    <m/>
    <m/>
    <m/>
    <m/>
    <m/>
    <m/>
    <m/>
    <m/>
    <m/>
    <m/>
    <m/>
    <m/>
    <m/>
    <n v="1"/>
    <m/>
    <m/>
    <m/>
    <m/>
    <m/>
    <m/>
    <m/>
    <m/>
    <n v="1"/>
    <m/>
    <m/>
    <n v="1"/>
    <m/>
    <m/>
    <m/>
    <n v="3"/>
  </r>
  <r>
    <x v="2"/>
    <x v="0"/>
    <n v="30920"/>
    <x v="0"/>
    <x v="2"/>
    <s v="MISOPROSTOL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2"/>
    <x v="0"/>
    <n v="31443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164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3857"/>
    <x v="0"/>
    <x v="0"/>
    <s v="ROSUVASTATIN CALCIUM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n v="2"/>
  </r>
  <r>
    <x v="2"/>
    <x v="0"/>
    <n v="881"/>
    <x v="1"/>
    <x v="0"/>
    <s v="ATORVASTATIN CALCIUM"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n v="3"/>
  </r>
  <r>
    <x v="2"/>
    <x v="0"/>
    <n v="1767"/>
    <x v="1"/>
    <x v="0"/>
    <s v="ATORVASTATIN CALCIUM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2"/>
  </r>
  <r>
    <x v="2"/>
    <x v="0"/>
    <n v="6866"/>
    <x v="1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2"/>
    <x v="0"/>
    <n v="7019"/>
    <x v="1"/>
    <x v="3"/>
    <s v="RABEPRAZOLE SODIUM"/>
    <n v="1"/>
    <m/>
    <n v="1"/>
    <m/>
    <m/>
    <m/>
    <m/>
    <m/>
    <m/>
    <m/>
    <m/>
    <m/>
    <m/>
    <n v="1"/>
    <m/>
    <m/>
    <m/>
    <m/>
    <m/>
    <n v="1"/>
    <m/>
    <m/>
    <m/>
    <n v="1"/>
    <m/>
    <m/>
    <n v="1"/>
    <m/>
    <m/>
    <n v="6"/>
  </r>
  <r>
    <x v="2"/>
    <x v="0"/>
    <n v="7832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0008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2"/>
  </r>
  <r>
    <x v="2"/>
    <x v="0"/>
    <n v="11414"/>
    <x v="1"/>
    <x v="0"/>
    <s v="SIMVASTATIN"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</r>
  <r>
    <x v="2"/>
    <x v="0"/>
    <n v="15724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n v="2"/>
  </r>
  <r>
    <x v="2"/>
    <x v="0"/>
    <n v="19000"/>
    <x v="1"/>
    <x v="3"/>
    <s v="RABEPRAZOLE SODIUM"/>
    <n v="1"/>
    <n v="1"/>
    <n v="1"/>
    <n v="1"/>
    <n v="1"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7"/>
  </r>
  <r>
    <x v="2"/>
    <x v="0"/>
    <n v="20121"/>
    <x v="1"/>
    <x v="0"/>
    <s v="AMLODIPINE/ATORVASTATIN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2"/>
    <x v="0"/>
    <n v="20121"/>
    <x v="1"/>
    <x v="0"/>
    <s v="ROSU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0121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4627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4814"/>
    <x v="1"/>
    <x v="0"/>
    <s v="ROSUVASTATIN CALCIUM"/>
    <m/>
    <n v="3"/>
    <m/>
    <m/>
    <m/>
    <m/>
    <m/>
    <m/>
    <m/>
    <m/>
    <m/>
    <m/>
    <m/>
    <m/>
    <m/>
    <m/>
    <m/>
    <m/>
    <m/>
    <m/>
    <m/>
    <m/>
    <m/>
    <n v="1"/>
    <m/>
    <m/>
    <m/>
    <m/>
    <m/>
    <n v="4"/>
  </r>
  <r>
    <x v="2"/>
    <x v="0"/>
    <n v="24829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4829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</r>
  <r>
    <x v="2"/>
    <x v="0"/>
    <n v="25024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</r>
  <r>
    <x v="2"/>
    <x v="0"/>
    <n v="2502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319"/>
    <x v="1"/>
    <x v="1"/>
    <s v="RANITIDINE HCL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</r>
  <r>
    <x v="2"/>
    <x v="0"/>
    <n v="25435"/>
    <x v="1"/>
    <x v="3"/>
    <s v="OMEPRAZOLE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</r>
  <r>
    <x v="2"/>
    <x v="0"/>
    <n v="27158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7335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2"/>
    <x v="0"/>
    <n v="27758"/>
    <x v="1"/>
    <x v="3"/>
    <s v="PANTOPRAZOLE MAGNESIUM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</r>
  <r>
    <x v="2"/>
    <x v="0"/>
    <n v="28022"/>
    <x v="1"/>
    <x v="3"/>
    <s v="PANTO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28359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037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3483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415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415"/>
    <x v="0"/>
    <x v="3"/>
    <s v="OMEPRAZOLE MAGNES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2"/>
    <x v="0"/>
    <n v="1617"/>
    <x v="0"/>
    <x v="3"/>
    <s v="OMEPRAZOLE"/>
    <m/>
    <m/>
    <m/>
    <m/>
    <m/>
    <m/>
    <m/>
    <m/>
    <m/>
    <n v="3"/>
    <m/>
    <m/>
    <m/>
    <m/>
    <m/>
    <m/>
    <n v="1"/>
    <m/>
    <m/>
    <m/>
    <m/>
    <m/>
    <m/>
    <m/>
    <m/>
    <m/>
    <m/>
    <m/>
    <n v="1"/>
    <n v="5"/>
  </r>
  <r>
    <x v="2"/>
    <x v="0"/>
    <n v="2338"/>
    <x v="0"/>
    <x v="3"/>
    <s v="OMEPRAZOLE MAGNESIUM"/>
    <m/>
    <m/>
    <m/>
    <n v="2"/>
    <m/>
    <m/>
    <m/>
    <m/>
    <m/>
    <m/>
    <m/>
    <m/>
    <m/>
    <m/>
    <m/>
    <m/>
    <m/>
    <m/>
    <m/>
    <n v="1"/>
    <m/>
    <m/>
    <m/>
    <m/>
    <m/>
    <m/>
    <m/>
    <m/>
    <m/>
    <n v="3"/>
  </r>
  <r>
    <x v="2"/>
    <x v="0"/>
    <n v="3087"/>
    <x v="0"/>
    <x v="3"/>
    <s v="LANSOPRAZOLE"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1"/>
    <m/>
    <n v="7"/>
  </r>
  <r>
    <x v="2"/>
    <x v="0"/>
    <n v="322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228"/>
    <x v="0"/>
    <x v="3"/>
    <s v="PANTOPRAZOLE SODIUM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n v="2"/>
  </r>
  <r>
    <x v="2"/>
    <x v="0"/>
    <n v="3233"/>
    <x v="0"/>
    <x v="3"/>
    <s v="RABEPRAZOLE SODIUM"/>
    <m/>
    <m/>
    <m/>
    <m/>
    <n v="2"/>
    <m/>
    <m/>
    <m/>
    <m/>
    <n v="2"/>
    <m/>
    <m/>
    <m/>
    <n v="1"/>
    <m/>
    <m/>
    <n v="1"/>
    <m/>
    <m/>
    <m/>
    <m/>
    <n v="1"/>
    <m/>
    <m/>
    <m/>
    <n v="2"/>
    <m/>
    <m/>
    <m/>
    <n v="9"/>
  </r>
  <r>
    <x v="2"/>
    <x v="0"/>
    <n v="3344"/>
    <x v="0"/>
    <x v="3"/>
    <s v="RABEPRAZOLE SODIUM"/>
    <n v="1"/>
    <m/>
    <m/>
    <m/>
    <m/>
    <n v="1"/>
    <m/>
    <m/>
    <m/>
    <m/>
    <m/>
    <m/>
    <m/>
    <m/>
    <m/>
    <n v="1"/>
    <n v="1"/>
    <m/>
    <m/>
    <m/>
    <n v="2"/>
    <m/>
    <n v="1"/>
    <n v="2"/>
    <m/>
    <m/>
    <m/>
    <m/>
    <m/>
    <n v="9"/>
  </r>
  <r>
    <x v="2"/>
    <x v="0"/>
    <n v="443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443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2"/>
    <x v="0"/>
    <n v="4486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n v="2"/>
  </r>
  <r>
    <x v="2"/>
    <x v="0"/>
    <n v="4486"/>
    <x v="0"/>
    <x v="3"/>
    <s v="OMEPRAZOLE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n v="2"/>
  </r>
  <r>
    <x v="2"/>
    <x v="0"/>
    <n v="4589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4589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576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6865"/>
    <x v="0"/>
    <x v="3"/>
    <s v="LANSOPRAZOLE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2"/>
  </r>
  <r>
    <x v="2"/>
    <x v="0"/>
    <n v="7767"/>
    <x v="0"/>
    <x v="3"/>
    <s v="ESOMEPRAZOLE MAGNES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9121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028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0921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2"/>
    <x v="0"/>
    <n v="1102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1625"/>
    <x v="0"/>
    <x v="3"/>
    <s v="OMEPRAZOLE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2"/>
    <x v="0"/>
    <n v="13423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3423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6040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6174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617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4790"/>
    <x v="0"/>
    <x v="1"/>
    <s v="RANITIDINE HCL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2"/>
    <x v="0"/>
    <n v="2483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5139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953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956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998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0185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1828"/>
    <x v="0"/>
    <x v="3"/>
    <s v="PANTOPRAZOLE SODIUM"/>
    <m/>
    <m/>
    <n v="1"/>
    <m/>
    <m/>
    <m/>
    <m/>
    <m/>
    <m/>
    <m/>
    <m/>
    <m/>
    <m/>
    <m/>
    <m/>
    <n v="1"/>
    <m/>
    <m/>
    <m/>
    <n v="1"/>
    <m/>
    <m/>
    <m/>
    <m/>
    <m/>
    <m/>
    <m/>
    <m/>
    <m/>
    <n v="3"/>
  </r>
  <r>
    <x v="2"/>
    <x v="0"/>
    <n v="845"/>
    <x v="1"/>
    <x v="3"/>
    <s v="RABEPRAZOLE SODIUM"/>
    <n v="1"/>
    <m/>
    <m/>
    <m/>
    <n v="1"/>
    <m/>
    <m/>
    <m/>
    <m/>
    <m/>
    <n v="1"/>
    <m/>
    <m/>
    <m/>
    <m/>
    <n v="1"/>
    <m/>
    <m/>
    <m/>
    <n v="1"/>
    <m/>
    <m/>
    <m/>
    <n v="1"/>
    <n v="1"/>
    <m/>
    <m/>
    <m/>
    <m/>
    <n v="7"/>
  </r>
  <r>
    <x v="2"/>
    <x v="0"/>
    <n v="4424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5463"/>
    <x v="1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2"/>
    <x v="0"/>
    <n v="7893"/>
    <x v="1"/>
    <x v="0"/>
    <s v="PRAVASTATIN SODIUM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2"/>
  </r>
  <r>
    <x v="2"/>
    <x v="0"/>
    <n v="8898"/>
    <x v="1"/>
    <x v="3"/>
    <s v="LANSOPRAZOLE"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n v="2"/>
  </r>
  <r>
    <x v="2"/>
    <x v="0"/>
    <n v="11214"/>
    <x v="1"/>
    <x v="0"/>
    <s v="ATORVASTATIN CALCIUM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2"/>
  </r>
  <r>
    <x v="2"/>
    <x v="0"/>
    <n v="12044"/>
    <x v="1"/>
    <x v="3"/>
    <s v="PANTOPRAZOLE SOD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2"/>
  </r>
  <r>
    <x v="2"/>
    <x v="0"/>
    <n v="14175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6141"/>
    <x v="1"/>
    <x v="3"/>
    <s v="LANSOPRAZOLE"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</r>
  <r>
    <x v="2"/>
    <x v="0"/>
    <n v="18938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0257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0315"/>
    <x v="1"/>
    <x v="3"/>
    <s v="RABEPRAZOLE SODIUM"/>
    <m/>
    <n v="1"/>
    <m/>
    <m/>
    <n v="1"/>
    <m/>
    <m/>
    <m/>
    <m/>
    <n v="1"/>
    <m/>
    <m/>
    <m/>
    <m/>
    <n v="1"/>
    <m/>
    <m/>
    <n v="1"/>
    <m/>
    <m/>
    <m/>
    <n v="1"/>
    <m/>
    <m/>
    <m/>
    <m/>
    <m/>
    <n v="2"/>
    <m/>
    <n v="8"/>
  </r>
  <r>
    <x v="2"/>
    <x v="0"/>
    <n v="21745"/>
    <x v="1"/>
    <x v="3"/>
    <s v="OMEPRAZOLE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</r>
  <r>
    <x v="2"/>
    <x v="0"/>
    <n v="25966"/>
    <x v="1"/>
    <x v="3"/>
    <s v="OMEPRAZOLE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2"/>
  </r>
  <r>
    <x v="2"/>
    <x v="0"/>
    <n v="26358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6358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6706"/>
    <x v="1"/>
    <x v="1"/>
    <s v="RANITIDINE HCL"/>
    <m/>
    <m/>
    <m/>
    <m/>
    <m/>
    <m/>
    <m/>
    <m/>
    <n v="1"/>
    <m/>
    <m/>
    <m/>
    <m/>
    <m/>
    <n v="1"/>
    <m/>
    <m/>
    <m/>
    <n v="1"/>
    <m/>
    <m/>
    <m/>
    <m/>
    <m/>
    <m/>
    <m/>
    <m/>
    <m/>
    <m/>
    <n v="3"/>
  </r>
  <r>
    <x v="2"/>
    <x v="0"/>
    <n v="27297"/>
    <x v="1"/>
    <x v="3"/>
    <s v="ESOMEPRAZOLE MAGNESIUM"/>
    <m/>
    <m/>
    <m/>
    <n v="1"/>
    <m/>
    <m/>
    <m/>
    <m/>
    <m/>
    <m/>
    <m/>
    <m/>
    <m/>
    <m/>
    <m/>
    <m/>
    <m/>
    <m/>
    <m/>
    <m/>
    <m/>
    <m/>
    <m/>
    <m/>
    <m/>
    <m/>
    <m/>
    <n v="2"/>
    <m/>
    <n v="3"/>
  </r>
  <r>
    <x v="2"/>
    <x v="0"/>
    <n v="2755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9600"/>
    <x v="0"/>
    <x v="3"/>
    <s v="RABEPRAZOLE SOD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2"/>
    <x v="0"/>
    <n v="235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9313"/>
    <x v="0"/>
    <x v="1"/>
    <s v="RANITIDINE HCL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2"/>
    <x v="0"/>
    <n v="931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9964"/>
    <x v="0"/>
    <x v="3"/>
    <s v="PANTOPRAZOLE MAGNESIUM"/>
    <m/>
    <m/>
    <n v="2"/>
    <m/>
    <m/>
    <n v="1"/>
    <m/>
    <m/>
    <m/>
    <m/>
    <n v="1"/>
    <m/>
    <m/>
    <m/>
    <m/>
    <m/>
    <n v="1"/>
    <m/>
    <m/>
    <m/>
    <n v="2"/>
    <m/>
    <m/>
    <m/>
    <n v="1"/>
    <m/>
    <m/>
    <m/>
    <m/>
    <n v="8"/>
  </r>
  <r>
    <x v="2"/>
    <x v="0"/>
    <n v="12999"/>
    <x v="0"/>
    <x v="3"/>
    <s v="OMEPRAZOLE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2"/>
    <x v="0"/>
    <n v="15818"/>
    <x v="0"/>
    <x v="3"/>
    <s v="OMEPRAZOLE MAGNESIUM"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2"/>
    <x v="0"/>
    <n v="31745"/>
    <x v="0"/>
    <x v="3"/>
    <s v="OMEPRAZOLE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3174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</r>
  <r>
    <x v="2"/>
    <x v="0"/>
    <n v="1948"/>
    <x v="1"/>
    <x v="3"/>
    <s v="OMEPRAZOLE MAGNESIUM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2"/>
  </r>
  <r>
    <x v="2"/>
    <x v="0"/>
    <n v="1101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334"/>
    <x v="1"/>
    <x v="3"/>
    <s v="RABEPRAZOLE SODIUM"/>
    <n v="1"/>
    <n v="1"/>
    <m/>
    <n v="2"/>
    <n v="1"/>
    <n v="1"/>
    <m/>
    <m/>
    <n v="3"/>
    <n v="1"/>
    <n v="1"/>
    <m/>
    <n v="2"/>
    <n v="1"/>
    <n v="1"/>
    <n v="1"/>
    <n v="1"/>
    <n v="1"/>
    <n v="1"/>
    <n v="1"/>
    <n v="1"/>
    <m/>
    <n v="1"/>
    <m/>
    <m/>
    <m/>
    <m/>
    <m/>
    <m/>
    <n v="22"/>
  </r>
  <r>
    <x v="2"/>
    <x v="0"/>
    <n v="10288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1459"/>
    <x v="0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9724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6810"/>
    <x v="0"/>
    <x v="0"/>
    <s v="SIMVASTATIN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</r>
  <r>
    <x v="2"/>
    <x v="0"/>
    <n v="7366"/>
    <x v="0"/>
    <x v="0"/>
    <s v="ATORVASTATIN CALC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7527"/>
    <x v="0"/>
    <x v="6"/>
    <s v="EZETIMIBE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2"/>
    <x v="0"/>
    <n v="7833"/>
    <x v="0"/>
    <x v="0"/>
    <s v="ROSU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2"/>
    <x v="0"/>
    <n v="7896"/>
    <x v="0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2"/>
    <x v="0"/>
    <n v="9600"/>
    <x v="0"/>
    <x v="0"/>
    <s v="ROSU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2"/>
    <x v="0"/>
    <n v="10576"/>
    <x v="0"/>
    <x v="0"/>
    <s v="ATORVASTATIN CALC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2"/>
  </r>
  <r>
    <x v="2"/>
    <x v="0"/>
    <n v="10636"/>
    <x v="0"/>
    <x v="0"/>
    <s v="LOVASTATIN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2"/>
    <x v="0"/>
    <n v="10867"/>
    <x v="0"/>
    <x v="6"/>
    <s v="EZETIMIBE"/>
    <m/>
    <m/>
    <m/>
    <m/>
    <m/>
    <m/>
    <m/>
    <m/>
    <m/>
    <m/>
    <m/>
    <n v="1"/>
    <n v="1"/>
    <m/>
    <m/>
    <m/>
    <m/>
    <m/>
    <m/>
    <m/>
    <m/>
    <m/>
    <m/>
    <m/>
    <m/>
    <n v="1"/>
    <m/>
    <m/>
    <m/>
    <n v="3"/>
  </r>
  <r>
    <x v="2"/>
    <x v="0"/>
    <n v="10891"/>
    <x v="0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n v="2"/>
  </r>
  <r>
    <x v="2"/>
    <x v="0"/>
    <n v="11965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2"/>
    <x v="0"/>
    <n v="12581"/>
    <x v="0"/>
    <x v="0"/>
    <s v="ATORVASTATIN CALC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1265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13050"/>
    <x v="0"/>
    <x v="0"/>
    <s v="ATORVASTATIN CALCIUM"/>
    <m/>
    <m/>
    <m/>
    <m/>
    <m/>
    <m/>
    <m/>
    <m/>
    <m/>
    <m/>
    <m/>
    <n v="5"/>
    <m/>
    <m/>
    <m/>
    <m/>
    <m/>
    <m/>
    <m/>
    <m/>
    <m/>
    <m/>
    <m/>
    <m/>
    <m/>
    <m/>
    <m/>
    <n v="3"/>
    <m/>
    <n v="8"/>
  </r>
  <r>
    <x v="2"/>
    <x v="0"/>
    <n v="13665"/>
    <x v="0"/>
    <x v="0"/>
    <s v="ATORVASTATIN CALCIUM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2"/>
    <x v="0"/>
    <n v="13712"/>
    <x v="0"/>
    <x v="0"/>
    <s v="ROSUVASTATIN CALCIUM"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n v="2"/>
  </r>
  <r>
    <x v="2"/>
    <x v="0"/>
    <n v="15606"/>
    <x v="0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2"/>
    <x v="0"/>
    <n v="19322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2"/>
    <x v="0"/>
    <n v="2522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6039"/>
    <x v="0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7700"/>
    <x v="0"/>
    <x v="0"/>
    <s v="ATORVASTATIN CALC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2"/>
    <x v="0"/>
    <n v="3026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33016"/>
    <x v="0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2"/>
    <x v="0"/>
    <n v="5532"/>
    <x v="1"/>
    <x v="0"/>
    <s v="LOVASTATIN"/>
    <m/>
    <m/>
    <m/>
    <m/>
    <m/>
    <n v="1"/>
    <m/>
    <m/>
    <m/>
    <n v="1"/>
    <m/>
    <m/>
    <m/>
    <m/>
    <m/>
    <m/>
    <m/>
    <m/>
    <m/>
    <m/>
    <m/>
    <n v="1"/>
    <m/>
    <m/>
    <m/>
    <m/>
    <m/>
    <m/>
    <m/>
    <n v="3"/>
  </r>
  <r>
    <x v="2"/>
    <x v="0"/>
    <n v="7895"/>
    <x v="1"/>
    <x v="0"/>
    <s v="ROSU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2"/>
    <x v="0"/>
    <n v="9120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2"/>
    <x v="0"/>
    <n v="13069"/>
    <x v="1"/>
    <x v="0"/>
    <s v="ATOR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2"/>
    <x v="0"/>
    <n v="15061"/>
    <x v="1"/>
    <x v="0"/>
    <s v="ATORVASTATIN CALCIUM"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n v="2"/>
  </r>
  <r>
    <x v="2"/>
    <x v="0"/>
    <n v="17751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n v="3"/>
  </r>
  <r>
    <x v="2"/>
    <x v="0"/>
    <n v="18532"/>
    <x v="1"/>
    <x v="0"/>
    <s v="ATORVASTATIN CALCIUM"/>
    <n v="1"/>
    <m/>
    <m/>
    <m/>
    <m/>
    <m/>
    <m/>
    <m/>
    <m/>
    <m/>
    <m/>
    <m/>
    <m/>
    <m/>
    <m/>
    <m/>
    <n v="1"/>
    <m/>
    <m/>
    <m/>
    <m/>
    <m/>
    <m/>
    <m/>
    <m/>
    <m/>
    <m/>
    <m/>
    <n v="1"/>
    <n v="3"/>
  </r>
  <r>
    <x v="2"/>
    <x v="0"/>
    <n v="19000"/>
    <x v="1"/>
    <x v="0"/>
    <s v="SIMVASTATIN"/>
    <n v="1"/>
    <n v="1"/>
    <n v="1"/>
    <n v="1"/>
    <n v="1"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7"/>
  </r>
  <r>
    <x v="2"/>
    <x v="0"/>
    <n v="25123"/>
    <x v="1"/>
    <x v="0"/>
    <s v="ROSU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2"/>
    <x v="0"/>
    <n v="27738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2"/>
    <x v="0"/>
    <n v="27984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2"/>
    <x v="0"/>
    <n v="1882"/>
    <x v="0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m/>
    <n v="2"/>
    <m/>
    <m/>
    <m/>
    <n v="3"/>
  </r>
  <r>
    <x v="2"/>
    <x v="0"/>
    <n v="3228"/>
    <x v="0"/>
    <x v="0"/>
    <s v="ROSU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2"/>
    <x v="0"/>
    <n v="3344"/>
    <x v="0"/>
    <x v="0"/>
    <s v="ROSUVASTATIN CALCIUM"/>
    <n v="1"/>
    <m/>
    <m/>
    <m/>
    <m/>
    <m/>
    <m/>
    <m/>
    <m/>
    <m/>
    <m/>
    <n v="1"/>
    <m/>
    <m/>
    <m/>
    <n v="1"/>
    <m/>
    <m/>
    <m/>
    <n v="1"/>
    <m/>
    <m/>
    <m/>
    <n v="1"/>
    <m/>
    <m/>
    <m/>
    <m/>
    <n v="2"/>
    <n v="7"/>
  </r>
  <r>
    <x v="2"/>
    <x v="0"/>
    <n v="9964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2"/>
    <x v="0"/>
    <n v="12912"/>
    <x v="0"/>
    <x v="0"/>
    <s v="ATORVASTATIN CALCIUM"/>
    <m/>
    <m/>
    <m/>
    <m/>
    <m/>
    <m/>
    <m/>
    <m/>
    <m/>
    <m/>
    <n v="1"/>
    <m/>
    <m/>
    <m/>
    <m/>
    <m/>
    <m/>
    <m/>
    <m/>
    <m/>
    <m/>
    <m/>
    <n v="2"/>
    <m/>
    <m/>
    <m/>
    <n v="1"/>
    <m/>
    <m/>
    <n v="4"/>
  </r>
  <r>
    <x v="2"/>
    <x v="0"/>
    <n v="12999"/>
    <x v="0"/>
    <x v="0"/>
    <s v="ATORVASTATIN CALC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2"/>
    <x v="0"/>
    <n v="16938"/>
    <x v="0"/>
    <x v="0"/>
    <s v="ATORVASTATIN CALCIUM"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n v="2"/>
  </r>
  <r>
    <x v="2"/>
    <x v="0"/>
    <n v="22653"/>
    <x v="0"/>
    <x v="0"/>
    <s v="ROSU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2"/>
    <x v="0"/>
    <n v="1948"/>
    <x v="1"/>
    <x v="0"/>
    <s v="ATORVASTATIN CALCIUM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2"/>
  </r>
  <r>
    <x v="2"/>
    <x v="0"/>
    <n v="16141"/>
    <x v="1"/>
    <x v="0"/>
    <s v="ATOR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2"/>
    <x v="0"/>
    <n v="20315"/>
    <x v="1"/>
    <x v="0"/>
    <s v="ATORVASTATIN CALCIUM"/>
    <m/>
    <n v="1"/>
    <m/>
    <m/>
    <n v="1"/>
    <m/>
    <m/>
    <m/>
    <m/>
    <n v="1"/>
    <m/>
    <m/>
    <m/>
    <m/>
    <n v="1"/>
    <m/>
    <m/>
    <n v="1"/>
    <m/>
    <m/>
    <m/>
    <n v="1"/>
    <m/>
    <m/>
    <m/>
    <m/>
    <m/>
    <n v="1"/>
    <m/>
    <n v="7"/>
  </r>
  <r>
    <x v="3"/>
    <x v="0"/>
    <n v="63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3"/>
    <x v="0"/>
    <n v="883"/>
    <x v="0"/>
    <x v="0"/>
    <s v="ATORVASTATIN CALCIUM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2"/>
  </r>
  <r>
    <x v="3"/>
    <x v="0"/>
    <n v="1388"/>
    <x v="0"/>
    <x v="3"/>
    <s v="PANTOPRAZOLE MAGNESIUM"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n v="2"/>
  </r>
  <r>
    <x v="3"/>
    <x v="0"/>
    <n v="1511"/>
    <x v="0"/>
    <x v="0"/>
    <s v="ATORVASTATIN CALCIUM"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</r>
  <r>
    <x v="3"/>
    <x v="0"/>
    <n v="2462"/>
    <x v="0"/>
    <x v="3"/>
    <s v="PANTOPRAZOLE MAGNESIUM"/>
    <n v="1"/>
    <m/>
    <n v="1"/>
    <m/>
    <n v="1"/>
    <m/>
    <m/>
    <n v="1"/>
    <m/>
    <n v="1"/>
    <m/>
    <n v="1"/>
    <m/>
    <n v="1"/>
    <m/>
    <n v="1"/>
    <m/>
    <n v="1"/>
    <m/>
    <n v="1"/>
    <m/>
    <n v="1"/>
    <m/>
    <n v="1"/>
    <n v="1"/>
    <m/>
    <m/>
    <n v="1"/>
    <m/>
    <n v="14"/>
  </r>
  <r>
    <x v="3"/>
    <x v="0"/>
    <n v="2778"/>
    <x v="0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3"/>
    <x v="0"/>
    <n v="3851"/>
    <x v="0"/>
    <x v="0"/>
    <s v="ROSUVASTATIN CALCIUM"/>
    <n v="1"/>
    <m/>
    <m/>
    <m/>
    <m/>
    <n v="1"/>
    <m/>
    <m/>
    <m/>
    <m/>
    <m/>
    <m/>
    <n v="1"/>
    <m/>
    <m/>
    <m/>
    <m/>
    <m/>
    <m/>
    <m/>
    <m/>
    <m/>
    <n v="2"/>
    <m/>
    <m/>
    <m/>
    <m/>
    <m/>
    <m/>
    <n v="5"/>
  </r>
  <r>
    <x v="3"/>
    <x v="0"/>
    <n v="5739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5739"/>
    <x v="0"/>
    <x v="3"/>
    <s v="RABEPRAZOLE SODIUM"/>
    <m/>
    <n v="2"/>
    <m/>
    <m/>
    <m/>
    <n v="2"/>
    <m/>
    <m/>
    <m/>
    <m/>
    <m/>
    <m/>
    <m/>
    <m/>
    <m/>
    <m/>
    <n v="1"/>
    <m/>
    <m/>
    <m/>
    <m/>
    <m/>
    <m/>
    <m/>
    <n v="1"/>
    <m/>
    <m/>
    <m/>
    <m/>
    <n v="6"/>
  </r>
  <r>
    <x v="3"/>
    <x v="0"/>
    <n v="6210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3"/>
    <x v="0"/>
    <n v="7198"/>
    <x v="0"/>
    <x v="3"/>
    <s v="PANTOPRAZOLE MAGNESIUM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3"/>
    <x v="0"/>
    <n v="7985"/>
    <x v="0"/>
    <x v="0"/>
    <s v="ROSUVASTATIN CALC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3"/>
    <x v="0"/>
    <n v="1032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0956"/>
    <x v="0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1095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138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2293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3"/>
    <x v="0"/>
    <n v="12293"/>
    <x v="0"/>
    <x v="3"/>
    <s v="RABE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3"/>
    <x v="0"/>
    <n v="12650"/>
    <x v="0"/>
    <x v="0"/>
    <s v="SIMVASTATIN"/>
    <m/>
    <m/>
    <m/>
    <m/>
    <m/>
    <m/>
    <m/>
    <m/>
    <n v="1"/>
    <m/>
    <m/>
    <m/>
    <m/>
    <m/>
    <m/>
    <m/>
    <m/>
    <m/>
    <m/>
    <n v="1"/>
    <m/>
    <n v="1"/>
    <m/>
    <m/>
    <m/>
    <m/>
    <m/>
    <m/>
    <m/>
    <n v="3"/>
  </r>
  <r>
    <x v="3"/>
    <x v="0"/>
    <n v="12650"/>
    <x v="0"/>
    <x v="3"/>
    <s v="RABEPRAZOLE SODIUM"/>
    <m/>
    <m/>
    <m/>
    <m/>
    <m/>
    <m/>
    <m/>
    <m/>
    <n v="1"/>
    <m/>
    <m/>
    <m/>
    <m/>
    <m/>
    <m/>
    <m/>
    <m/>
    <m/>
    <m/>
    <n v="1"/>
    <m/>
    <n v="1"/>
    <m/>
    <m/>
    <m/>
    <m/>
    <m/>
    <m/>
    <m/>
    <n v="3"/>
  </r>
  <r>
    <x v="3"/>
    <x v="0"/>
    <n v="1324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3"/>
    <x v="0"/>
    <n v="13456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4091"/>
    <x v="0"/>
    <x v="0"/>
    <s v="ATORVASTATIN CALCIUM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2"/>
  </r>
  <r>
    <x v="3"/>
    <x v="0"/>
    <n v="21321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2993"/>
    <x v="0"/>
    <x v="1"/>
    <s v="RANITIDINE HCL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3"/>
    <x v="0"/>
    <n v="24897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3"/>
    <x v="0"/>
    <n v="26668"/>
    <x v="0"/>
    <x v="3"/>
    <s v="RABEPRAZOLE SOD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3"/>
    <x v="0"/>
    <n v="27143"/>
    <x v="0"/>
    <x v="9"/>
    <s v="CHOLESTYRAMINE (WITH SUGAR)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7143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7143"/>
    <x v="0"/>
    <x v="3"/>
    <s v="PANTO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7167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7167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n v="4"/>
    <m/>
    <m/>
    <m/>
    <m/>
    <m/>
    <n v="5"/>
  </r>
  <r>
    <x v="3"/>
    <x v="0"/>
    <n v="27242"/>
    <x v="0"/>
    <x v="3"/>
    <s v="RABEPRAZOLE SODIUM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7786"/>
    <x v="0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3"/>
    <x v="0"/>
    <n v="27864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8017"/>
    <x v="0"/>
    <x v="6"/>
    <s v="EZETIMIBE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3"/>
    <x v="0"/>
    <n v="28017"/>
    <x v="0"/>
    <x v="3"/>
    <s v="ESOMEPRAZOLE MAGNESIUM"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</r>
  <r>
    <x v="3"/>
    <x v="0"/>
    <n v="2927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341"/>
    <x v="0"/>
    <x v="1"/>
    <s v="RANITIDINE HCL"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</r>
  <r>
    <x v="3"/>
    <x v="0"/>
    <n v="29341"/>
    <x v="0"/>
    <x v="0"/>
    <s v="ATORVASTATIN CALCIUM"/>
    <m/>
    <n v="2"/>
    <m/>
    <m/>
    <m/>
    <m/>
    <m/>
    <m/>
    <m/>
    <m/>
    <m/>
    <m/>
    <m/>
    <m/>
    <m/>
    <m/>
    <m/>
    <m/>
    <m/>
    <m/>
    <m/>
    <m/>
    <m/>
    <m/>
    <n v="1"/>
    <m/>
    <m/>
    <m/>
    <m/>
    <n v="3"/>
  </r>
  <r>
    <x v="3"/>
    <x v="0"/>
    <n v="29341"/>
    <x v="0"/>
    <x v="3"/>
    <s v="RABEPRAZOLE SODIUM"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3"/>
    <x v="0"/>
    <n v="29747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74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30259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3"/>
    <x v="0"/>
    <n v="3118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300"/>
    <x v="1"/>
    <x v="0"/>
    <s v="ATORVASTATIN CALCIUM"/>
    <m/>
    <m/>
    <m/>
    <n v="1"/>
    <m/>
    <m/>
    <m/>
    <m/>
    <m/>
    <n v="1"/>
    <m/>
    <m/>
    <n v="1"/>
    <m/>
    <m/>
    <m/>
    <m/>
    <n v="1"/>
    <m/>
    <m/>
    <n v="1"/>
    <m/>
    <m/>
    <m/>
    <n v="1"/>
    <m/>
    <m/>
    <m/>
    <m/>
    <n v="6"/>
  </r>
  <r>
    <x v="3"/>
    <x v="0"/>
    <n v="2569"/>
    <x v="1"/>
    <x v="8"/>
    <s v="FENOFIBRATE, MICRONIZED"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n v="2"/>
  </r>
  <r>
    <x v="3"/>
    <x v="0"/>
    <n v="2569"/>
    <x v="1"/>
    <x v="0"/>
    <s v="ATORVASTATIN CALCIUM"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n v="2"/>
  </r>
  <r>
    <x v="3"/>
    <x v="0"/>
    <n v="2569"/>
    <x v="1"/>
    <x v="3"/>
    <s v="ESOMEPRAZOLE MAGNESIUM"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n v="2"/>
  </r>
  <r>
    <x v="3"/>
    <x v="0"/>
    <n v="5738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6647"/>
    <x v="1"/>
    <x v="0"/>
    <s v="ROSUVASTATIN CALCIUM"/>
    <m/>
    <m/>
    <m/>
    <m/>
    <n v="1"/>
    <m/>
    <m/>
    <m/>
    <m/>
    <n v="1"/>
    <m/>
    <m/>
    <m/>
    <m/>
    <m/>
    <m/>
    <m/>
    <m/>
    <m/>
    <m/>
    <m/>
    <n v="1"/>
    <m/>
    <m/>
    <m/>
    <m/>
    <m/>
    <m/>
    <m/>
    <n v="3"/>
  </r>
  <r>
    <x v="3"/>
    <x v="0"/>
    <n v="7033"/>
    <x v="1"/>
    <x v="0"/>
    <s v="ATORVASTATIN CALCIUM"/>
    <m/>
    <m/>
    <m/>
    <m/>
    <n v="1"/>
    <m/>
    <m/>
    <m/>
    <m/>
    <m/>
    <n v="1"/>
    <m/>
    <m/>
    <m/>
    <m/>
    <n v="1"/>
    <m/>
    <m/>
    <m/>
    <m/>
    <m/>
    <m/>
    <m/>
    <m/>
    <m/>
    <m/>
    <m/>
    <m/>
    <m/>
    <n v="3"/>
  </r>
  <r>
    <x v="3"/>
    <x v="0"/>
    <n v="703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1064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1064"/>
    <x v="1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3"/>
    <x v="0"/>
    <n v="12649"/>
    <x v="1"/>
    <x v="0"/>
    <s v="ATORVASTATIN CALCIUM"/>
    <m/>
    <m/>
    <m/>
    <m/>
    <m/>
    <m/>
    <m/>
    <m/>
    <n v="1"/>
    <m/>
    <m/>
    <m/>
    <m/>
    <m/>
    <m/>
    <m/>
    <m/>
    <m/>
    <m/>
    <n v="1"/>
    <m/>
    <n v="1"/>
    <m/>
    <m/>
    <m/>
    <m/>
    <m/>
    <m/>
    <m/>
    <n v="3"/>
  </r>
  <r>
    <x v="3"/>
    <x v="0"/>
    <n v="14707"/>
    <x v="1"/>
    <x v="3"/>
    <s v="RABEPRAZOLE SODIUM"/>
    <m/>
    <m/>
    <m/>
    <n v="1"/>
    <m/>
    <m/>
    <m/>
    <m/>
    <n v="1"/>
    <m/>
    <m/>
    <n v="3"/>
    <m/>
    <m/>
    <m/>
    <n v="1"/>
    <m/>
    <m/>
    <n v="1"/>
    <m/>
    <m/>
    <m/>
    <m/>
    <n v="1"/>
    <m/>
    <m/>
    <m/>
    <m/>
    <n v="1"/>
    <n v="9"/>
  </r>
  <r>
    <x v="3"/>
    <x v="0"/>
    <n v="14990"/>
    <x v="1"/>
    <x v="3"/>
    <s v="RABEPRAZOLE SODIUM"/>
    <m/>
    <n v="1"/>
    <m/>
    <m/>
    <m/>
    <m/>
    <m/>
    <m/>
    <m/>
    <m/>
    <m/>
    <m/>
    <m/>
    <m/>
    <m/>
    <m/>
    <m/>
    <n v="2"/>
    <m/>
    <m/>
    <m/>
    <n v="1"/>
    <m/>
    <m/>
    <m/>
    <m/>
    <n v="1"/>
    <m/>
    <m/>
    <n v="5"/>
  </r>
  <r>
    <x v="3"/>
    <x v="0"/>
    <n v="18342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8342"/>
    <x v="1"/>
    <x v="3"/>
    <s v="RABEPRAZOLE SODIUM"/>
    <m/>
    <n v="2"/>
    <n v="1"/>
    <m/>
    <m/>
    <m/>
    <m/>
    <n v="1"/>
    <m/>
    <m/>
    <m/>
    <m/>
    <n v="1"/>
    <m/>
    <m/>
    <m/>
    <m/>
    <n v="1"/>
    <n v="1"/>
    <m/>
    <m/>
    <m/>
    <n v="1"/>
    <m/>
    <m/>
    <m/>
    <m/>
    <n v="1"/>
    <m/>
    <n v="9"/>
  </r>
  <r>
    <x v="3"/>
    <x v="0"/>
    <n v="19012"/>
    <x v="1"/>
    <x v="0"/>
    <s v="ROSU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1134"/>
    <x v="1"/>
    <x v="0"/>
    <s v="ATOR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3"/>
    <x v="0"/>
    <n v="2135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285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6635"/>
    <x v="1"/>
    <x v="3"/>
    <s v="RABEPRAZOLE SODIUM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</r>
  <r>
    <x v="3"/>
    <x v="0"/>
    <n v="27534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779"/>
    <x v="1"/>
    <x v="0"/>
    <s v="ROSUVASTATIN CALC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3"/>
    <x v="0"/>
    <n v="30608"/>
    <x v="1"/>
    <x v="0"/>
    <s v="ROSUVASTATIN CALCIUM"/>
    <m/>
    <m/>
    <m/>
    <m/>
    <m/>
    <m/>
    <m/>
    <m/>
    <m/>
    <m/>
    <m/>
    <m/>
    <m/>
    <m/>
    <m/>
    <m/>
    <m/>
    <m/>
    <m/>
    <m/>
    <n v="2"/>
    <m/>
    <m/>
    <m/>
    <m/>
    <m/>
    <n v="1"/>
    <m/>
    <m/>
    <n v="3"/>
  </r>
  <r>
    <x v="3"/>
    <x v="0"/>
    <n v="32699"/>
    <x v="1"/>
    <x v="0"/>
    <s v="ATORVASTATIN CALCIUM"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n v="2"/>
  </r>
  <r>
    <x v="3"/>
    <x v="0"/>
    <n v="498"/>
    <x v="0"/>
    <x v="3"/>
    <s v="RABEPRAZOLE SODIUM"/>
    <m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3"/>
  </r>
  <r>
    <x v="3"/>
    <x v="0"/>
    <n v="585"/>
    <x v="0"/>
    <x v="0"/>
    <s v="ATORVASTATIN CALCIUM"/>
    <m/>
    <n v="1"/>
    <m/>
    <n v="1"/>
    <m/>
    <n v="1"/>
    <m/>
    <m/>
    <n v="1"/>
    <m/>
    <n v="1"/>
    <m/>
    <n v="1"/>
    <n v="1"/>
    <m/>
    <m/>
    <n v="1"/>
    <m/>
    <n v="1"/>
    <m/>
    <n v="1"/>
    <m/>
    <n v="1"/>
    <m/>
    <n v="1"/>
    <m/>
    <n v="1"/>
    <m/>
    <n v="1"/>
    <n v="14"/>
  </r>
  <r>
    <x v="3"/>
    <x v="0"/>
    <n v="124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048"/>
    <x v="0"/>
    <x v="0"/>
    <s v="ATORVASTATIN CALCIUM"/>
    <n v="1"/>
    <n v="1"/>
    <n v="1"/>
    <n v="1"/>
    <n v="1"/>
    <n v="1"/>
    <m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7"/>
  </r>
  <r>
    <x v="3"/>
    <x v="0"/>
    <n v="238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687"/>
    <x v="0"/>
    <x v="0"/>
    <s v="SIMVASTATIN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n v="2"/>
  </r>
  <r>
    <x v="3"/>
    <x v="0"/>
    <n v="2745"/>
    <x v="0"/>
    <x v="3"/>
    <s v="RABE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3"/>
    <x v="0"/>
    <n v="2988"/>
    <x v="0"/>
    <x v="3"/>
    <s v="RABEPRAZOLE SODIUM"/>
    <m/>
    <m/>
    <m/>
    <m/>
    <m/>
    <m/>
    <m/>
    <m/>
    <n v="5"/>
    <m/>
    <m/>
    <m/>
    <m/>
    <m/>
    <m/>
    <m/>
    <m/>
    <m/>
    <m/>
    <n v="1"/>
    <m/>
    <m/>
    <m/>
    <m/>
    <m/>
    <m/>
    <m/>
    <m/>
    <m/>
    <n v="6"/>
  </r>
  <r>
    <x v="3"/>
    <x v="0"/>
    <n v="4527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571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5944"/>
    <x v="0"/>
    <x v="0"/>
    <s v="ATORVASTATIN CALCIUM"/>
    <m/>
    <n v="1"/>
    <m/>
    <n v="1"/>
    <m/>
    <n v="1"/>
    <m/>
    <m/>
    <n v="1"/>
    <m/>
    <n v="1"/>
    <m/>
    <n v="1"/>
    <n v="1"/>
    <m/>
    <m/>
    <n v="1"/>
    <m/>
    <n v="1"/>
    <m/>
    <n v="1"/>
    <m/>
    <n v="1"/>
    <m/>
    <n v="1"/>
    <m/>
    <n v="1"/>
    <m/>
    <n v="1"/>
    <n v="14"/>
  </r>
  <r>
    <x v="3"/>
    <x v="0"/>
    <n v="6648"/>
    <x v="0"/>
    <x v="0"/>
    <s v="SIMVASTATIN"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</r>
  <r>
    <x v="3"/>
    <x v="0"/>
    <n v="6648"/>
    <x v="0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6648"/>
    <x v="0"/>
    <x v="3"/>
    <s v="PANTOPRAZOLE SODIUM"/>
    <m/>
    <m/>
    <m/>
    <m/>
    <m/>
    <m/>
    <m/>
    <n v="1"/>
    <m/>
    <m/>
    <n v="1"/>
    <m/>
    <m/>
    <m/>
    <n v="1"/>
    <m/>
    <m/>
    <m/>
    <n v="1"/>
    <m/>
    <m/>
    <n v="1"/>
    <m/>
    <m/>
    <m/>
    <m/>
    <n v="1"/>
    <m/>
    <m/>
    <n v="6"/>
  </r>
  <r>
    <x v="3"/>
    <x v="0"/>
    <n v="718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027"/>
    <x v="0"/>
    <x v="3"/>
    <s v="LANSOPRAZOLE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3"/>
    <x v="0"/>
    <n v="802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3"/>
    <x v="0"/>
    <n v="8215"/>
    <x v="0"/>
    <x v="3"/>
    <s v="PANTOPRAZOLE MAGNES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2"/>
  </r>
  <r>
    <x v="3"/>
    <x v="0"/>
    <n v="8596"/>
    <x v="0"/>
    <x v="0"/>
    <s v="SIMVASTATIN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3"/>
    <x v="0"/>
    <n v="8760"/>
    <x v="0"/>
    <x v="9"/>
    <s v="CHOLESTYRAMINE (WITH SUGAR)"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n v="2"/>
  </r>
  <r>
    <x v="3"/>
    <x v="0"/>
    <n v="8760"/>
    <x v="0"/>
    <x v="9"/>
    <s v="CHOLESTYRAMINE/ASPARTAME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3"/>
    <x v="0"/>
    <n v="8760"/>
    <x v="0"/>
    <x v="3"/>
    <s v="OMEPRAZOLE MAGNES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3"/>
    <x v="0"/>
    <n v="876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3"/>
    <x v="0"/>
    <n v="9536"/>
    <x v="0"/>
    <x v="0"/>
    <s v="ROSUVASTATIN CALCIUM"/>
    <n v="2"/>
    <m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3"/>
    <x v="0"/>
    <n v="10511"/>
    <x v="0"/>
    <x v="1"/>
    <s v="FAMOTIDINE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10511"/>
    <x v="0"/>
    <x v="3"/>
    <s v="PANTO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12026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2026"/>
    <x v="0"/>
    <x v="3"/>
    <s v="RABEPRAZOLE SODIUM"/>
    <n v="1"/>
    <m/>
    <m/>
    <n v="1"/>
    <m/>
    <m/>
    <m/>
    <m/>
    <m/>
    <m/>
    <m/>
    <m/>
    <m/>
    <m/>
    <m/>
    <m/>
    <m/>
    <m/>
    <m/>
    <m/>
    <m/>
    <m/>
    <m/>
    <m/>
    <m/>
    <n v="1"/>
    <m/>
    <m/>
    <m/>
    <n v="3"/>
  </r>
  <r>
    <x v="3"/>
    <x v="0"/>
    <n v="13450"/>
    <x v="0"/>
    <x v="3"/>
    <s v="PANTOPRAZOLE MAGNES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3"/>
    <x v="0"/>
    <n v="13850"/>
    <x v="0"/>
    <x v="3"/>
    <s v="PANTOPRAZOLE MAGNESIUM"/>
    <m/>
    <m/>
    <m/>
    <m/>
    <n v="2"/>
    <m/>
    <m/>
    <m/>
    <m/>
    <m/>
    <m/>
    <m/>
    <m/>
    <m/>
    <m/>
    <m/>
    <m/>
    <m/>
    <m/>
    <m/>
    <m/>
    <m/>
    <m/>
    <m/>
    <m/>
    <m/>
    <m/>
    <n v="1"/>
    <m/>
    <n v="3"/>
  </r>
  <r>
    <x v="3"/>
    <x v="0"/>
    <n v="15162"/>
    <x v="0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3"/>
    <x v="0"/>
    <n v="1516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6525"/>
    <x v="0"/>
    <x v="0"/>
    <s v="SIMVASTATIN"/>
    <n v="7"/>
    <n v="7"/>
    <n v="7"/>
    <n v="7"/>
    <n v="6"/>
    <n v="3"/>
    <m/>
    <n v="7"/>
    <n v="6"/>
    <n v="7"/>
    <n v="7"/>
    <n v="6"/>
    <n v="7"/>
    <n v="7"/>
    <n v="7"/>
    <n v="6"/>
    <n v="7"/>
    <n v="7"/>
    <n v="7"/>
    <n v="7"/>
    <n v="7"/>
    <n v="7"/>
    <n v="7"/>
    <n v="7"/>
    <n v="6"/>
    <n v="7"/>
    <n v="6"/>
    <m/>
    <n v="3"/>
    <n v="175"/>
  </r>
  <r>
    <x v="3"/>
    <x v="0"/>
    <n v="17134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713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7414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7426"/>
    <x v="0"/>
    <x v="3"/>
    <s v="PANTOPRAZOLE SODIUM"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n v="2"/>
  </r>
  <r>
    <x v="3"/>
    <x v="0"/>
    <n v="19451"/>
    <x v="0"/>
    <x v="0"/>
    <s v="ROSUVASTATIN CALCIUM"/>
    <m/>
    <m/>
    <m/>
    <n v="1"/>
    <m/>
    <m/>
    <m/>
    <m/>
    <m/>
    <m/>
    <m/>
    <m/>
    <n v="1"/>
    <m/>
    <m/>
    <m/>
    <m/>
    <m/>
    <m/>
    <m/>
    <m/>
    <m/>
    <m/>
    <m/>
    <m/>
    <m/>
    <n v="1"/>
    <m/>
    <m/>
    <n v="3"/>
  </r>
  <r>
    <x v="3"/>
    <x v="0"/>
    <n v="19786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3"/>
    <x v="0"/>
    <n v="19786"/>
    <x v="0"/>
    <x v="0"/>
    <s v="ROSUVASTATIN CALCIUM"/>
    <n v="1"/>
    <n v="2"/>
    <n v="1"/>
    <n v="2"/>
    <m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7"/>
  </r>
  <r>
    <x v="3"/>
    <x v="0"/>
    <n v="2046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0657"/>
    <x v="0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0835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3"/>
    <x v="0"/>
    <n v="20835"/>
    <x v="0"/>
    <x v="3"/>
    <s v="ESOMEPRAZOLE MAGNESIUM"/>
    <m/>
    <m/>
    <m/>
    <n v="1"/>
    <m/>
    <m/>
    <m/>
    <m/>
    <m/>
    <m/>
    <m/>
    <m/>
    <m/>
    <m/>
    <m/>
    <n v="2"/>
    <m/>
    <m/>
    <m/>
    <m/>
    <m/>
    <m/>
    <m/>
    <m/>
    <m/>
    <m/>
    <m/>
    <m/>
    <m/>
    <n v="3"/>
  </r>
  <r>
    <x v="3"/>
    <x v="0"/>
    <n v="21170"/>
    <x v="0"/>
    <x v="0"/>
    <s v="ATORVASTATIN CALCIUM"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n v="2"/>
  </r>
  <r>
    <x v="3"/>
    <x v="0"/>
    <n v="21554"/>
    <x v="0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3"/>
    <x v="0"/>
    <n v="2233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2714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2827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7844"/>
    <x v="0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n v="2"/>
  </r>
  <r>
    <x v="3"/>
    <x v="0"/>
    <n v="29937"/>
    <x v="0"/>
    <x v="0"/>
    <s v="ATORVASTATIN CALCIUM"/>
    <m/>
    <m/>
    <m/>
    <m/>
    <m/>
    <m/>
    <m/>
    <m/>
    <n v="1"/>
    <m/>
    <m/>
    <m/>
    <n v="2"/>
    <m/>
    <m/>
    <n v="1"/>
    <m/>
    <m/>
    <m/>
    <m/>
    <m/>
    <m/>
    <m/>
    <m/>
    <m/>
    <m/>
    <m/>
    <m/>
    <m/>
    <n v="4"/>
  </r>
  <r>
    <x v="3"/>
    <x v="0"/>
    <n v="29937"/>
    <x v="0"/>
    <x v="6"/>
    <s v="EZETIMIBE"/>
    <m/>
    <m/>
    <n v="1"/>
    <m/>
    <m/>
    <m/>
    <m/>
    <m/>
    <n v="1"/>
    <m/>
    <m/>
    <m/>
    <m/>
    <m/>
    <m/>
    <m/>
    <n v="1"/>
    <m/>
    <m/>
    <m/>
    <m/>
    <m/>
    <n v="1"/>
    <m/>
    <m/>
    <m/>
    <m/>
    <n v="1"/>
    <m/>
    <n v="5"/>
  </r>
  <r>
    <x v="3"/>
    <x v="0"/>
    <n v="30772"/>
    <x v="0"/>
    <x v="1"/>
    <s v="RANITIDINE HCL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n v="2"/>
  </r>
  <r>
    <x v="3"/>
    <x v="0"/>
    <n v="30772"/>
    <x v="0"/>
    <x v="0"/>
    <s v="ROSUVASTATIN CALCIUM"/>
    <m/>
    <n v="2"/>
    <m/>
    <m/>
    <m/>
    <m/>
    <m/>
    <m/>
    <n v="2"/>
    <m/>
    <m/>
    <m/>
    <m/>
    <m/>
    <m/>
    <m/>
    <m/>
    <m/>
    <m/>
    <m/>
    <m/>
    <n v="1"/>
    <m/>
    <m/>
    <m/>
    <m/>
    <m/>
    <m/>
    <m/>
    <n v="5"/>
  </r>
  <r>
    <x v="3"/>
    <x v="0"/>
    <n v="30941"/>
    <x v="0"/>
    <x v="3"/>
    <s v="RABEPRAZOLE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3"/>
    <x v="0"/>
    <n v="32756"/>
    <x v="0"/>
    <x v="3"/>
    <s v="RABEPRAZOLE SODIUM"/>
    <m/>
    <m/>
    <m/>
    <n v="1"/>
    <m/>
    <m/>
    <m/>
    <m/>
    <m/>
    <n v="1"/>
    <m/>
    <m/>
    <m/>
    <m/>
    <m/>
    <m/>
    <m/>
    <m/>
    <m/>
    <m/>
    <m/>
    <m/>
    <m/>
    <m/>
    <m/>
    <m/>
    <n v="1"/>
    <m/>
    <m/>
    <n v="3"/>
  </r>
  <r>
    <x v="3"/>
    <x v="0"/>
    <n v="33329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n v="2"/>
    <m/>
    <m/>
    <n v="3"/>
  </r>
  <r>
    <x v="3"/>
    <x v="0"/>
    <n v="33423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33719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2"/>
  </r>
  <r>
    <x v="3"/>
    <x v="0"/>
    <n v="80"/>
    <x v="1"/>
    <x v="0"/>
    <s v="ROSU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3"/>
    <x v="0"/>
    <n v="497"/>
    <x v="1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n v="1"/>
    <m/>
    <m/>
    <m/>
    <m/>
    <n v="3"/>
  </r>
  <r>
    <x v="3"/>
    <x v="0"/>
    <n v="3633"/>
    <x v="1"/>
    <x v="0"/>
    <s v="ATORVASTATIN CALCIUM"/>
    <m/>
    <m/>
    <m/>
    <m/>
    <m/>
    <m/>
    <m/>
    <m/>
    <m/>
    <m/>
    <m/>
    <m/>
    <m/>
    <m/>
    <m/>
    <n v="2"/>
    <n v="3"/>
    <n v="1"/>
    <n v="1"/>
    <n v="1"/>
    <n v="1"/>
    <n v="1"/>
    <n v="1"/>
    <m/>
    <m/>
    <m/>
    <m/>
    <m/>
    <m/>
    <n v="11"/>
  </r>
  <r>
    <x v="3"/>
    <x v="0"/>
    <n v="363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n v="2"/>
    <n v="1"/>
    <n v="1"/>
    <n v="1"/>
    <n v="1"/>
    <n v="6"/>
  </r>
  <r>
    <x v="3"/>
    <x v="0"/>
    <n v="4592"/>
    <x v="1"/>
    <x v="3"/>
    <s v="PANTOPRAZOLE SODIUM"/>
    <m/>
    <n v="1"/>
    <m/>
    <m/>
    <m/>
    <m/>
    <m/>
    <n v="1"/>
    <m/>
    <m/>
    <m/>
    <m/>
    <n v="1"/>
    <m/>
    <m/>
    <m/>
    <m/>
    <n v="1"/>
    <m/>
    <m/>
    <m/>
    <m/>
    <n v="1"/>
    <m/>
    <m/>
    <m/>
    <m/>
    <n v="1"/>
    <m/>
    <n v="6"/>
  </r>
  <r>
    <x v="3"/>
    <x v="0"/>
    <n v="4869"/>
    <x v="1"/>
    <x v="3"/>
    <s v="PANTOPRAZOLE SODIUM"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n v="2"/>
  </r>
  <r>
    <x v="3"/>
    <x v="0"/>
    <n v="5943"/>
    <x v="1"/>
    <x v="0"/>
    <s v="ROSUVASTATIN CALCIUM"/>
    <m/>
    <n v="1"/>
    <m/>
    <n v="1"/>
    <m/>
    <n v="1"/>
    <m/>
    <m/>
    <n v="1"/>
    <m/>
    <n v="1"/>
    <m/>
    <n v="1"/>
    <n v="1"/>
    <m/>
    <m/>
    <n v="1"/>
    <m/>
    <n v="1"/>
    <m/>
    <n v="1"/>
    <m/>
    <n v="1"/>
    <m/>
    <n v="1"/>
    <m/>
    <n v="1"/>
    <m/>
    <n v="1"/>
    <n v="14"/>
  </r>
  <r>
    <x v="3"/>
    <x v="0"/>
    <n v="8156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214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904"/>
    <x v="1"/>
    <x v="3"/>
    <s v="RABEPRAZOLE SOD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3"/>
    <x v="0"/>
    <n v="952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9528"/>
    <x v="1"/>
    <x v="3"/>
    <s v="RABEPRAZOLE SODIUM"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n v="3"/>
  </r>
  <r>
    <x v="3"/>
    <x v="0"/>
    <n v="9547"/>
    <x v="1"/>
    <x v="0"/>
    <s v="ATOR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3"/>
    <x v="0"/>
    <n v="9555"/>
    <x v="1"/>
    <x v="0"/>
    <s v="SIMVASTATIN"/>
    <n v="2"/>
    <m/>
    <n v="1"/>
    <n v="1"/>
    <n v="1"/>
    <n v="1"/>
    <m/>
    <n v="1"/>
    <n v="1"/>
    <n v="1"/>
    <m/>
    <n v="1"/>
    <n v="2"/>
    <m/>
    <m/>
    <n v="1"/>
    <m/>
    <n v="2"/>
    <n v="1"/>
    <n v="1"/>
    <n v="1"/>
    <n v="1"/>
    <n v="1"/>
    <n v="1"/>
    <n v="1"/>
    <n v="1"/>
    <n v="1"/>
    <n v="1"/>
    <n v="1"/>
    <n v="26"/>
  </r>
  <r>
    <x v="3"/>
    <x v="0"/>
    <n v="10276"/>
    <x v="1"/>
    <x v="0"/>
    <s v="PRAVASTATIN SOD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3"/>
    <x v="0"/>
    <n v="10276"/>
    <x v="1"/>
    <x v="6"/>
    <s v="EZETIMIBE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3"/>
    <x v="0"/>
    <n v="10510"/>
    <x v="1"/>
    <x v="0"/>
    <s v="ROSUVASTATIN CALCIUM"/>
    <m/>
    <m/>
    <m/>
    <m/>
    <m/>
    <m/>
    <m/>
    <m/>
    <m/>
    <m/>
    <m/>
    <m/>
    <m/>
    <m/>
    <m/>
    <m/>
    <n v="3"/>
    <m/>
    <m/>
    <m/>
    <n v="1"/>
    <m/>
    <m/>
    <m/>
    <m/>
    <n v="3"/>
    <m/>
    <m/>
    <m/>
    <n v="7"/>
  </r>
  <r>
    <x v="3"/>
    <x v="0"/>
    <n v="10510"/>
    <x v="1"/>
    <x v="3"/>
    <s v="RABEPRAZOLE SODIUM"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n v="2"/>
  </r>
  <r>
    <x v="3"/>
    <x v="0"/>
    <n v="11202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n v="3"/>
  </r>
  <r>
    <x v="3"/>
    <x v="0"/>
    <n v="1564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3"/>
    <x v="0"/>
    <n v="15642"/>
    <x v="1"/>
    <x v="3"/>
    <s v="RABEPRAZOLE SOD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3"/>
    <x v="0"/>
    <n v="17814"/>
    <x v="1"/>
    <x v="1"/>
    <s v="RANITIDINE HCL"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2"/>
  </r>
  <r>
    <x v="3"/>
    <x v="0"/>
    <n v="18970"/>
    <x v="1"/>
    <x v="0"/>
    <s v="SIMVASTATIN"/>
    <m/>
    <n v="1"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3"/>
    <x v="0"/>
    <n v="2178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178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8941"/>
    <x v="1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8941"/>
    <x v="1"/>
    <x v="3"/>
    <s v="RABEPRAZOLE SODIUM"/>
    <m/>
    <n v="1"/>
    <m/>
    <m/>
    <m/>
    <m/>
    <m/>
    <m/>
    <m/>
    <m/>
    <m/>
    <m/>
    <m/>
    <m/>
    <m/>
    <m/>
    <m/>
    <m/>
    <m/>
    <m/>
    <m/>
    <m/>
    <m/>
    <m/>
    <n v="2"/>
    <m/>
    <m/>
    <m/>
    <m/>
    <n v="3"/>
  </r>
  <r>
    <x v="3"/>
    <x v="0"/>
    <n v="2939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938"/>
    <x v="1"/>
    <x v="9"/>
    <s v="CHOLESTYRAMINE/ASPARTAME"/>
    <m/>
    <m/>
    <m/>
    <n v="3"/>
    <m/>
    <n v="3"/>
    <m/>
    <m/>
    <m/>
    <m/>
    <m/>
    <m/>
    <m/>
    <m/>
    <m/>
    <m/>
    <m/>
    <n v="1"/>
    <m/>
    <m/>
    <m/>
    <m/>
    <n v="1"/>
    <m/>
    <m/>
    <m/>
    <n v="2"/>
    <m/>
    <m/>
    <n v="10"/>
  </r>
  <r>
    <x v="3"/>
    <x v="0"/>
    <n v="29938"/>
    <x v="1"/>
    <x v="0"/>
    <s v="ATORVASTATIN CALCIUM"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3"/>
    <x v="0"/>
    <n v="29938"/>
    <x v="1"/>
    <x v="3"/>
    <s v="RABEPRAZOLE SODIUM"/>
    <m/>
    <n v="1"/>
    <m/>
    <m/>
    <n v="1"/>
    <m/>
    <m/>
    <m/>
    <m/>
    <m/>
    <m/>
    <m/>
    <m/>
    <m/>
    <m/>
    <m/>
    <m/>
    <n v="1"/>
    <m/>
    <m/>
    <m/>
    <m/>
    <n v="2"/>
    <m/>
    <m/>
    <m/>
    <n v="1"/>
    <m/>
    <m/>
    <n v="6"/>
  </r>
  <r>
    <x v="3"/>
    <x v="0"/>
    <n v="30080"/>
    <x v="1"/>
    <x v="8"/>
    <s v="FENOFIBRATE, MICROCOATED"/>
    <m/>
    <n v="1"/>
    <m/>
    <n v="1"/>
    <n v="1"/>
    <m/>
    <m/>
    <m/>
    <n v="1"/>
    <m/>
    <n v="1"/>
    <n v="1"/>
    <m/>
    <n v="1"/>
    <m/>
    <m/>
    <n v="1"/>
    <n v="1"/>
    <n v="1"/>
    <m/>
    <m/>
    <m/>
    <m/>
    <m/>
    <m/>
    <m/>
    <m/>
    <m/>
    <m/>
    <n v="10"/>
  </r>
  <r>
    <x v="3"/>
    <x v="0"/>
    <n v="30080"/>
    <x v="1"/>
    <x v="8"/>
    <s v="FENOFIBRATE, MICRONIZED"/>
    <m/>
    <m/>
    <m/>
    <m/>
    <m/>
    <m/>
    <m/>
    <m/>
    <m/>
    <m/>
    <m/>
    <m/>
    <m/>
    <m/>
    <m/>
    <m/>
    <m/>
    <m/>
    <n v="2"/>
    <n v="1"/>
    <m/>
    <n v="1"/>
    <m/>
    <n v="1"/>
    <n v="2"/>
    <m/>
    <n v="1"/>
    <m/>
    <m/>
    <n v="8"/>
  </r>
  <r>
    <x v="3"/>
    <x v="0"/>
    <n v="30080"/>
    <x v="1"/>
    <x v="0"/>
    <s v="ROSUVASTATIN CALCIUM"/>
    <m/>
    <n v="1"/>
    <m/>
    <n v="1"/>
    <n v="1"/>
    <m/>
    <m/>
    <m/>
    <n v="1"/>
    <m/>
    <n v="1"/>
    <n v="1"/>
    <m/>
    <n v="1"/>
    <m/>
    <m/>
    <n v="1"/>
    <n v="1"/>
    <n v="1"/>
    <n v="1"/>
    <m/>
    <n v="1"/>
    <m/>
    <n v="1"/>
    <n v="2"/>
    <m/>
    <n v="2"/>
    <m/>
    <m/>
    <n v="17"/>
  </r>
  <r>
    <x v="3"/>
    <x v="0"/>
    <n v="2850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30192"/>
    <x v="0"/>
    <x v="3"/>
    <s v="RABEPRAZOLE SODIUM"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3"/>
    <x v="0"/>
    <n v="33031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3"/>
    <x v="0"/>
    <n v="10078"/>
    <x v="1"/>
    <x v="3"/>
    <s v="RABEPRAZOLE SODIUM"/>
    <n v="1"/>
    <m/>
    <m/>
    <m/>
    <m/>
    <m/>
    <m/>
    <m/>
    <m/>
    <m/>
    <m/>
    <m/>
    <m/>
    <m/>
    <n v="1"/>
    <m/>
    <m/>
    <m/>
    <m/>
    <m/>
    <m/>
    <m/>
    <n v="1"/>
    <m/>
    <m/>
    <m/>
    <n v="1"/>
    <m/>
    <m/>
    <n v="4"/>
  </r>
  <r>
    <x v="3"/>
    <x v="0"/>
    <n v="21529"/>
    <x v="1"/>
    <x v="3"/>
    <s v="RABEPRAZOLE SODIUM"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n v="2"/>
  </r>
  <r>
    <x v="3"/>
    <x v="0"/>
    <n v="1028"/>
    <x v="0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3"/>
    <x v="0"/>
    <n v="155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6817"/>
    <x v="0"/>
    <x v="3"/>
    <s v="RABEPRAZOLE SODIUM"/>
    <m/>
    <m/>
    <m/>
    <m/>
    <n v="1"/>
    <m/>
    <m/>
    <n v="1"/>
    <m/>
    <m/>
    <m/>
    <m/>
    <m/>
    <m/>
    <m/>
    <m/>
    <m/>
    <m/>
    <m/>
    <m/>
    <n v="1"/>
    <m/>
    <m/>
    <m/>
    <m/>
    <m/>
    <m/>
    <m/>
    <m/>
    <n v="3"/>
  </r>
  <r>
    <x v="3"/>
    <x v="0"/>
    <n v="687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774"/>
    <x v="0"/>
    <x v="3"/>
    <s v="RABEPRAZOLE SODIUM"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n v="3"/>
  </r>
  <r>
    <x v="3"/>
    <x v="0"/>
    <n v="10275"/>
    <x v="0"/>
    <x v="3"/>
    <s v="OMEPRAZOLE"/>
    <m/>
    <m/>
    <m/>
    <m/>
    <m/>
    <m/>
    <m/>
    <m/>
    <m/>
    <m/>
    <m/>
    <n v="2"/>
    <m/>
    <m/>
    <m/>
    <m/>
    <m/>
    <m/>
    <m/>
    <m/>
    <m/>
    <m/>
    <m/>
    <m/>
    <n v="1"/>
    <m/>
    <m/>
    <m/>
    <m/>
    <n v="3"/>
  </r>
  <r>
    <x v="3"/>
    <x v="0"/>
    <n v="14991"/>
    <x v="0"/>
    <x v="3"/>
    <s v="PANTOPRAZOLE MAGNESIUM"/>
    <m/>
    <m/>
    <m/>
    <m/>
    <m/>
    <n v="1"/>
    <m/>
    <m/>
    <m/>
    <m/>
    <m/>
    <m/>
    <m/>
    <m/>
    <m/>
    <m/>
    <m/>
    <m/>
    <m/>
    <m/>
    <m/>
    <n v="1"/>
    <m/>
    <m/>
    <m/>
    <n v="1"/>
    <m/>
    <m/>
    <m/>
    <n v="3"/>
  </r>
  <r>
    <x v="3"/>
    <x v="0"/>
    <n v="18020"/>
    <x v="0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2117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8557"/>
    <x v="1"/>
    <x v="3"/>
    <s v="RABEPRAZOLE SODIUM"/>
    <n v="1"/>
    <n v="1"/>
    <n v="1"/>
    <n v="1"/>
    <n v="1"/>
    <n v="1"/>
    <m/>
    <n v="1"/>
    <n v="1"/>
    <m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26"/>
  </r>
  <r>
    <x v="3"/>
    <x v="0"/>
    <n v="18493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45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458"/>
    <x v="1"/>
    <x v="3"/>
    <s v="RABEPRAZOLE SODIUM"/>
    <m/>
    <m/>
    <m/>
    <m/>
    <m/>
    <n v="3"/>
    <m/>
    <n v="1"/>
    <m/>
    <m/>
    <m/>
    <n v="1"/>
    <m/>
    <m/>
    <m/>
    <n v="1"/>
    <m/>
    <m/>
    <m/>
    <n v="1"/>
    <m/>
    <m/>
    <m/>
    <n v="1"/>
    <m/>
    <m/>
    <m/>
    <n v="1"/>
    <m/>
    <n v="9"/>
  </r>
  <r>
    <x v="3"/>
    <x v="0"/>
    <n v="7033"/>
    <x v="1"/>
    <x v="1"/>
    <s v="RANITIDINE HCL"/>
    <m/>
    <m/>
    <m/>
    <m/>
    <m/>
    <m/>
    <m/>
    <m/>
    <m/>
    <m/>
    <n v="2"/>
    <m/>
    <m/>
    <m/>
    <m/>
    <n v="1"/>
    <m/>
    <m/>
    <m/>
    <m/>
    <m/>
    <m/>
    <m/>
    <m/>
    <m/>
    <m/>
    <m/>
    <m/>
    <m/>
    <n v="3"/>
  </r>
  <r>
    <x v="3"/>
    <x v="0"/>
    <n v="11064"/>
    <x v="1"/>
    <x v="3"/>
    <s v="PANTOPRAZOLE MAGNES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3"/>
    <x v="0"/>
    <n v="2048"/>
    <x v="0"/>
    <x v="3"/>
    <s v="PANTOPRAZOLE MAGNESIUM"/>
    <n v="1"/>
    <n v="1"/>
    <n v="1"/>
    <n v="1"/>
    <n v="1"/>
    <n v="1"/>
    <m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7"/>
  </r>
  <r>
    <x v="3"/>
    <x v="0"/>
    <n v="5944"/>
    <x v="0"/>
    <x v="3"/>
    <s v="RABEPRAZOLE SODIUM"/>
    <m/>
    <n v="1"/>
    <m/>
    <n v="1"/>
    <m/>
    <n v="1"/>
    <m/>
    <m/>
    <n v="1"/>
    <m/>
    <n v="1"/>
    <m/>
    <n v="1"/>
    <n v="1"/>
    <m/>
    <m/>
    <n v="1"/>
    <m/>
    <n v="1"/>
    <m/>
    <n v="1"/>
    <m/>
    <n v="1"/>
    <m/>
    <n v="1"/>
    <m/>
    <n v="1"/>
    <m/>
    <n v="1"/>
    <n v="14"/>
  </r>
  <r>
    <x v="3"/>
    <x v="0"/>
    <n v="21554"/>
    <x v="0"/>
    <x v="3"/>
    <s v="ESOMEPRAZOLE MAGNESIUM"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2"/>
  </r>
  <r>
    <x v="3"/>
    <x v="0"/>
    <n v="2271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9555"/>
    <x v="1"/>
    <x v="3"/>
    <s v="RABEPRAZOLE SODIUM"/>
    <n v="2"/>
    <m/>
    <n v="1"/>
    <n v="1"/>
    <n v="1"/>
    <n v="1"/>
    <m/>
    <n v="1"/>
    <n v="1"/>
    <n v="1"/>
    <m/>
    <n v="1"/>
    <n v="2"/>
    <m/>
    <m/>
    <n v="1"/>
    <m/>
    <n v="2"/>
    <n v="1"/>
    <n v="1"/>
    <n v="1"/>
    <n v="1"/>
    <n v="1"/>
    <n v="1"/>
    <n v="1"/>
    <n v="1"/>
    <n v="1"/>
    <n v="1"/>
    <n v="1"/>
    <n v="26"/>
  </r>
  <r>
    <x v="3"/>
    <x v="0"/>
    <n v="11202"/>
    <x v="1"/>
    <x v="3"/>
    <s v="RABEPRAZOLE SODIUM"/>
    <m/>
    <m/>
    <m/>
    <m/>
    <n v="1"/>
    <m/>
    <m/>
    <m/>
    <m/>
    <m/>
    <m/>
    <m/>
    <m/>
    <n v="1"/>
    <m/>
    <m/>
    <m/>
    <m/>
    <m/>
    <m/>
    <m/>
    <n v="1"/>
    <m/>
    <m/>
    <m/>
    <m/>
    <m/>
    <m/>
    <m/>
    <n v="3"/>
  </r>
  <r>
    <x v="3"/>
    <x v="0"/>
    <n v="916"/>
    <x v="0"/>
    <x v="3"/>
    <s v="RABEPRAZOLE SODIUM"/>
    <n v="2"/>
    <n v="1"/>
    <n v="1"/>
    <n v="1"/>
    <n v="1"/>
    <n v="1"/>
    <m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3"/>
    <x v="0"/>
    <n v="3851"/>
    <x v="0"/>
    <x v="3"/>
    <s v="ESOMEPRAZOLE MAGNES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3"/>
    <x v="0"/>
    <n v="19786"/>
    <x v="0"/>
    <x v="3"/>
    <s v="PANTOPRAZOLE SODIUM"/>
    <n v="1"/>
    <n v="2"/>
    <n v="1"/>
    <n v="2"/>
    <m/>
    <m/>
    <m/>
    <m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3"/>
    <x v="0"/>
    <n v="80"/>
    <x v="1"/>
    <x v="3"/>
    <s v="LANSOPRAZOLE"/>
    <m/>
    <m/>
    <m/>
    <n v="1"/>
    <m/>
    <m/>
    <m/>
    <m/>
    <m/>
    <m/>
    <n v="1"/>
    <m/>
    <m/>
    <m/>
    <m/>
    <m/>
    <n v="1"/>
    <m/>
    <m/>
    <m/>
    <m/>
    <m/>
    <m/>
    <m/>
    <m/>
    <m/>
    <m/>
    <m/>
    <m/>
    <n v="3"/>
  </r>
  <r>
    <x v="3"/>
    <x v="0"/>
    <n v="6110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37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</r>
  <r>
    <x v="3"/>
    <x v="0"/>
    <n v="1643"/>
    <x v="0"/>
    <x v="8"/>
    <s v="FENOFIBRATE, MICROCOATED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n v="2"/>
  </r>
  <r>
    <x v="3"/>
    <x v="0"/>
    <n v="4514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4514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3"/>
    <x v="0"/>
    <n v="6038"/>
    <x v="0"/>
    <x v="0"/>
    <s v="ROSU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3"/>
    <x v="0"/>
    <n v="10596"/>
    <x v="0"/>
    <x v="0"/>
    <s v="ROSU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3"/>
    <x v="0"/>
    <n v="11842"/>
    <x v="0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3"/>
    <x v="0"/>
    <n v="12761"/>
    <x v="0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3"/>
    <x v="0"/>
    <n v="13654"/>
    <x v="0"/>
    <x v="0"/>
    <s v="ROSUVASTATIN CALCIUM"/>
    <n v="1"/>
    <n v="1"/>
    <n v="1"/>
    <m/>
    <n v="2"/>
    <n v="1"/>
    <m/>
    <n v="1"/>
    <n v="1"/>
    <n v="1"/>
    <n v="1"/>
    <n v="1"/>
    <n v="1"/>
    <n v="1"/>
    <n v="1"/>
    <m/>
    <n v="2"/>
    <n v="1"/>
    <n v="1"/>
    <n v="1"/>
    <n v="1"/>
    <n v="1"/>
    <n v="1"/>
    <n v="1"/>
    <n v="1"/>
    <n v="1"/>
    <n v="1"/>
    <n v="1"/>
    <m/>
    <n v="27"/>
  </r>
  <r>
    <x v="3"/>
    <x v="0"/>
    <n v="14008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2"/>
  </r>
  <r>
    <x v="3"/>
    <x v="0"/>
    <n v="18860"/>
    <x v="0"/>
    <x v="0"/>
    <s v="SIMVASTATIN"/>
    <m/>
    <m/>
    <m/>
    <m/>
    <m/>
    <n v="1"/>
    <m/>
    <m/>
    <m/>
    <m/>
    <m/>
    <m/>
    <m/>
    <m/>
    <m/>
    <m/>
    <m/>
    <m/>
    <m/>
    <m/>
    <m/>
    <m/>
    <n v="2"/>
    <m/>
    <m/>
    <m/>
    <m/>
    <m/>
    <m/>
    <n v="3"/>
  </r>
  <r>
    <x v="3"/>
    <x v="0"/>
    <n v="21825"/>
    <x v="0"/>
    <x v="0"/>
    <s v="SIMVASTATIN"/>
    <m/>
    <m/>
    <n v="1"/>
    <m/>
    <m/>
    <m/>
    <m/>
    <m/>
    <m/>
    <m/>
    <m/>
    <m/>
    <m/>
    <m/>
    <m/>
    <m/>
    <m/>
    <n v="1"/>
    <m/>
    <m/>
    <m/>
    <m/>
    <n v="2"/>
    <m/>
    <m/>
    <m/>
    <n v="2"/>
    <m/>
    <m/>
    <n v="6"/>
  </r>
  <r>
    <x v="3"/>
    <x v="0"/>
    <n v="22772"/>
    <x v="0"/>
    <x v="0"/>
    <s v="PRAVASTATIN SODIUM"/>
    <m/>
    <n v="1"/>
    <m/>
    <n v="1"/>
    <m/>
    <m/>
    <m/>
    <m/>
    <m/>
    <m/>
    <m/>
    <m/>
    <m/>
    <m/>
    <m/>
    <n v="1"/>
    <m/>
    <m/>
    <m/>
    <m/>
    <m/>
    <m/>
    <m/>
    <m/>
    <m/>
    <m/>
    <m/>
    <m/>
    <m/>
    <n v="3"/>
  </r>
  <r>
    <x v="3"/>
    <x v="0"/>
    <n v="23822"/>
    <x v="0"/>
    <x v="0"/>
    <s v="ATORVASTATIN CALCIUM"/>
    <n v="1"/>
    <m/>
    <m/>
    <m/>
    <m/>
    <m/>
    <m/>
    <m/>
    <m/>
    <m/>
    <m/>
    <m/>
    <n v="1"/>
    <m/>
    <m/>
    <m/>
    <m/>
    <m/>
    <m/>
    <m/>
    <m/>
    <m/>
    <n v="1"/>
    <n v="2"/>
    <m/>
    <m/>
    <m/>
    <m/>
    <m/>
    <n v="5"/>
  </r>
  <r>
    <x v="3"/>
    <x v="0"/>
    <n v="27167"/>
    <x v="0"/>
    <x v="8"/>
    <s v="FENOFIBRATE, MICROCOATED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3"/>
    <x v="0"/>
    <n v="27167"/>
    <x v="0"/>
    <x v="8"/>
    <s v="FENOFIBRATE, MICRONIZED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3"/>
    <x v="0"/>
    <n v="27733"/>
    <x v="0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3"/>
    <x v="0"/>
    <n v="28504"/>
    <x v="0"/>
    <x v="0"/>
    <s v="ROSUVASTATIN CALC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3"/>
    <x v="0"/>
    <n v="29540"/>
    <x v="0"/>
    <x v="0"/>
    <s v="ROSUVASTATIN CALCIUM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n v="2"/>
  </r>
  <r>
    <x v="3"/>
    <x v="0"/>
    <n v="29654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30192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3"/>
    <x v="0"/>
    <n v="1520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5004"/>
    <x v="1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3"/>
    <x v="0"/>
    <n v="8514"/>
    <x v="1"/>
    <x v="8"/>
    <s v="FENOFIBRATE, MICRONIZED"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n v="2"/>
  </r>
  <r>
    <x v="3"/>
    <x v="0"/>
    <n v="8871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3"/>
    <x v="0"/>
    <n v="10816"/>
    <x v="1"/>
    <x v="0"/>
    <s v="ATORVASTATIN CALCIUM"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n v="2"/>
  </r>
  <r>
    <x v="3"/>
    <x v="0"/>
    <n v="11230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3"/>
    <x v="0"/>
    <n v="11371"/>
    <x v="1"/>
    <x v="0"/>
    <s v="ROSUVASTATIN CALCIUM"/>
    <m/>
    <m/>
    <m/>
    <n v="1"/>
    <m/>
    <m/>
    <m/>
    <m/>
    <m/>
    <m/>
    <m/>
    <m/>
    <m/>
    <m/>
    <m/>
    <m/>
    <m/>
    <m/>
    <m/>
    <m/>
    <m/>
    <m/>
    <n v="2"/>
    <m/>
    <m/>
    <m/>
    <m/>
    <m/>
    <m/>
    <n v="3"/>
  </r>
  <r>
    <x v="3"/>
    <x v="0"/>
    <n v="11597"/>
    <x v="1"/>
    <x v="0"/>
    <s v="ATORVASTATIN CALCIUM"/>
    <m/>
    <n v="2"/>
    <m/>
    <m/>
    <m/>
    <m/>
    <m/>
    <m/>
    <m/>
    <m/>
    <m/>
    <m/>
    <m/>
    <m/>
    <m/>
    <m/>
    <m/>
    <m/>
    <m/>
    <m/>
    <n v="1"/>
    <m/>
    <m/>
    <m/>
    <m/>
    <m/>
    <m/>
    <m/>
    <m/>
    <n v="3"/>
  </r>
  <r>
    <x v="3"/>
    <x v="0"/>
    <n v="12208"/>
    <x v="1"/>
    <x v="0"/>
    <s v="ATORVASTATIN CALCIUM"/>
    <m/>
    <m/>
    <m/>
    <m/>
    <m/>
    <m/>
    <m/>
    <m/>
    <m/>
    <m/>
    <m/>
    <m/>
    <m/>
    <m/>
    <m/>
    <m/>
    <m/>
    <m/>
    <n v="1"/>
    <m/>
    <m/>
    <m/>
    <n v="2"/>
    <m/>
    <m/>
    <m/>
    <m/>
    <m/>
    <m/>
    <n v="3"/>
  </r>
  <r>
    <x v="3"/>
    <x v="0"/>
    <n v="14707"/>
    <x v="1"/>
    <x v="0"/>
    <s v="SIMVASTATIN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3"/>
    <x v="0"/>
    <n v="14990"/>
    <x v="1"/>
    <x v="0"/>
    <s v="ATORVASTATIN CALCIUM"/>
    <m/>
    <n v="1"/>
    <m/>
    <m/>
    <m/>
    <m/>
    <m/>
    <m/>
    <m/>
    <m/>
    <m/>
    <m/>
    <m/>
    <m/>
    <m/>
    <n v="2"/>
    <m/>
    <m/>
    <m/>
    <m/>
    <m/>
    <n v="1"/>
    <m/>
    <m/>
    <m/>
    <n v="1"/>
    <m/>
    <m/>
    <m/>
    <n v="5"/>
  </r>
  <r>
    <x v="3"/>
    <x v="0"/>
    <n v="16427"/>
    <x v="1"/>
    <x v="0"/>
    <s v="ATORVASTATIN CALCIUM"/>
    <n v="1"/>
    <m/>
    <m/>
    <m/>
    <m/>
    <n v="2"/>
    <m/>
    <m/>
    <m/>
    <m/>
    <n v="1"/>
    <m/>
    <m/>
    <m/>
    <n v="1"/>
    <m/>
    <m/>
    <m/>
    <m/>
    <n v="1"/>
    <m/>
    <m/>
    <m/>
    <n v="1"/>
    <m/>
    <m/>
    <m/>
    <n v="1"/>
    <m/>
    <n v="8"/>
  </r>
  <r>
    <x v="3"/>
    <x v="0"/>
    <n v="18342"/>
    <x v="1"/>
    <x v="0"/>
    <s v="SIMVASTATIN"/>
    <m/>
    <n v="1"/>
    <m/>
    <m/>
    <m/>
    <m/>
    <m/>
    <n v="1"/>
    <m/>
    <m/>
    <m/>
    <m/>
    <n v="1"/>
    <m/>
    <m/>
    <m/>
    <m/>
    <n v="1"/>
    <m/>
    <m/>
    <m/>
    <m/>
    <n v="1"/>
    <m/>
    <m/>
    <m/>
    <m/>
    <n v="1"/>
    <m/>
    <n v="6"/>
  </r>
  <r>
    <x v="3"/>
    <x v="0"/>
    <n v="27787"/>
    <x v="1"/>
    <x v="0"/>
    <s v="ROSUVASTATIN CALCIUM"/>
    <m/>
    <m/>
    <m/>
    <m/>
    <m/>
    <m/>
    <m/>
    <m/>
    <m/>
    <m/>
    <n v="1"/>
    <m/>
    <m/>
    <m/>
    <m/>
    <m/>
    <m/>
    <n v="1"/>
    <m/>
    <m/>
    <m/>
    <m/>
    <m/>
    <m/>
    <m/>
    <n v="2"/>
    <m/>
    <m/>
    <m/>
    <n v="4"/>
  </r>
  <r>
    <x v="3"/>
    <x v="0"/>
    <n v="28803"/>
    <x v="1"/>
    <x v="0"/>
    <s v="ATOR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3"/>
    <x v="0"/>
    <n v="30076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2"/>
  </r>
  <r>
    <x v="3"/>
    <x v="0"/>
    <n v="30145"/>
    <x v="1"/>
    <x v="0"/>
    <s v="ATOR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3"/>
    <x v="0"/>
    <n v="32275"/>
    <x v="1"/>
    <x v="0"/>
    <s v="ATORVASTATIN CALCIUM"/>
    <m/>
    <m/>
    <m/>
    <m/>
    <m/>
    <m/>
    <m/>
    <n v="1"/>
    <m/>
    <m/>
    <m/>
    <m/>
    <m/>
    <m/>
    <m/>
    <m/>
    <m/>
    <n v="1"/>
    <m/>
    <m/>
    <m/>
    <n v="1"/>
    <m/>
    <m/>
    <m/>
    <m/>
    <m/>
    <m/>
    <m/>
    <n v="3"/>
  </r>
  <r>
    <x v="3"/>
    <x v="0"/>
    <n v="32918"/>
    <x v="1"/>
    <x v="0"/>
    <s v="ATORVASTATIN CALC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3"/>
    <x v="0"/>
    <n v="1248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3"/>
    <x v="0"/>
    <n v="2669"/>
    <x v="0"/>
    <x v="0"/>
    <s v="ATORVASTATIN CALCIUM"/>
    <m/>
    <m/>
    <m/>
    <n v="1"/>
    <m/>
    <m/>
    <m/>
    <m/>
    <m/>
    <m/>
    <m/>
    <m/>
    <m/>
    <m/>
    <n v="1"/>
    <m/>
    <m/>
    <m/>
    <m/>
    <m/>
    <m/>
    <m/>
    <m/>
    <m/>
    <m/>
    <n v="1"/>
    <m/>
    <m/>
    <m/>
    <n v="3"/>
  </r>
  <r>
    <x v="3"/>
    <x v="0"/>
    <n v="4004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4004"/>
    <x v="0"/>
    <x v="0"/>
    <s v="ROSUVASTATIN CALCIUM"/>
    <n v="1"/>
    <m/>
    <m/>
    <m/>
    <m/>
    <m/>
    <m/>
    <m/>
    <m/>
    <m/>
    <m/>
    <m/>
    <m/>
    <n v="1"/>
    <m/>
    <m/>
    <m/>
    <m/>
    <m/>
    <m/>
    <m/>
    <m/>
    <m/>
    <m/>
    <m/>
    <m/>
    <n v="2"/>
    <m/>
    <m/>
    <n v="4"/>
  </r>
  <r>
    <x v="3"/>
    <x v="0"/>
    <n v="6173"/>
    <x v="0"/>
    <x v="0"/>
    <s v="ROSUVASTATIN CALCIUM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</r>
  <r>
    <x v="3"/>
    <x v="0"/>
    <n v="777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14991"/>
    <x v="0"/>
    <x v="8"/>
    <s v="FENOFIBRATE, MICROCOATED"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n v="2"/>
  </r>
  <r>
    <x v="3"/>
    <x v="0"/>
    <n v="14991"/>
    <x v="0"/>
    <x v="0"/>
    <s v="ROSUVASTATIN CALCIUM"/>
    <m/>
    <m/>
    <m/>
    <m/>
    <m/>
    <m/>
    <m/>
    <m/>
    <m/>
    <m/>
    <m/>
    <m/>
    <m/>
    <n v="1"/>
    <n v="1"/>
    <m/>
    <m/>
    <n v="1"/>
    <m/>
    <m/>
    <m/>
    <m/>
    <m/>
    <m/>
    <m/>
    <n v="2"/>
    <m/>
    <n v="2"/>
    <m/>
    <n v="7"/>
  </r>
  <r>
    <x v="3"/>
    <x v="0"/>
    <n v="29134"/>
    <x v="0"/>
    <x v="0"/>
    <s v="AMLODIPINE/ATOR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9134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4241"/>
    <x v="1"/>
    <x v="0"/>
    <s v="SIMVASTATIN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3"/>
    <x v="0"/>
    <n v="9757"/>
    <x v="1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</r>
  <r>
    <x v="3"/>
    <x v="0"/>
    <n v="15642"/>
    <x v="1"/>
    <x v="0"/>
    <s v="ATOR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3"/>
    <x v="0"/>
    <n v="21351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"/>
    <x v="0"/>
    <n v="2193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3"/>
    <x v="0"/>
    <n v="29458"/>
    <x v="1"/>
    <x v="0"/>
    <s v="ATORVASTATIN CALCIUM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n v="7"/>
  </r>
  <r>
    <x v="4"/>
    <x v="0"/>
    <n v="959"/>
    <x v="0"/>
    <x v="0"/>
    <s v="ATORVASTATIN CALC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2"/>
  </r>
  <r>
    <x v="4"/>
    <x v="0"/>
    <n v="3179"/>
    <x v="0"/>
    <x v="8"/>
    <s v="FENOFIBRATE, MICROCOATED"/>
    <m/>
    <m/>
    <m/>
    <m/>
    <m/>
    <m/>
    <m/>
    <m/>
    <m/>
    <n v="1"/>
    <n v="2"/>
    <m/>
    <m/>
    <m/>
    <n v="2"/>
    <n v="1"/>
    <n v="1"/>
    <n v="1"/>
    <n v="1"/>
    <n v="1"/>
    <n v="1"/>
    <n v="1"/>
    <n v="1"/>
    <n v="1"/>
    <n v="2"/>
    <n v="1"/>
    <n v="1"/>
    <n v="1"/>
    <n v="1"/>
    <n v="20"/>
  </r>
  <r>
    <x v="4"/>
    <x v="0"/>
    <n v="3179"/>
    <x v="0"/>
    <x v="0"/>
    <s v="ROSUVASTATIN CALCIUM"/>
    <m/>
    <m/>
    <n v="1"/>
    <m/>
    <m/>
    <m/>
    <m/>
    <n v="1"/>
    <m/>
    <m/>
    <m/>
    <m/>
    <n v="1"/>
    <m/>
    <m/>
    <m/>
    <m/>
    <m/>
    <m/>
    <m/>
    <m/>
    <m/>
    <m/>
    <m/>
    <m/>
    <m/>
    <m/>
    <m/>
    <m/>
    <n v="3"/>
  </r>
  <r>
    <x v="4"/>
    <x v="0"/>
    <n v="3179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447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4473"/>
    <x v="0"/>
    <x v="0"/>
    <s v="ROSUVASTATIN CALCIUM"/>
    <n v="1"/>
    <m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n v="7"/>
  </r>
  <r>
    <x v="4"/>
    <x v="0"/>
    <n v="6113"/>
    <x v="0"/>
    <x v="0"/>
    <s v="SIMVASTATIN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4"/>
    <x v="0"/>
    <n v="14157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497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994"/>
    <x v="0"/>
    <x v="0"/>
    <s v="SIMVASTATIN"/>
    <m/>
    <m/>
    <m/>
    <m/>
    <m/>
    <m/>
    <m/>
    <m/>
    <m/>
    <m/>
    <n v="1"/>
    <m/>
    <m/>
    <m/>
    <n v="1"/>
    <m/>
    <m/>
    <m/>
    <m/>
    <n v="1"/>
    <m/>
    <m/>
    <m/>
    <m/>
    <m/>
    <m/>
    <m/>
    <m/>
    <m/>
    <n v="3"/>
  </r>
  <r>
    <x v="4"/>
    <x v="0"/>
    <n v="15455"/>
    <x v="0"/>
    <x v="3"/>
    <s v="RABEPRAZOLE SODIUM"/>
    <m/>
    <m/>
    <n v="2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4"/>
    <x v="0"/>
    <n v="18410"/>
    <x v="0"/>
    <x v="3"/>
    <s v="OMEPRAZOLE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4"/>
    <x v="0"/>
    <n v="557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390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6265"/>
    <x v="1"/>
    <x v="0"/>
    <s v="SIMVASTATIN"/>
    <n v="1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n v="7"/>
  </r>
  <r>
    <x v="4"/>
    <x v="0"/>
    <n v="6267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n v="1"/>
    <n v="1"/>
    <n v="1"/>
    <m/>
    <n v="1"/>
    <m/>
    <n v="4"/>
  </r>
  <r>
    <x v="4"/>
    <x v="0"/>
    <n v="6491"/>
    <x v="1"/>
    <x v="0"/>
    <s v="LOVASTATIN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4"/>
    <x v="0"/>
    <n v="9180"/>
    <x v="1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4"/>
    <x v="0"/>
    <n v="9185"/>
    <x v="1"/>
    <x v="4"/>
    <s v="SUCRALFATE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4"/>
    <x v="0"/>
    <n v="9208"/>
    <x v="1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765"/>
    <x v="1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4"/>
    <x v="0"/>
    <n v="11457"/>
    <x v="1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4"/>
    <x v="0"/>
    <n v="11561"/>
    <x v="1"/>
    <x v="0"/>
    <s v="LOVASTATIN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4"/>
    <x v="0"/>
    <n v="12338"/>
    <x v="1"/>
    <x v="0"/>
    <s v="LOVASTATIN"/>
    <m/>
    <m/>
    <m/>
    <m/>
    <n v="1"/>
    <m/>
    <m/>
    <m/>
    <m/>
    <m/>
    <m/>
    <m/>
    <m/>
    <m/>
    <m/>
    <m/>
    <m/>
    <m/>
    <m/>
    <m/>
    <m/>
    <m/>
    <m/>
    <m/>
    <m/>
    <n v="2"/>
    <m/>
    <m/>
    <m/>
    <n v="3"/>
  </r>
  <r>
    <x v="4"/>
    <x v="0"/>
    <n v="13640"/>
    <x v="1"/>
    <x v="0"/>
    <s v="ATORVASTATIN CALCIUM"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n v="2"/>
  </r>
  <r>
    <x v="4"/>
    <x v="0"/>
    <n v="13927"/>
    <x v="1"/>
    <x v="0"/>
    <s v="SIMVASTATIN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4"/>
    <x v="0"/>
    <n v="1434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5441"/>
    <x v="1"/>
    <x v="0"/>
    <s v="SIMVASTATIN"/>
    <m/>
    <m/>
    <m/>
    <m/>
    <n v="1"/>
    <m/>
    <m/>
    <m/>
    <n v="1"/>
    <m/>
    <m/>
    <m/>
    <m/>
    <m/>
    <m/>
    <m/>
    <m/>
    <m/>
    <m/>
    <n v="1"/>
    <m/>
    <m/>
    <m/>
    <m/>
    <m/>
    <m/>
    <m/>
    <m/>
    <m/>
    <n v="3"/>
  </r>
  <r>
    <x v="4"/>
    <x v="0"/>
    <n v="1544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4"/>
    <x v="0"/>
    <n v="15673"/>
    <x v="1"/>
    <x v="0"/>
    <s v="ATORVASTATIN CALCIUM"/>
    <m/>
    <m/>
    <m/>
    <m/>
    <n v="1"/>
    <m/>
    <m/>
    <m/>
    <m/>
    <n v="1"/>
    <m/>
    <m/>
    <m/>
    <n v="1"/>
    <m/>
    <m/>
    <m/>
    <n v="1"/>
    <m/>
    <m/>
    <m/>
    <m/>
    <m/>
    <n v="1"/>
    <m/>
    <m/>
    <n v="1"/>
    <m/>
    <m/>
    <n v="6"/>
  </r>
  <r>
    <x v="4"/>
    <x v="0"/>
    <n v="1567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5691"/>
    <x v="1"/>
    <x v="3"/>
    <s v="RABEPRAZOLE SODIUM"/>
    <m/>
    <m/>
    <m/>
    <m/>
    <m/>
    <m/>
    <m/>
    <m/>
    <m/>
    <n v="1"/>
    <m/>
    <m/>
    <m/>
    <m/>
    <m/>
    <m/>
    <n v="1"/>
    <m/>
    <m/>
    <m/>
    <m/>
    <m/>
    <m/>
    <m/>
    <m/>
    <m/>
    <n v="1"/>
    <m/>
    <m/>
    <n v="3"/>
  </r>
  <r>
    <x v="4"/>
    <x v="0"/>
    <n v="15753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2"/>
  </r>
  <r>
    <x v="4"/>
    <x v="0"/>
    <n v="16064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7932"/>
    <x v="1"/>
    <x v="3"/>
    <s v="RABEPRAZOLE SOD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2103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53"/>
    <x v="0"/>
    <x v="3"/>
    <s v="OMEPRAZOLE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4"/>
    <x v="0"/>
    <n v="188"/>
    <x v="0"/>
    <x v="1"/>
    <s v="RANITIDINE HCL"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n v="2"/>
  </r>
  <r>
    <x v="4"/>
    <x v="0"/>
    <n v="18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64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49"/>
    <x v="0"/>
    <x v="3"/>
    <s v="PANTOPRAZOLE MAGNES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4"/>
    <x v="0"/>
    <n v="949"/>
    <x v="0"/>
    <x v="3"/>
    <s v="PANTOPRAZOLE SOD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4"/>
    <x v="0"/>
    <n v="973"/>
    <x v="0"/>
    <x v="0"/>
    <s v="SIMVASTATIN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4"/>
    <x v="0"/>
    <n v="1885"/>
    <x v="0"/>
    <x v="3"/>
    <s v="PANTOPRAZOLE SOD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4"/>
    <x v="0"/>
    <n v="1965"/>
    <x v="0"/>
    <x v="0"/>
    <s v="SIMVASTATIN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4"/>
    <x v="0"/>
    <n v="1965"/>
    <x v="0"/>
    <x v="6"/>
    <s v="EZETIMIBE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2097"/>
    <x v="0"/>
    <x v="0"/>
    <s v="ROSUVASTATIN CALCIUM"/>
    <n v="2"/>
    <n v="1"/>
    <n v="1"/>
    <n v="2"/>
    <n v="1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4"/>
    <x v="0"/>
    <n v="2237"/>
    <x v="0"/>
    <x v="4"/>
    <s v="SUCRALFATE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4"/>
    <x v="0"/>
    <n v="2335"/>
    <x v="0"/>
    <x v="3"/>
    <s v="RABE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4"/>
    <x v="0"/>
    <n v="2502"/>
    <x v="0"/>
    <x v="1"/>
    <s v="CIMETIDINE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4"/>
    <x v="0"/>
    <n v="250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2503"/>
    <x v="0"/>
    <x v="3"/>
    <s v="RABEPRAZOLE SODIUM"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n v="2"/>
  </r>
  <r>
    <x v="4"/>
    <x v="0"/>
    <n v="310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3200"/>
    <x v="0"/>
    <x v="0"/>
    <s v="ROSUVASTATIN CALCIUM"/>
    <m/>
    <m/>
    <n v="1"/>
    <m/>
    <m/>
    <m/>
    <m/>
    <n v="1"/>
    <m/>
    <m/>
    <m/>
    <n v="1"/>
    <m/>
    <m/>
    <m/>
    <m/>
    <m/>
    <m/>
    <m/>
    <m/>
    <m/>
    <m/>
    <m/>
    <m/>
    <m/>
    <m/>
    <m/>
    <m/>
    <m/>
    <n v="3"/>
  </r>
  <r>
    <x v="4"/>
    <x v="0"/>
    <n v="3214"/>
    <x v="0"/>
    <x v="3"/>
    <s v="RABEPRAZOLE SODIUM"/>
    <m/>
    <m/>
    <m/>
    <n v="1"/>
    <m/>
    <m/>
    <m/>
    <m/>
    <m/>
    <n v="1"/>
    <m/>
    <m/>
    <m/>
    <m/>
    <n v="1"/>
    <m/>
    <m/>
    <m/>
    <m/>
    <n v="1"/>
    <m/>
    <m/>
    <m/>
    <m/>
    <m/>
    <m/>
    <m/>
    <m/>
    <m/>
    <n v="4"/>
  </r>
  <r>
    <x v="4"/>
    <x v="0"/>
    <n v="3336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3337"/>
    <x v="0"/>
    <x v="3"/>
    <s v="PANTOPRAZOLE MAGNES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4"/>
    <x v="0"/>
    <n v="4541"/>
    <x v="0"/>
    <x v="0"/>
    <s v="SIMVASTATIN"/>
    <m/>
    <m/>
    <m/>
    <m/>
    <m/>
    <n v="1"/>
    <m/>
    <m/>
    <m/>
    <m/>
    <m/>
    <m/>
    <n v="1"/>
    <m/>
    <m/>
    <m/>
    <m/>
    <m/>
    <m/>
    <m/>
    <m/>
    <m/>
    <m/>
    <m/>
    <m/>
    <n v="1"/>
    <m/>
    <m/>
    <m/>
    <n v="3"/>
  </r>
  <r>
    <x v="4"/>
    <x v="0"/>
    <n v="6266"/>
    <x v="0"/>
    <x v="0"/>
    <s v="SIMVASTATIN"/>
    <m/>
    <n v="1"/>
    <m/>
    <m/>
    <n v="1"/>
    <m/>
    <m/>
    <m/>
    <m/>
    <m/>
    <m/>
    <m/>
    <m/>
    <n v="1"/>
    <m/>
    <n v="1"/>
    <m/>
    <m/>
    <m/>
    <n v="1"/>
    <m/>
    <m/>
    <m/>
    <n v="1"/>
    <m/>
    <m/>
    <m/>
    <n v="1"/>
    <m/>
    <n v="7"/>
  </r>
  <r>
    <x v="4"/>
    <x v="0"/>
    <n v="6457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4"/>
    <x v="0"/>
    <n v="7192"/>
    <x v="0"/>
    <x v="7"/>
    <s v="PINAVERIUM BROMIDE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4"/>
    <x v="0"/>
    <n v="7192"/>
    <x v="0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4"/>
    <x v="0"/>
    <n v="7318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4"/>
    <x v="0"/>
    <n v="747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8539"/>
    <x v="0"/>
    <x v="3"/>
    <s v="RABEPRAZOLE SODIUM"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4"/>
    <x v="0"/>
    <n v="8850"/>
    <x v="0"/>
    <x v="1"/>
    <s v="RANITIDINE HCL"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n v="2"/>
  </r>
  <r>
    <x v="4"/>
    <x v="0"/>
    <n v="885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211"/>
    <x v="0"/>
    <x v="0"/>
    <s v="ATORVASTATIN CALCIUM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2"/>
  </r>
  <r>
    <x v="4"/>
    <x v="0"/>
    <n v="9211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21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759"/>
    <x v="0"/>
    <x v="3"/>
    <s v="RABEPRAZOLE SODIUM"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n v="2"/>
  </r>
  <r>
    <x v="4"/>
    <x v="0"/>
    <n v="994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0121"/>
    <x v="0"/>
    <x v="0"/>
    <s v="ATOR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4"/>
    <x v="0"/>
    <n v="10182"/>
    <x v="0"/>
    <x v="3"/>
    <s v="RABEPRAZOLE SODIUM"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n v="3"/>
  </r>
  <r>
    <x v="4"/>
    <x v="0"/>
    <n v="10715"/>
    <x v="0"/>
    <x v="3"/>
    <s v="RABEPRAZOLE SOD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4"/>
    <x v="0"/>
    <n v="12156"/>
    <x v="0"/>
    <x v="3"/>
    <s v="OMEPRAZOLE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4"/>
    <x v="0"/>
    <n v="12241"/>
    <x v="0"/>
    <x v="3"/>
    <s v="OMEPRAZOLE MAGNES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4"/>
    <x v="0"/>
    <n v="13252"/>
    <x v="0"/>
    <x v="3"/>
    <s v="ESOMEPRAZOLE MAGNESIUM"/>
    <m/>
    <m/>
    <m/>
    <n v="1"/>
    <m/>
    <m/>
    <m/>
    <m/>
    <m/>
    <m/>
    <n v="2"/>
    <m/>
    <m/>
    <m/>
    <n v="1"/>
    <m/>
    <m/>
    <m/>
    <m/>
    <n v="1"/>
    <m/>
    <m/>
    <m/>
    <n v="1"/>
    <m/>
    <m/>
    <m/>
    <n v="1"/>
    <m/>
    <n v="7"/>
  </r>
  <r>
    <x v="4"/>
    <x v="0"/>
    <n v="13252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3477"/>
    <x v="0"/>
    <x v="4"/>
    <s v="SUCRALFATE"/>
    <m/>
    <m/>
    <m/>
    <m/>
    <m/>
    <m/>
    <m/>
    <m/>
    <m/>
    <m/>
    <m/>
    <m/>
    <m/>
    <m/>
    <n v="1"/>
    <m/>
    <m/>
    <m/>
    <m/>
    <m/>
    <m/>
    <m/>
    <m/>
    <m/>
    <m/>
    <m/>
    <n v="3"/>
    <m/>
    <m/>
    <n v="4"/>
  </r>
  <r>
    <x v="4"/>
    <x v="0"/>
    <n v="1347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066"/>
    <x v="0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4"/>
    <x v="0"/>
    <n v="14066"/>
    <x v="0"/>
    <x v="3"/>
    <s v="RABEPRAZOLE SODIUM"/>
    <m/>
    <m/>
    <n v="1"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4"/>
    <x v="0"/>
    <n v="14988"/>
    <x v="0"/>
    <x v="3"/>
    <s v="RABEPRAZOLE SOD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4"/>
    <x v="0"/>
    <n v="1848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8855"/>
    <x v="0"/>
    <x v="3"/>
    <s v="ESOMEPRAZOLE MAGNES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4"/>
    <x v="0"/>
    <n v="18963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9370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4"/>
    <x v="0"/>
    <n v="2153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33718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33718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4"/>
    <x v="0"/>
    <n v="743"/>
    <x v="1"/>
    <x v="0"/>
    <s v="LOVASTATIN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4"/>
    <x v="0"/>
    <n v="743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n v="3"/>
  </r>
  <r>
    <x v="4"/>
    <x v="0"/>
    <n v="972"/>
    <x v="1"/>
    <x v="0"/>
    <s v="SIMVASTATIN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4"/>
    <x v="0"/>
    <n v="1699"/>
    <x v="1"/>
    <x v="1"/>
    <s v="RANITIDINE HCL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4"/>
    <x v="0"/>
    <n v="1699"/>
    <x v="1"/>
    <x v="0"/>
    <s v="ATORVASTATIN CALCIUM"/>
    <m/>
    <m/>
    <m/>
    <m/>
    <m/>
    <m/>
    <m/>
    <m/>
    <m/>
    <n v="1"/>
    <n v="2"/>
    <m/>
    <m/>
    <m/>
    <m/>
    <m/>
    <m/>
    <m/>
    <m/>
    <m/>
    <m/>
    <m/>
    <m/>
    <m/>
    <m/>
    <m/>
    <n v="1"/>
    <m/>
    <m/>
    <n v="4"/>
  </r>
  <r>
    <x v="4"/>
    <x v="0"/>
    <n v="1699"/>
    <x v="1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4"/>
    <x v="0"/>
    <n v="2022"/>
    <x v="1"/>
    <x v="0"/>
    <s v="SIMVASTATIN"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n v="2"/>
  </r>
  <r>
    <x v="4"/>
    <x v="0"/>
    <n v="2069"/>
    <x v="1"/>
    <x v="1"/>
    <s v="RANITIDINE HCL"/>
    <n v="1"/>
    <m/>
    <m/>
    <n v="1"/>
    <m/>
    <m/>
    <m/>
    <m/>
    <n v="1"/>
    <m/>
    <m/>
    <m/>
    <n v="1"/>
    <m/>
    <m/>
    <n v="1"/>
    <m/>
    <m/>
    <n v="1"/>
    <m/>
    <m/>
    <m/>
    <m/>
    <m/>
    <n v="1"/>
    <m/>
    <m/>
    <m/>
    <n v="2"/>
    <n v="9"/>
  </r>
  <r>
    <x v="4"/>
    <x v="0"/>
    <n v="2191"/>
    <x v="1"/>
    <x v="0"/>
    <s v="SIMVASTATIN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2877"/>
    <x v="1"/>
    <x v="3"/>
    <s v="RABEPRAZOLE SODIUM"/>
    <m/>
    <m/>
    <n v="2"/>
    <m/>
    <m/>
    <m/>
    <m/>
    <m/>
    <n v="1"/>
    <m/>
    <m/>
    <m/>
    <n v="1"/>
    <m/>
    <m/>
    <m/>
    <n v="1"/>
    <m/>
    <m/>
    <m/>
    <n v="1"/>
    <m/>
    <m/>
    <m/>
    <n v="1"/>
    <m/>
    <m/>
    <m/>
    <n v="1"/>
    <n v="8"/>
  </r>
  <r>
    <x v="4"/>
    <x v="0"/>
    <n v="3871"/>
    <x v="1"/>
    <x v="0"/>
    <s v="SIMVASTATIN"/>
    <m/>
    <m/>
    <m/>
    <m/>
    <m/>
    <n v="1"/>
    <m/>
    <m/>
    <m/>
    <m/>
    <m/>
    <n v="1"/>
    <m/>
    <m/>
    <m/>
    <m/>
    <n v="1"/>
    <m/>
    <m/>
    <m/>
    <m/>
    <n v="2"/>
    <m/>
    <m/>
    <n v="1"/>
    <m/>
    <m/>
    <m/>
    <m/>
    <n v="6"/>
  </r>
  <r>
    <x v="4"/>
    <x v="0"/>
    <n v="5082"/>
    <x v="1"/>
    <x v="3"/>
    <s v="PANTOPRAZOLE SOD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4"/>
    <x v="0"/>
    <n v="5177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4"/>
    <x v="0"/>
    <n v="7839"/>
    <x v="1"/>
    <x v="3"/>
    <s v="PANTOPRAZOLE SODIUM"/>
    <m/>
    <n v="1"/>
    <m/>
    <m/>
    <m/>
    <m/>
    <m/>
    <m/>
    <m/>
    <m/>
    <n v="1"/>
    <m/>
    <m/>
    <m/>
    <m/>
    <m/>
    <m/>
    <m/>
    <m/>
    <m/>
    <m/>
    <m/>
    <m/>
    <m/>
    <m/>
    <m/>
    <m/>
    <m/>
    <m/>
    <n v="2"/>
  </r>
  <r>
    <x v="4"/>
    <x v="0"/>
    <n v="7855"/>
    <x v="1"/>
    <x v="0"/>
    <s v="ROSUVASTATIN CALCIUM"/>
    <m/>
    <m/>
    <n v="1"/>
    <m/>
    <m/>
    <n v="1"/>
    <m/>
    <m/>
    <m/>
    <m/>
    <n v="1"/>
    <m/>
    <m/>
    <m/>
    <m/>
    <n v="1"/>
    <m/>
    <m/>
    <m/>
    <n v="1"/>
    <m/>
    <m/>
    <m/>
    <m/>
    <m/>
    <m/>
    <m/>
    <m/>
    <m/>
    <n v="5"/>
  </r>
  <r>
    <x v="4"/>
    <x v="0"/>
    <n v="8195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8195"/>
    <x v="1"/>
    <x v="9"/>
    <s v="CHOLESTYRAMINE/ASPARTAME"/>
    <m/>
    <m/>
    <n v="1"/>
    <m/>
    <m/>
    <m/>
    <m/>
    <m/>
    <n v="2"/>
    <m/>
    <m/>
    <m/>
    <m/>
    <m/>
    <m/>
    <m/>
    <m/>
    <n v="1"/>
    <m/>
    <m/>
    <m/>
    <m/>
    <m/>
    <m/>
    <m/>
    <m/>
    <n v="1"/>
    <m/>
    <m/>
    <n v="5"/>
  </r>
  <r>
    <x v="4"/>
    <x v="0"/>
    <n v="8195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8195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8195"/>
    <x v="1"/>
    <x v="5"/>
    <s v="NIAC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109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1434"/>
    <x v="1"/>
    <x v="3"/>
    <s v="ESOMEPRAZOLE MAGNES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4"/>
    <x v="0"/>
    <n v="11516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4"/>
    <x v="0"/>
    <n v="11736"/>
    <x v="1"/>
    <x v="0"/>
    <s v="LOVASTATIN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4"/>
    <x v="0"/>
    <n v="11736"/>
    <x v="1"/>
    <x v="3"/>
    <s v="OMEPRAZOLE"/>
    <m/>
    <m/>
    <m/>
    <m/>
    <n v="1"/>
    <m/>
    <m/>
    <m/>
    <m/>
    <m/>
    <m/>
    <m/>
    <m/>
    <m/>
    <m/>
    <m/>
    <m/>
    <n v="2"/>
    <m/>
    <m/>
    <m/>
    <m/>
    <m/>
    <m/>
    <m/>
    <m/>
    <m/>
    <m/>
    <m/>
    <n v="3"/>
  </r>
  <r>
    <x v="4"/>
    <x v="0"/>
    <n v="11829"/>
    <x v="1"/>
    <x v="3"/>
    <s v="ESOMEPRAZOLE MAGNESIUM"/>
    <n v="1"/>
    <m/>
    <m/>
    <m/>
    <m/>
    <m/>
    <m/>
    <m/>
    <m/>
    <m/>
    <m/>
    <m/>
    <m/>
    <m/>
    <n v="1"/>
    <m/>
    <m/>
    <m/>
    <m/>
    <m/>
    <m/>
    <m/>
    <m/>
    <m/>
    <m/>
    <n v="1"/>
    <m/>
    <m/>
    <m/>
    <n v="3"/>
  </r>
  <r>
    <x v="4"/>
    <x v="0"/>
    <n v="11880"/>
    <x v="1"/>
    <x v="8"/>
    <s v="GEMFIBROZIL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4"/>
    <x v="0"/>
    <n v="11880"/>
    <x v="1"/>
    <x v="1"/>
    <s v="RANITIDINE HCL"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n v="2"/>
  </r>
  <r>
    <x v="4"/>
    <x v="0"/>
    <n v="11880"/>
    <x v="1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4"/>
    <x v="0"/>
    <n v="14102"/>
    <x v="1"/>
    <x v="0"/>
    <s v="SIMVASTATIN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4"/>
    <x v="0"/>
    <n v="1416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281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28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29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292"/>
    <x v="1"/>
    <x v="3"/>
    <s v="PANTOPRAZOLE SOD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4"/>
    <x v="0"/>
    <n v="14576"/>
    <x v="1"/>
    <x v="3"/>
    <s v="RABEPRAZOLE SOD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4"/>
    <x v="0"/>
    <n v="1495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</r>
  <r>
    <x v="4"/>
    <x v="0"/>
    <n v="15087"/>
    <x v="1"/>
    <x v="0"/>
    <s v="ATORVASTATIN CALCIUM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x v="4"/>
    <x v="0"/>
    <n v="15482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4"/>
    <x v="0"/>
    <n v="15653"/>
    <x v="1"/>
    <x v="0"/>
    <s v="ATORVASTATIN CALCIUM"/>
    <m/>
    <n v="1"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n v="7"/>
  </r>
  <r>
    <x v="4"/>
    <x v="0"/>
    <n v="16753"/>
    <x v="1"/>
    <x v="0"/>
    <s v="ATORVASTATIN CALCIUM"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4"/>
    <x v="0"/>
    <n v="18196"/>
    <x v="1"/>
    <x v="3"/>
    <s v="OMEPRAZOLE"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7"/>
  </r>
  <r>
    <x v="4"/>
    <x v="0"/>
    <n v="20429"/>
    <x v="1"/>
    <x v="0"/>
    <s v="SIMVASTATIN"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n v="3"/>
  </r>
  <r>
    <x v="4"/>
    <x v="0"/>
    <n v="21484"/>
    <x v="1"/>
    <x v="3"/>
    <s v="RABEPRAZOLE SODIUM"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n v="2"/>
  </r>
  <r>
    <x v="4"/>
    <x v="0"/>
    <n v="22969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23780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2378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32319"/>
    <x v="1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5178"/>
    <x v="0"/>
    <x v="3"/>
    <s v="PANTOPRAZOLE SOD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2"/>
  </r>
  <r>
    <x v="4"/>
    <x v="0"/>
    <n v="744"/>
    <x v="0"/>
    <x v="3"/>
    <s v="OMEPRAZOLE"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n v="2"/>
  </r>
  <r>
    <x v="4"/>
    <x v="0"/>
    <n v="9198"/>
    <x v="0"/>
    <x v="1"/>
    <s v="RANITIDINE HCL"/>
    <m/>
    <m/>
    <m/>
    <m/>
    <m/>
    <m/>
    <m/>
    <m/>
    <m/>
    <m/>
    <m/>
    <n v="1"/>
    <m/>
    <m/>
    <n v="1"/>
    <m/>
    <n v="1"/>
    <n v="1"/>
    <m/>
    <m/>
    <m/>
    <n v="1"/>
    <m/>
    <m/>
    <m/>
    <n v="1"/>
    <m/>
    <m/>
    <m/>
    <n v="6"/>
  </r>
  <r>
    <x v="4"/>
    <x v="0"/>
    <n v="9198"/>
    <x v="0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9602"/>
    <x v="0"/>
    <x v="3"/>
    <s v="OMEPRAZOLE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4"/>
    <x v="0"/>
    <n v="10121"/>
    <x v="0"/>
    <x v="3"/>
    <s v="RABEPRAZOLE SODIUM"/>
    <m/>
    <m/>
    <m/>
    <m/>
    <n v="1"/>
    <m/>
    <m/>
    <m/>
    <m/>
    <m/>
    <m/>
    <m/>
    <m/>
    <m/>
    <m/>
    <m/>
    <m/>
    <m/>
    <n v="2"/>
    <m/>
    <m/>
    <m/>
    <m/>
    <m/>
    <m/>
    <m/>
    <n v="1"/>
    <m/>
    <m/>
    <n v="4"/>
  </r>
  <r>
    <x v="4"/>
    <x v="0"/>
    <n v="10512"/>
    <x v="0"/>
    <x v="3"/>
    <s v="OMEPRAZOLE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4"/>
    <x v="0"/>
    <n v="12339"/>
    <x v="0"/>
    <x v="3"/>
    <s v="OMEPRAZOLE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4"/>
    <x v="0"/>
    <n v="14553"/>
    <x v="0"/>
    <x v="3"/>
    <s v="RABEPRAZOLE SODIUM"/>
    <m/>
    <m/>
    <m/>
    <m/>
    <m/>
    <m/>
    <m/>
    <m/>
    <m/>
    <m/>
    <m/>
    <m/>
    <m/>
    <m/>
    <m/>
    <m/>
    <n v="1"/>
    <m/>
    <m/>
    <m/>
    <n v="3"/>
    <m/>
    <m/>
    <m/>
    <m/>
    <m/>
    <m/>
    <m/>
    <m/>
    <n v="4"/>
  </r>
  <r>
    <x v="4"/>
    <x v="0"/>
    <n v="17847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4"/>
    <x v="0"/>
    <n v="2191"/>
    <x v="1"/>
    <x v="3"/>
    <s v="RABEPRAZOLE SODIUM"/>
    <m/>
    <m/>
    <m/>
    <m/>
    <m/>
    <m/>
    <m/>
    <n v="1"/>
    <m/>
    <m/>
    <m/>
    <m/>
    <m/>
    <m/>
    <n v="1"/>
    <m/>
    <n v="1"/>
    <n v="1"/>
    <m/>
    <m/>
    <m/>
    <m/>
    <m/>
    <m/>
    <m/>
    <m/>
    <m/>
    <m/>
    <m/>
    <n v="4"/>
  </r>
  <r>
    <x v="4"/>
    <x v="0"/>
    <n v="2334"/>
    <x v="1"/>
    <x v="3"/>
    <s v="RABEPRAZOLE SOD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n v="2"/>
  </r>
  <r>
    <x v="4"/>
    <x v="0"/>
    <n v="785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175"/>
    <x v="1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4"/>
    <x v="0"/>
    <n v="9494"/>
    <x v="1"/>
    <x v="1"/>
    <s v="CIMETIDINE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4"/>
    <x v="0"/>
    <n v="12298"/>
    <x v="1"/>
    <x v="3"/>
    <s v="PANTOPRAZOLE SOD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2"/>
  </r>
  <r>
    <x v="4"/>
    <x v="0"/>
    <n v="13475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4"/>
    <x v="0"/>
    <n v="14098"/>
    <x v="1"/>
    <x v="1"/>
    <s v="RANITIDINE HCL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4"/>
    <x v="0"/>
    <n v="11457"/>
    <x v="1"/>
    <x v="3"/>
    <s v="PANTOPRAZOLE SODIUM"/>
    <n v="1"/>
    <m/>
    <m/>
    <m/>
    <m/>
    <n v="1"/>
    <m/>
    <m/>
    <m/>
    <m/>
    <m/>
    <m/>
    <m/>
    <m/>
    <m/>
    <m/>
    <m/>
    <m/>
    <n v="1"/>
    <m/>
    <m/>
    <m/>
    <m/>
    <m/>
    <m/>
    <n v="1"/>
    <m/>
    <m/>
    <m/>
    <n v="4"/>
  </r>
  <r>
    <x v="4"/>
    <x v="0"/>
    <n v="3200"/>
    <x v="0"/>
    <x v="3"/>
    <s v="RABEPRAZOLE SODIUM"/>
    <m/>
    <m/>
    <n v="1"/>
    <m/>
    <m/>
    <m/>
    <m/>
    <n v="1"/>
    <m/>
    <m/>
    <m/>
    <n v="1"/>
    <m/>
    <m/>
    <m/>
    <m/>
    <m/>
    <m/>
    <m/>
    <m/>
    <m/>
    <m/>
    <m/>
    <m/>
    <n v="1"/>
    <m/>
    <m/>
    <m/>
    <m/>
    <n v="4"/>
  </r>
  <r>
    <x v="4"/>
    <x v="0"/>
    <n v="4209"/>
    <x v="0"/>
    <x v="3"/>
    <s v="RABEPRAZOLE SODIUM"/>
    <n v="1"/>
    <n v="1"/>
    <n v="1"/>
    <n v="2"/>
    <m/>
    <m/>
    <m/>
    <n v="1"/>
    <n v="1"/>
    <n v="1"/>
    <m/>
    <n v="2"/>
    <n v="1"/>
    <n v="1"/>
    <n v="1"/>
    <n v="1"/>
    <n v="1"/>
    <n v="1"/>
    <n v="1"/>
    <n v="1"/>
    <n v="1"/>
    <n v="1"/>
    <n v="2"/>
    <n v="1"/>
    <n v="1"/>
    <n v="1"/>
    <n v="1"/>
    <n v="1"/>
    <m/>
    <n v="27"/>
  </r>
  <r>
    <x v="4"/>
    <x v="0"/>
    <n v="6266"/>
    <x v="0"/>
    <x v="3"/>
    <s v="RABEPRAZOLE SODIUM"/>
    <m/>
    <n v="1"/>
    <m/>
    <n v="1"/>
    <n v="1"/>
    <m/>
    <m/>
    <m/>
    <m/>
    <m/>
    <m/>
    <m/>
    <m/>
    <n v="1"/>
    <m/>
    <n v="1"/>
    <m/>
    <m/>
    <m/>
    <n v="1"/>
    <m/>
    <m/>
    <m/>
    <n v="1"/>
    <m/>
    <m/>
    <m/>
    <n v="1"/>
    <m/>
    <n v="8"/>
  </r>
  <r>
    <x v="4"/>
    <x v="0"/>
    <n v="972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2022"/>
    <x v="1"/>
    <x v="3"/>
    <s v="PANTOPRAZOLE SOD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4"/>
    <x v="0"/>
    <n v="1410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20429"/>
    <x v="1"/>
    <x v="1"/>
    <s v="RANITIDINE HCL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20429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973"/>
    <x v="0"/>
    <x v="2"/>
    <s v="MISOPROSTOL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4"/>
    <x v="0"/>
    <n v="973"/>
    <x v="0"/>
    <x v="3"/>
    <s v="ESOMEPRAZOLE MAGNES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4"/>
    <x v="0"/>
    <n v="2097"/>
    <x v="0"/>
    <x v="3"/>
    <s v="RABEPRAZOLE SODIUM"/>
    <n v="3"/>
    <n v="2"/>
    <n v="2"/>
    <n v="2"/>
    <n v="1"/>
    <m/>
    <m/>
    <m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33"/>
  </r>
  <r>
    <x v="4"/>
    <x v="0"/>
    <n v="3012"/>
    <x v="0"/>
    <x v="4"/>
    <s v="SUCRALFATE"/>
    <n v="1"/>
    <n v="1"/>
    <n v="1"/>
    <n v="1"/>
    <n v="1"/>
    <n v="1"/>
    <m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8"/>
  </r>
  <r>
    <x v="4"/>
    <x v="0"/>
    <n v="3012"/>
    <x v="0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4"/>
    <x v="0"/>
    <n v="9601"/>
    <x v="1"/>
    <x v="3"/>
    <s v="RABEPRAZOLE SODIUM"/>
    <m/>
    <m/>
    <m/>
    <m/>
    <n v="1"/>
    <m/>
    <m/>
    <m/>
    <m/>
    <m/>
    <m/>
    <m/>
    <m/>
    <m/>
    <m/>
    <m/>
    <n v="2"/>
    <m/>
    <m/>
    <m/>
    <m/>
    <m/>
    <m/>
    <m/>
    <m/>
    <m/>
    <m/>
    <m/>
    <m/>
    <n v="3"/>
  </r>
  <r>
    <x v="4"/>
    <x v="0"/>
    <n v="16753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1095"/>
    <x v="0"/>
    <x v="0"/>
    <s v="ATORVASTATIN CALCIUM"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n v="2"/>
  </r>
  <r>
    <x v="4"/>
    <x v="0"/>
    <n v="11792"/>
    <x v="0"/>
    <x v="8"/>
    <s v="GEMFIBROZIL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4"/>
    <x v="0"/>
    <n v="16082"/>
    <x v="0"/>
    <x v="0"/>
    <s v="ROSUVASTATIN CALCIUM"/>
    <n v="1"/>
    <m/>
    <m/>
    <m/>
    <m/>
    <m/>
    <m/>
    <n v="1"/>
    <m/>
    <m/>
    <m/>
    <m/>
    <m/>
    <m/>
    <n v="1"/>
    <m/>
    <m/>
    <m/>
    <m/>
    <m/>
    <n v="1"/>
    <m/>
    <m/>
    <m/>
    <m/>
    <m/>
    <n v="1"/>
    <m/>
    <m/>
    <n v="5"/>
  </r>
  <r>
    <x v="4"/>
    <x v="0"/>
    <n v="958"/>
    <x v="1"/>
    <x v="8"/>
    <s v="GEMFIBROZIL"/>
    <n v="2"/>
    <m/>
    <m/>
    <m/>
    <m/>
    <m/>
    <m/>
    <m/>
    <m/>
    <m/>
    <m/>
    <m/>
    <m/>
    <m/>
    <n v="1"/>
    <m/>
    <m/>
    <m/>
    <m/>
    <m/>
    <m/>
    <m/>
    <m/>
    <m/>
    <m/>
    <m/>
    <m/>
    <n v="1"/>
    <m/>
    <n v="4"/>
  </r>
  <r>
    <x v="4"/>
    <x v="0"/>
    <n v="1858"/>
    <x v="1"/>
    <x v="0"/>
    <s v="SIMVASTATIN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4379"/>
    <x v="1"/>
    <x v="0"/>
    <s v="ATORVASTATIN CALCIUM"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4"/>
    <x v="0"/>
    <n v="9185"/>
    <x v="1"/>
    <x v="0"/>
    <s v="LOVASTATIN"/>
    <m/>
    <m/>
    <m/>
    <m/>
    <m/>
    <n v="2"/>
    <m/>
    <m/>
    <m/>
    <m/>
    <m/>
    <n v="1"/>
    <m/>
    <m/>
    <m/>
    <m/>
    <m/>
    <m/>
    <m/>
    <m/>
    <m/>
    <m/>
    <m/>
    <m/>
    <m/>
    <n v="1"/>
    <m/>
    <m/>
    <m/>
    <n v="4"/>
  </r>
  <r>
    <x v="4"/>
    <x v="0"/>
    <n v="9810"/>
    <x v="1"/>
    <x v="0"/>
    <s v="ATOR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4"/>
    <x v="0"/>
    <n v="11508"/>
    <x v="1"/>
    <x v="0"/>
    <s v="LOVASTATIN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4"/>
    <x v="0"/>
    <n v="12155"/>
    <x v="1"/>
    <x v="0"/>
    <s v="ATOR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4"/>
    <x v="0"/>
    <n v="13702"/>
    <x v="1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4"/>
    <x v="0"/>
    <n v="14168"/>
    <x v="1"/>
    <x v="8"/>
    <s v="GEMFIBROZIL"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n v="2"/>
  </r>
  <r>
    <x v="4"/>
    <x v="0"/>
    <n v="14349"/>
    <x v="1"/>
    <x v="0"/>
    <s v="ATORVASTATIN CALCIUM"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n v="2"/>
  </r>
  <r>
    <x v="4"/>
    <x v="0"/>
    <n v="14539"/>
    <x v="1"/>
    <x v="0"/>
    <s v="ATORVASTATIN CALCIUM"/>
    <m/>
    <m/>
    <m/>
    <m/>
    <m/>
    <m/>
    <m/>
    <m/>
    <m/>
    <n v="1"/>
    <m/>
    <m/>
    <m/>
    <m/>
    <m/>
    <m/>
    <m/>
    <m/>
    <m/>
    <m/>
    <n v="1"/>
    <m/>
    <m/>
    <m/>
    <n v="1"/>
    <m/>
    <m/>
    <m/>
    <m/>
    <n v="3"/>
  </r>
  <r>
    <x v="4"/>
    <x v="0"/>
    <n v="17932"/>
    <x v="1"/>
    <x v="0"/>
    <s v="ATOR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4"/>
    <x v="0"/>
    <n v="744"/>
    <x v="0"/>
    <x v="0"/>
    <s v="LOVASTATIN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4"/>
    <x v="0"/>
    <n v="11828"/>
    <x v="0"/>
    <x v="0"/>
    <s v="ROSUVASTATIN CALCIUM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4"/>
    <x v="0"/>
    <n v="12241"/>
    <x v="0"/>
    <x v="0"/>
    <s v="SIMVASTATIN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4"/>
    <x v="0"/>
    <n v="14341"/>
    <x v="0"/>
    <x v="0"/>
    <s v="PRAVASTATIN SODIUM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4"/>
    <x v="0"/>
    <n v="14553"/>
    <x v="0"/>
    <x v="0"/>
    <s v="SIMVASTATIN"/>
    <m/>
    <m/>
    <m/>
    <m/>
    <m/>
    <m/>
    <m/>
    <m/>
    <m/>
    <m/>
    <m/>
    <m/>
    <m/>
    <m/>
    <m/>
    <m/>
    <n v="2"/>
    <m/>
    <m/>
    <m/>
    <n v="3"/>
    <m/>
    <m/>
    <m/>
    <m/>
    <m/>
    <m/>
    <m/>
    <m/>
    <n v="5"/>
  </r>
  <r>
    <x v="4"/>
    <x v="0"/>
    <n v="15690"/>
    <x v="0"/>
    <x v="0"/>
    <s v="ROSUVASTATIN CALCIUM"/>
    <m/>
    <m/>
    <m/>
    <n v="1"/>
    <m/>
    <m/>
    <m/>
    <m/>
    <m/>
    <m/>
    <m/>
    <m/>
    <m/>
    <n v="1"/>
    <m/>
    <m/>
    <m/>
    <n v="1"/>
    <m/>
    <m/>
    <m/>
    <m/>
    <m/>
    <m/>
    <m/>
    <n v="1"/>
    <m/>
    <m/>
    <m/>
    <n v="4"/>
  </r>
  <r>
    <x v="4"/>
    <x v="0"/>
    <n v="138"/>
    <x v="1"/>
    <x v="8"/>
    <s v="GEMFIBROZIL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4"/>
    <x v="0"/>
    <n v="138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4"/>
    <x v="0"/>
    <n v="399"/>
    <x v="1"/>
    <x v="0"/>
    <s v="SIMVASTATIN"/>
    <m/>
    <m/>
    <m/>
    <n v="1"/>
    <m/>
    <m/>
    <m/>
    <m/>
    <m/>
    <m/>
    <m/>
    <m/>
    <m/>
    <m/>
    <m/>
    <n v="1"/>
    <m/>
    <m/>
    <m/>
    <m/>
    <m/>
    <n v="1"/>
    <m/>
    <m/>
    <m/>
    <m/>
    <n v="1"/>
    <m/>
    <n v="1"/>
    <n v="5"/>
  </r>
  <r>
    <x v="4"/>
    <x v="0"/>
    <n v="2069"/>
    <x v="1"/>
    <x v="0"/>
    <s v="ROSUVASTATIN CALCIUM"/>
    <n v="1"/>
    <m/>
    <m/>
    <n v="1"/>
    <m/>
    <m/>
    <m/>
    <m/>
    <n v="1"/>
    <m/>
    <m/>
    <m/>
    <n v="1"/>
    <m/>
    <m/>
    <n v="1"/>
    <m/>
    <m/>
    <n v="1"/>
    <m/>
    <m/>
    <m/>
    <m/>
    <m/>
    <n v="1"/>
    <m/>
    <m/>
    <m/>
    <n v="1"/>
    <n v="8"/>
  </r>
  <r>
    <x v="4"/>
    <x v="0"/>
    <n v="5082"/>
    <x v="1"/>
    <x v="0"/>
    <s v="SIMVASTATIN"/>
    <m/>
    <m/>
    <m/>
    <m/>
    <n v="1"/>
    <m/>
    <m/>
    <m/>
    <m/>
    <m/>
    <m/>
    <m/>
    <m/>
    <m/>
    <m/>
    <m/>
    <m/>
    <m/>
    <n v="1"/>
    <n v="2"/>
    <m/>
    <m/>
    <m/>
    <m/>
    <m/>
    <m/>
    <m/>
    <m/>
    <m/>
    <n v="4"/>
  </r>
  <r>
    <x v="4"/>
    <x v="0"/>
    <n v="13475"/>
    <x v="1"/>
    <x v="0"/>
    <s v="SIMVASTATIN"/>
    <m/>
    <m/>
    <m/>
    <m/>
    <m/>
    <m/>
    <m/>
    <m/>
    <m/>
    <m/>
    <m/>
    <n v="4"/>
    <n v="2"/>
    <n v="1"/>
    <m/>
    <m/>
    <m/>
    <m/>
    <m/>
    <m/>
    <m/>
    <m/>
    <m/>
    <m/>
    <n v="1"/>
    <m/>
    <m/>
    <m/>
    <m/>
    <n v="8"/>
  </r>
  <r>
    <x v="4"/>
    <x v="0"/>
    <n v="14098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n v="2"/>
  </r>
  <r>
    <x v="4"/>
    <x v="0"/>
    <n v="14281"/>
    <x v="1"/>
    <x v="0"/>
    <s v="SIMVASTATIN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4"/>
    <x v="0"/>
    <n v="1460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4"/>
    <x v="0"/>
    <n v="14992"/>
    <x v="1"/>
    <x v="0"/>
    <s v="SIMVASTATIN"/>
    <m/>
    <n v="1"/>
    <n v="1"/>
    <m/>
    <m/>
    <m/>
    <m/>
    <m/>
    <m/>
    <m/>
    <m/>
    <m/>
    <m/>
    <m/>
    <m/>
    <m/>
    <m/>
    <m/>
    <m/>
    <n v="1"/>
    <m/>
    <m/>
    <m/>
    <m/>
    <m/>
    <m/>
    <m/>
    <m/>
    <m/>
    <n v="3"/>
  </r>
  <r>
    <x v="5"/>
    <x v="0"/>
    <n v="494"/>
    <x v="0"/>
    <x v="2"/>
    <s v="MISOPROSTOL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5"/>
    <x v="0"/>
    <n v="186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186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3241"/>
    <x v="0"/>
    <x v="0"/>
    <s v="ATORVASTATIN CALCIUM"/>
    <m/>
    <n v="1"/>
    <m/>
    <m/>
    <m/>
    <n v="1"/>
    <m/>
    <m/>
    <m/>
    <m/>
    <m/>
    <m/>
    <m/>
    <m/>
    <m/>
    <m/>
    <m/>
    <m/>
    <m/>
    <m/>
    <m/>
    <n v="1"/>
    <m/>
    <m/>
    <m/>
    <m/>
    <m/>
    <m/>
    <m/>
    <n v="3"/>
  </r>
  <r>
    <x v="5"/>
    <x v="0"/>
    <n v="3241"/>
    <x v="0"/>
    <x v="3"/>
    <s v="RABE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5"/>
    <x v="0"/>
    <n v="11376"/>
    <x v="0"/>
    <x v="3"/>
    <s v="ESOMEPRAZOLE MAGNES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5"/>
    <x v="0"/>
    <n v="1366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17155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21477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21995"/>
    <x v="0"/>
    <x v="3"/>
    <s v="PANTOPRAZOLE SODIUM"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5"/>
    <x v="0"/>
    <n v="22317"/>
    <x v="0"/>
    <x v="0"/>
    <s v="ATORVASTATIN CALCIUM"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n v="2"/>
  </r>
  <r>
    <x v="5"/>
    <x v="0"/>
    <n v="22770"/>
    <x v="0"/>
    <x v="1"/>
    <s v="RANITIDINE HCL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5"/>
    <x v="0"/>
    <n v="22851"/>
    <x v="0"/>
    <x v="3"/>
    <s v="PANTOPRAZOLE SODIUM"/>
    <n v="1"/>
    <m/>
    <m/>
    <m/>
    <m/>
    <m/>
    <m/>
    <m/>
    <m/>
    <m/>
    <m/>
    <m/>
    <n v="3"/>
    <m/>
    <m/>
    <m/>
    <m/>
    <m/>
    <m/>
    <m/>
    <m/>
    <m/>
    <m/>
    <m/>
    <m/>
    <m/>
    <m/>
    <m/>
    <m/>
    <n v="4"/>
  </r>
  <r>
    <x v="5"/>
    <x v="0"/>
    <n v="3109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8031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9059"/>
    <x v="1"/>
    <x v="0"/>
    <s v="SIMVASTATIN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5"/>
    <x v="0"/>
    <n v="22262"/>
    <x v="1"/>
    <x v="0"/>
    <s v="ATORVASTATIN CALCIUM"/>
    <m/>
    <m/>
    <m/>
    <n v="1"/>
    <m/>
    <m/>
    <m/>
    <m/>
    <m/>
    <n v="2"/>
    <m/>
    <m/>
    <m/>
    <n v="1"/>
    <m/>
    <m/>
    <m/>
    <n v="1"/>
    <m/>
    <m/>
    <m/>
    <m/>
    <n v="1"/>
    <m/>
    <m/>
    <m/>
    <n v="1"/>
    <m/>
    <m/>
    <n v="7"/>
  </r>
  <r>
    <x v="5"/>
    <x v="0"/>
    <n v="2668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29602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5"/>
    <x v="0"/>
    <n v="3132"/>
    <x v="0"/>
    <x v="0"/>
    <s v="SIMVASTATIN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5"/>
    <x v="0"/>
    <n v="416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416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5304"/>
    <x v="0"/>
    <x v="3"/>
    <s v="ESOME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5"/>
    <x v="0"/>
    <n v="5628"/>
    <x v="0"/>
    <x v="0"/>
    <s v="ATORVASTATIN CALCIUM"/>
    <m/>
    <n v="1"/>
    <m/>
    <m/>
    <m/>
    <n v="1"/>
    <m/>
    <m/>
    <m/>
    <m/>
    <n v="3"/>
    <m/>
    <m/>
    <m/>
    <m/>
    <m/>
    <m/>
    <n v="1"/>
    <m/>
    <m/>
    <m/>
    <m/>
    <m/>
    <m/>
    <m/>
    <m/>
    <m/>
    <m/>
    <m/>
    <n v="6"/>
  </r>
  <r>
    <x v="5"/>
    <x v="0"/>
    <n v="5705"/>
    <x v="0"/>
    <x v="3"/>
    <s v="RABEPRAZOLE SODIUM"/>
    <m/>
    <m/>
    <m/>
    <m/>
    <n v="1"/>
    <m/>
    <m/>
    <m/>
    <m/>
    <m/>
    <n v="1"/>
    <m/>
    <m/>
    <m/>
    <m/>
    <m/>
    <m/>
    <m/>
    <m/>
    <m/>
    <m/>
    <m/>
    <n v="1"/>
    <m/>
    <m/>
    <m/>
    <m/>
    <m/>
    <m/>
    <n v="3"/>
  </r>
  <r>
    <x v="5"/>
    <x v="0"/>
    <n v="5743"/>
    <x v="0"/>
    <x v="3"/>
    <s v="PANTOPRAZOLE SODIUM"/>
    <n v="1"/>
    <m/>
    <m/>
    <m/>
    <m/>
    <m/>
    <m/>
    <m/>
    <n v="2"/>
    <m/>
    <m/>
    <m/>
    <m/>
    <m/>
    <m/>
    <m/>
    <m/>
    <m/>
    <m/>
    <m/>
    <m/>
    <m/>
    <m/>
    <m/>
    <m/>
    <m/>
    <m/>
    <m/>
    <m/>
    <n v="3"/>
  </r>
  <r>
    <x v="5"/>
    <x v="0"/>
    <n v="6261"/>
    <x v="0"/>
    <x v="1"/>
    <s v="RANITIDINE HCL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2"/>
  </r>
  <r>
    <x v="5"/>
    <x v="0"/>
    <n v="7954"/>
    <x v="0"/>
    <x v="1"/>
    <s v="RANITIDINE HCL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5"/>
    <x v="0"/>
    <n v="11121"/>
    <x v="0"/>
    <x v="0"/>
    <s v="SIMVASTATIN"/>
    <m/>
    <m/>
    <m/>
    <m/>
    <m/>
    <m/>
    <m/>
    <m/>
    <m/>
    <m/>
    <n v="1"/>
    <m/>
    <m/>
    <m/>
    <m/>
    <n v="2"/>
    <m/>
    <m/>
    <m/>
    <m/>
    <m/>
    <m/>
    <m/>
    <m/>
    <m/>
    <m/>
    <m/>
    <n v="7"/>
    <m/>
    <n v="10"/>
  </r>
  <r>
    <x v="5"/>
    <x v="0"/>
    <n v="20484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n v="2"/>
  </r>
  <r>
    <x v="5"/>
    <x v="0"/>
    <n v="31884"/>
    <x v="0"/>
    <x v="3"/>
    <s v="PANTOPRAZOLE MAGNES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5"/>
    <x v="0"/>
    <n v="31884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6162"/>
    <x v="1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6162"/>
    <x v="1"/>
    <x v="0"/>
    <s v="SIMVASTATIN"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n v="2"/>
  </r>
  <r>
    <x v="5"/>
    <x v="0"/>
    <n v="20999"/>
    <x v="1"/>
    <x v="0"/>
    <s v="SIMVASTATIN"/>
    <m/>
    <n v="1"/>
    <m/>
    <m/>
    <m/>
    <m/>
    <m/>
    <n v="1"/>
    <m/>
    <m/>
    <m/>
    <m/>
    <n v="1"/>
    <m/>
    <m/>
    <m/>
    <m/>
    <n v="1"/>
    <m/>
    <m/>
    <m/>
    <m/>
    <n v="1"/>
    <m/>
    <m/>
    <m/>
    <m/>
    <n v="1"/>
    <m/>
    <n v="6"/>
  </r>
  <r>
    <x v="5"/>
    <x v="0"/>
    <n v="5843"/>
    <x v="0"/>
    <x v="3"/>
    <s v="ESOMEPRAZOLE MAGNESIUM"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n v="2"/>
  </r>
  <r>
    <x v="5"/>
    <x v="0"/>
    <n v="8032"/>
    <x v="0"/>
    <x v="3"/>
    <s v="PANTO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5"/>
    <x v="0"/>
    <n v="22889"/>
    <x v="0"/>
    <x v="3"/>
    <s v="PANTOPRAZOLE SODIUM"/>
    <m/>
    <n v="1"/>
    <m/>
    <m/>
    <m/>
    <n v="1"/>
    <m/>
    <m/>
    <m/>
    <m/>
    <n v="1"/>
    <m/>
    <m/>
    <m/>
    <m/>
    <n v="1"/>
    <m/>
    <m/>
    <m/>
    <n v="1"/>
    <m/>
    <m/>
    <m/>
    <n v="1"/>
    <m/>
    <m/>
    <n v="1"/>
    <m/>
    <m/>
    <n v="7"/>
  </r>
  <r>
    <x v="5"/>
    <x v="0"/>
    <n v="3132"/>
    <x v="0"/>
    <x v="1"/>
    <s v="RANITIDINE HCL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5"/>
    <x v="0"/>
    <n v="2782"/>
    <x v="0"/>
    <x v="0"/>
    <s v="PRAVASTATIN SOD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2"/>
  </r>
  <r>
    <x v="5"/>
    <x v="0"/>
    <n v="5314"/>
    <x v="0"/>
    <x v="0"/>
    <s v="ATORVASTATIN CALCIUM"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n v="2"/>
  </r>
  <r>
    <x v="5"/>
    <x v="0"/>
    <n v="6920"/>
    <x v="0"/>
    <x v="0"/>
    <s v="ATORVASTATIN CALCIUM"/>
    <m/>
    <n v="2"/>
    <m/>
    <m/>
    <n v="2"/>
    <m/>
    <m/>
    <m/>
    <m/>
    <m/>
    <m/>
    <n v="2"/>
    <m/>
    <m/>
    <m/>
    <m/>
    <n v="1"/>
    <m/>
    <m/>
    <m/>
    <n v="1"/>
    <m/>
    <n v="3"/>
    <m/>
    <m/>
    <m/>
    <m/>
    <m/>
    <m/>
    <n v="11"/>
  </r>
  <r>
    <x v="5"/>
    <x v="0"/>
    <n v="2832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5588"/>
    <x v="1"/>
    <x v="0"/>
    <s v="ATORVASTATIN CALCIUM"/>
    <m/>
    <m/>
    <m/>
    <m/>
    <m/>
    <m/>
    <m/>
    <m/>
    <n v="1"/>
    <m/>
    <m/>
    <m/>
    <n v="1"/>
    <m/>
    <m/>
    <m/>
    <m/>
    <n v="1"/>
    <m/>
    <m/>
    <m/>
    <n v="1"/>
    <m/>
    <m/>
    <m/>
    <m/>
    <m/>
    <m/>
    <m/>
    <n v="4"/>
  </r>
  <r>
    <x v="5"/>
    <x v="0"/>
    <n v="2032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5"/>
    <x v="0"/>
    <n v="2408"/>
    <x v="0"/>
    <x v="0"/>
    <s v="ATORVASTATIN CALC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2"/>
  </r>
  <r>
    <x v="5"/>
    <x v="0"/>
    <n v="5705"/>
    <x v="0"/>
    <x v="0"/>
    <s v="ATOR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5"/>
    <x v="0"/>
    <n v="7954"/>
    <x v="0"/>
    <x v="0"/>
    <s v="ATORVASTATIN CALCIUM"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n v="2"/>
  </r>
  <r>
    <x v="5"/>
    <x v="0"/>
    <n v="31884"/>
    <x v="0"/>
    <x v="0"/>
    <s v="SIMVASTATIN"/>
    <m/>
    <m/>
    <m/>
    <m/>
    <m/>
    <n v="1"/>
    <m/>
    <m/>
    <m/>
    <m/>
    <m/>
    <m/>
    <n v="1"/>
    <n v="1"/>
    <m/>
    <m/>
    <m/>
    <m/>
    <m/>
    <m/>
    <m/>
    <m/>
    <m/>
    <m/>
    <m/>
    <n v="1"/>
    <m/>
    <m/>
    <m/>
    <n v="4"/>
  </r>
  <r>
    <x v="6"/>
    <x v="0"/>
    <n v="39"/>
    <x v="0"/>
    <x v="1"/>
    <s v="RANITIDINE HCL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6"/>
    <x v="0"/>
    <n v="356"/>
    <x v="0"/>
    <x v="0"/>
    <s v="ATORVASTATIN CALCIUM"/>
    <m/>
    <m/>
    <m/>
    <n v="1"/>
    <m/>
    <m/>
    <m/>
    <m/>
    <n v="1"/>
    <m/>
    <m/>
    <m/>
    <m/>
    <m/>
    <m/>
    <n v="1"/>
    <m/>
    <n v="3"/>
    <m/>
    <m/>
    <n v="1"/>
    <m/>
    <m/>
    <m/>
    <n v="1"/>
    <m/>
    <m/>
    <m/>
    <m/>
    <n v="8"/>
  </r>
  <r>
    <x v="6"/>
    <x v="0"/>
    <n v="762"/>
    <x v="0"/>
    <x v="8"/>
    <s v="FENOFIBRATE, MICRONIZED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6"/>
    <x v="0"/>
    <n v="1242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357"/>
    <x v="0"/>
    <x v="3"/>
    <s v="PANTOPRAZOLE MAGNESIUM"/>
    <m/>
    <m/>
    <m/>
    <m/>
    <m/>
    <m/>
    <m/>
    <m/>
    <m/>
    <n v="1"/>
    <m/>
    <m/>
    <m/>
    <n v="1"/>
    <m/>
    <m/>
    <m/>
    <n v="1"/>
    <m/>
    <m/>
    <m/>
    <n v="1"/>
    <m/>
    <m/>
    <m/>
    <n v="1"/>
    <m/>
    <m/>
    <m/>
    <n v="5"/>
  </r>
  <r>
    <x v="6"/>
    <x v="0"/>
    <n v="2354"/>
    <x v="0"/>
    <x v="3"/>
    <s v="PANTO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6"/>
    <x v="0"/>
    <n v="3758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2"/>
  </r>
  <r>
    <x v="6"/>
    <x v="0"/>
    <n v="4116"/>
    <x v="0"/>
    <x v="1"/>
    <s v="CIMETIDINE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6"/>
    <x v="0"/>
    <n v="5213"/>
    <x v="0"/>
    <x v="0"/>
    <s v="ROSU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6"/>
    <x v="0"/>
    <n v="5967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6"/>
    <x v="0"/>
    <n v="8317"/>
    <x v="0"/>
    <x v="0"/>
    <s v="PRAVASTATIN SODIUM"/>
    <m/>
    <m/>
    <n v="1"/>
    <m/>
    <m/>
    <m/>
    <m/>
    <n v="1"/>
    <m/>
    <m/>
    <m/>
    <n v="1"/>
    <m/>
    <m/>
    <n v="1"/>
    <m/>
    <m/>
    <m/>
    <n v="1"/>
    <m/>
    <m/>
    <m/>
    <n v="1"/>
    <m/>
    <m/>
    <m/>
    <n v="1"/>
    <m/>
    <m/>
    <n v="7"/>
  </r>
  <r>
    <x v="6"/>
    <x v="0"/>
    <n v="8533"/>
    <x v="0"/>
    <x v="3"/>
    <s v="RABEPRAZOLE SODIUM"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7"/>
  </r>
  <r>
    <x v="6"/>
    <x v="0"/>
    <n v="8654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6"/>
    <x v="0"/>
    <n v="10401"/>
    <x v="0"/>
    <x v="3"/>
    <s v="PANTOPRAZOLE MAGNES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1676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9123"/>
    <x v="0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6"/>
    <x v="0"/>
    <n v="19666"/>
    <x v="0"/>
    <x v="0"/>
    <s v="ATORVASTATIN CALCIUM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</r>
  <r>
    <x v="6"/>
    <x v="0"/>
    <n v="20842"/>
    <x v="0"/>
    <x v="0"/>
    <s v="ROSU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6"/>
    <x v="0"/>
    <n v="23057"/>
    <x v="0"/>
    <x v="0"/>
    <s v="LO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6149"/>
    <x v="0"/>
    <x v="0"/>
    <s v="ROSU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3031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30426"/>
    <x v="0"/>
    <x v="1"/>
    <s v="RANITIDINE HCL"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n v="2"/>
  </r>
  <r>
    <x v="6"/>
    <x v="0"/>
    <n v="30426"/>
    <x v="0"/>
    <x v="0"/>
    <s v="ATORVASTATIN CALCIUM"/>
    <m/>
    <m/>
    <m/>
    <m/>
    <m/>
    <m/>
    <m/>
    <m/>
    <m/>
    <m/>
    <n v="1"/>
    <m/>
    <m/>
    <n v="1"/>
    <m/>
    <m/>
    <m/>
    <m/>
    <m/>
    <m/>
    <m/>
    <m/>
    <m/>
    <m/>
    <m/>
    <n v="1"/>
    <m/>
    <m/>
    <m/>
    <n v="3"/>
  </r>
  <r>
    <x v="6"/>
    <x v="0"/>
    <n v="32204"/>
    <x v="0"/>
    <x v="3"/>
    <s v="RABEPRAZOLE SODIUM"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n v="3"/>
  </r>
  <r>
    <x v="6"/>
    <x v="0"/>
    <n v="758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2"/>
  </r>
  <r>
    <x v="6"/>
    <x v="0"/>
    <n v="1235"/>
    <x v="1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n v="2"/>
  </r>
  <r>
    <x v="6"/>
    <x v="0"/>
    <n v="1356"/>
    <x v="1"/>
    <x v="0"/>
    <s v="SIMVASTATIN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6"/>
    <x v="0"/>
    <n v="1601"/>
    <x v="1"/>
    <x v="9"/>
    <s v="COLESTIPOL HCL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6"/>
    <x v="0"/>
    <n v="1601"/>
    <x v="1"/>
    <x v="0"/>
    <s v="PRAVASTATIN SOD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6"/>
    <x v="0"/>
    <n v="3138"/>
    <x v="1"/>
    <x v="1"/>
    <s v="CIMETIDINE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6"/>
    <x v="0"/>
    <n v="3757"/>
    <x v="1"/>
    <x v="0"/>
    <s v="ATORVASTATIN CALCIUM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6"/>
    <x v="0"/>
    <n v="4343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n v="3"/>
  </r>
  <r>
    <x v="6"/>
    <x v="0"/>
    <n v="462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65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865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9130"/>
    <x v="1"/>
    <x v="0"/>
    <s v="ATORVASTATIN CALCIUM"/>
    <m/>
    <n v="1"/>
    <m/>
    <m/>
    <m/>
    <m/>
    <m/>
    <m/>
    <m/>
    <m/>
    <m/>
    <m/>
    <m/>
    <n v="1"/>
    <m/>
    <m/>
    <m/>
    <m/>
    <m/>
    <m/>
    <m/>
    <m/>
    <m/>
    <m/>
    <m/>
    <m/>
    <n v="1"/>
    <m/>
    <m/>
    <n v="3"/>
  </r>
  <r>
    <x v="6"/>
    <x v="0"/>
    <n v="11079"/>
    <x v="1"/>
    <x v="0"/>
    <s v="ROSUVASTATIN CALCIUM"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n v="3"/>
  </r>
  <r>
    <x v="6"/>
    <x v="0"/>
    <n v="12030"/>
    <x v="1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  <n v="4"/>
  </r>
  <r>
    <x v="6"/>
    <x v="0"/>
    <n v="12266"/>
    <x v="1"/>
    <x v="0"/>
    <s v="ROSU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6"/>
    <x v="0"/>
    <n v="12266"/>
    <x v="1"/>
    <x v="6"/>
    <s v="EZETIMIBE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6"/>
    <x v="0"/>
    <n v="1956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9107"/>
    <x v="1"/>
    <x v="3"/>
    <s v="RABEPRAZOLE SODIUM"/>
    <m/>
    <n v="1"/>
    <m/>
    <m/>
    <m/>
    <m/>
    <m/>
    <m/>
    <m/>
    <m/>
    <m/>
    <m/>
    <m/>
    <m/>
    <m/>
    <n v="1"/>
    <m/>
    <m/>
    <m/>
    <m/>
    <m/>
    <n v="1"/>
    <m/>
    <m/>
    <m/>
    <m/>
    <m/>
    <m/>
    <m/>
    <n v="3"/>
  </r>
  <r>
    <x v="6"/>
    <x v="0"/>
    <n v="2977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30384"/>
    <x v="1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32168"/>
    <x v="1"/>
    <x v="0"/>
    <s v="ATORVASTATIN CALCIUM"/>
    <m/>
    <m/>
    <m/>
    <n v="1"/>
    <m/>
    <m/>
    <m/>
    <m/>
    <m/>
    <n v="1"/>
    <m/>
    <m/>
    <n v="1"/>
    <m/>
    <m/>
    <m/>
    <m/>
    <n v="2"/>
    <m/>
    <m/>
    <m/>
    <m/>
    <m/>
    <n v="1"/>
    <m/>
    <m/>
    <m/>
    <m/>
    <m/>
    <n v="6"/>
  </r>
  <r>
    <x v="6"/>
    <x v="0"/>
    <n v="41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00"/>
    <x v="0"/>
    <x v="4"/>
    <s v="SUCRALFATE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6"/>
    <x v="0"/>
    <n v="698"/>
    <x v="0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n v="2"/>
  </r>
  <r>
    <x v="6"/>
    <x v="0"/>
    <n v="1281"/>
    <x v="0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6"/>
    <x v="0"/>
    <n v="1467"/>
    <x v="0"/>
    <x v="0"/>
    <s v="SIMVASTATIN"/>
    <n v="1"/>
    <m/>
    <n v="1"/>
    <m/>
    <m/>
    <n v="1"/>
    <m/>
    <m/>
    <m/>
    <m/>
    <m/>
    <m/>
    <m/>
    <m/>
    <m/>
    <m/>
    <m/>
    <m/>
    <m/>
    <m/>
    <m/>
    <m/>
    <m/>
    <m/>
    <m/>
    <m/>
    <m/>
    <m/>
    <m/>
    <n v="3"/>
  </r>
  <r>
    <x v="6"/>
    <x v="0"/>
    <n v="1467"/>
    <x v="0"/>
    <x v="3"/>
    <s v="RABEPRAZOLE SODIUM"/>
    <n v="1"/>
    <m/>
    <n v="1"/>
    <m/>
    <m/>
    <n v="1"/>
    <m/>
    <m/>
    <m/>
    <m/>
    <n v="2"/>
    <m/>
    <m/>
    <n v="1"/>
    <m/>
    <m/>
    <m/>
    <n v="1"/>
    <m/>
    <m/>
    <n v="1"/>
    <n v="1"/>
    <m/>
    <m/>
    <m/>
    <n v="1"/>
    <m/>
    <m/>
    <m/>
    <n v="10"/>
  </r>
  <r>
    <x v="6"/>
    <x v="0"/>
    <n v="2522"/>
    <x v="0"/>
    <x v="0"/>
    <s v="ATORVASTATIN CALCIUM"/>
    <n v="1"/>
    <m/>
    <m/>
    <m/>
    <m/>
    <n v="1"/>
    <m/>
    <m/>
    <m/>
    <n v="1"/>
    <m/>
    <m/>
    <m/>
    <n v="1"/>
    <m/>
    <m/>
    <m/>
    <m/>
    <n v="1"/>
    <m/>
    <m/>
    <n v="2"/>
    <m/>
    <m/>
    <n v="1"/>
    <m/>
    <m/>
    <m/>
    <m/>
    <n v="8"/>
  </r>
  <r>
    <x v="6"/>
    <x v="0"/>
    <n v="2586"/>
    <x v="0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6"/>
    <x v="0"/>
    <n v="2767"/>
    <x v="0"/>
    <x v="3"/>
    <s v="RABEPRAZOLE SODIUM"/>
    <m/>
    <m/>
    <n v="1"/>
    <m/>
    <m/>
    <m/>
    <m/>
    <n v="1"/>
    <m/>
    <m/>
    <m/>
    <m/>
    <n v="1"/>
    <m/>
    <m/>
    <m/>
    <n v="1"/>
    <m/>
    <m/>
    <m/>
    <n v="1"/>
    <m/>
    <m/>
    <m/>
    <n v="2"/>
    <m/>
    <m/>
    <m/>
    <m/>
    <n v="7"/>
  </r>
  <r>
    <x v="6"/>
    <x v="0"/>
    <n v="2987"/>
    <x v="0"/>
    <x v="0"/>
    <s v="ATORVASTATIN CALCIUM"/>
    <m/>
    <m/>
    <n v="1"/>
    <n v="1"/>
    <m/>
    <m/>
    <m/>
    <m/>
    <m/>
    <m/>
    <m/>
    <m/>
    <m/>
    <m/>
    <m/>
    <m/>
    <m/>
    <n v="1"/>
    <m/>
    <m/>
    <m/>
    <m/>
    <m/>
    <m/>
    <m/>
    <m/>
    <m/>
    <m/>
    <m/>
    <n v="3"/>
  </r>
  <r>
    <x v="6"/>
    <x v="0"/>
    <n v="4254"/>
    <x v="0"/>
    <x v="0"/>
    <s v="ROSU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6"/>
    <x v="0"/>
    <n v="5064"/>
    <x v="0"/>
    <x v="3"/>
    <s v="OMEPRAZOLE MAGNESIUM"/>
    <n v="1"/>
    <m/>
    <m/>
    <m/>
    <n v="1"/>
    <m/>
    <m/>
    <m/>
    <m/>
    <n v="1"/>
    <m/>
    <m/>
    <m/>
    <n v="1"/>
    <m/>
    <m/>
    <m/>
    <m/>
    <m/>
    <m/>
    <m/>
    <m/>
    <m/>
    <m/>
    <m/>
    <m/>
    <m/>
    <m/>
    <m/>
    <n v="4"/>
  </r>
  <r>
    <x v="6"/>
    <x v="0"/>
    <n v="5137"/>
    <x v="0"/>
    <x v="3"/>
    <s v="RABEPRAZOLE SODIUM"/>
    <m/>
    <m/>
    <m/>
    <m/>
    <m/>
    <n v="1"/>
    <m/>
    <m/>
    <m/>
    <m/>
    <m/>
    <m/>
    <m/>
    <m/>
    <n v="1"/>
    <m/>
    <m/>
    <m/>
    <m/>
    <m/>
    <m/>
    <m/>
    <m/>
    <n v="1"/>
    <m/>
    <m/>
    <m/>
    <m/>
    <m/>
    <n v="3"/>
  </r>
  <r>
    <x v="6"/>
    <x v="0"/>
    <n v="5526"/>
    <x v="0"/>
    <x v="0"/>
    <s v="PRAVASTATIN SODIUM"/>
    <n v="1"/>
    <m/>
    <m/>
    <m/>
    <m/>
    <n v="1"/>
    <m/>
    <m/>
    <m/>
    <m/>
    <m/>
    <m/>
    <n v="1"/>
    <m/>
    <m/>
    <m/>
    <m/>
    <m/>
    <m/>
    <n v="1"/>
    <m/>
    <m/>
    <n v="1"/>
    <m/>
    <m/>
    <m/>
    <m/>
    <m/>
    <m/>
    <n v="5"/>
  </r>
  <r>
    <x v="6"/>
    <x v="0"/>
    <n v="5863"/>
    <x v="0"/>
    <x v="3"/>
    <s v="ESOME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5977"/>
    <x v="0"/>
    <x v="3"/>
    <s v="RABEPRAZOLE SODIUM"/>
    <n v="1"/>
    <m/>
    <m/>
    <n v="1"/>
    <m/>
    <m/>
    <m/>
    <m/>
    <m/>
    <m/>
    <n v="1"/>
    <m/>
    <m/>
    <m/>
    <m/>
    <m/>
    <m/>
    <m/>
    <m/>
    <m/>
    <m/>
    <m/>
    <m/>
    <m/>
    <m/>
    <m/>
    <m/>
    <m/>
    <m/>
    <n v="3"/>
  </r>
  <r>
    <x v="6"/>
    <x v="0"/>
    <n v="6576"/>
    <x v="0"/>
    <x v="3"/>
    <s v="PANTOPRAZOLE MAGNES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663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359"/>
    <x v="0"/>
    <x v="3"/>
    <s v="ESOMEPRAZOLE MAGNESIUM"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n v="2"/>
  </r>
  <r>
    <x v="6"/>
    <x v="0"/>
    <n v="7493"/>
    <x v="0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6"/>
    <x v="0"/>
    <n v="7631"/>
    <x v="0"/>
    <x v="1"/>
    <s v="CIMETIDINE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6"/>
    <x v="0"/>
    <n v="8093"/>
    <x v="0"/>
    <x v="0"/>
    <s v="ATORVASTATIN CALCIUM"/>
    <m/>
    <m/>
    <m/>
    <m/>
    <m/>
    <m/>
    <m/>
    <m/>
    <m/>
    <m/>
    <m/>
    <m/>
    <m/>
    <m/>
    <m/>
    <m/>
    <m/>
    <m/>
    <n v="1"/>
    <m/>
    <m/>
    <n v="2"/>
    <n v="2"/>
    <n v="1"/>
    <n v="1"/>
    <n v="1"/>
    <n v="1"/>
    <n v="1"/>
    <m/>
    <n v="10"/>
  </r>
  <r>
    <x v="6"/>
    <x v="0"/>
    <n v="8318"/>
    <x v="0"/>
    <x v="3"/>
    <s v="RABEPRAZOLE SOD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6"/>
    <x v="0"/>
    <n v="8433"/>
    <x v="0"/>
    <x v="3"/>
    <s v="PANTOPRAZOLE SODIUM"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n v="5"/>
  </r>
  <r>
    <x v="6"/>
    <x v="0"/>
    <n v="8433"/>
    <x v="0"/>
    <x v="3"/>
    <s v="RABEPRAZOLE SODIUM"/>
    <m/>
    <m/>
    <m/>
    <m/>
    <n v="1"/>
    <n v="1"/>
    <m/>
    <n v="1"/>
    <n v="2"/>
    <n v="1"/>
    <n v="1"/>
    <n v="2"/>
    <n v="1"/>
    <n v="1"/>
    <n v="1"/>
    <n v="1"/>
    <n v="1"/>
    <n v="1"/>
    <n v="1"/>
    <n v="1"/>
    <n v="1"/>
    <n v="1"/>
    <n v="1"/>
    <n v="1"/>
    <n v="1"/>
    <n v="2"/>
    <n v="1"/>
    <m/>
    <n v="1"/>
    <n v="26"/>
  </r>
  <r>
    <x v="6"/>
    <x v="0"/>
    <n v="858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736"/>
    <x v="0"/>
    <x v="3"/>
    <s v="RABEPRAZOLE SODIUM"/>
    <m/>
    <m/>
    <m/>
    <m/>
    <m/>
    <m/>
    <m/>
    <m/>
    <n v="1"/>
    <m/>
    <m/>
    <m/>
    <m/>
    <m/>
    <m/>
    <m/>
    <n v="1"/>
    <m/>
    <m/>
    <m/>
    <m/>
    <m/>
    <n v="1"/>
    <m/>
    <m/>
    <m/>
    <m/>
    <m/>
    <m/>
    <n v="3"/>
  </r>
  <r>
    <x v="6"/>
    <x v="0"/>
    <n v="892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920"/>
    <x v="0"/>
    <x v="0"/>
    <s v="ROSUVASTATIN CALCIUM"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7"/>
  </r>
  <r>
    <x v="6"/>
    <x v="0"/>
    <n v="8920"/>
    <x v="0"/>
    <x v="3"/>
    <s v="RABEPRAZOLE SODIUM"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7"/>
  </r>
  <r>
    <x v="6"/>
    <x v="0"/>
    <n v="9249"/>
    <x v="0"/>
    <x v="3"/>
    <s v="PANTOPRAZOLE MAGNES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6"/>
    <x v="0"/>
    <n v="9249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9270"/>
    <x v="0"/>
    <x v="6"/>
    <s v="EZETIMIBE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n v="6"/>
  </r>
  <r>
    <x v="6"/>
    <x v="0"/>
    <n v="9270"/>
    <x v="0"/>
    <x v="3"/>
    <s v="RABEPRAZOLE SODIUM"/>
    <m/>
    <m/>
    <m/>
    <n v="1"/>
    <m/>
    <m/>
    <m/>
    <n v="1"/>
    <m/>
    <m/>
    <m/>
    <n v="1"/>
    <m/>
    <m/>
    <m/>
    <n v="1"/>
    <m/>
    <m/>
    <m/>
    <n v="1"/>
    <m/>
    <m/>
    <m/>
    <n v="1"/>
    <m/>
    <m/>
    <m/>
    <m/>
    <m/>
    <n v="6"/>
  </r>
  <r>
    <x v="6"/>
    <x v="0"/>
    <n v="9383"/>
    <x v="0"/>
    <x v="3"/>
    <s v="RABEPRAZOLE SODIUM"/>
    <m/>
    <m/>
    <m/>
    <m/>
    <m/>
    <m/>
    <m/>
    <m/>
    <m/>
    <m/>
    <m/>
    <m/>
    <m/>
    <n v="2"/>
    <m/>
    <m/>
    <m/>
    <m/>
    <m/>
    <m/>
    <m/>
    <m/>
    <m/>
    <m/>
    <m/>
    <m/>
    <n v="1"/>
    <m/>
    <m/>
    <n v="3"/>
  </r>
  <r>
    <x v="6"/>
    <x v="0"/>
    <n v="9434"/>
    <x v="0"/>
    <x v="6"/>
    <s v="EZETIMIBE"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n v="2"/>
  </r>
  <r>
    <x v="6"/>
    <x v="0"/>
    <n v="9434"/>
    <x v="0"/>
    <x v="3"/>
    <s v="RABEPRAZOLE SODIUM"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n v="2"/>
  </r>
  <r>
    <x v="6"/>
    <x v="0"/>
    <n v="9455"/>
    <x v="0"/>
    <x v="1"/>
    <s v="RANITIDINE HCL"/>
    <m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m/>
    <n v="6"/>
  </r>
  <r>
    <x v="6"/>
    <x v="0"/>
    <n v="1103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n v="3"/>
  </r>
  <r>
    <x v="6"/>
    <x v="0"/>
    <n v="11039"/>
    <x v="0"/>
    <x v="3"/>
    <s v="PANTO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m/>
    <m/>
    <m/>
    <n v="24"/>
  </r>
  <r>
    <x v="6"/>
    <x v="0"/>
    <n v="1125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4214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421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4315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6"/>
    <x v="0"/>
    <n v="14920"/>
    <x v="0"/>
    <x v="1"/>
    <s v="RANITIDINE HCL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6"/>
    <x v="0"/>
    <n v="15243"/>
    <x v="0"/>
    <x v="3"/>
    <s v="OMEPRAZOLE MAGNES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</r>
  <r>
    <x v="6"/>
    <x v="0"/>
    <n v="16823"/>
    <x v="0"/>
    <x v="3"/>
    <s v="ESOMEPRAZOLE MAGNESIUM"/>
    <m/>
    <n v="1"/>
    <m/>
    <m/>
    <m/>
    <n v="1"/>
    <m/>
    <m/>
    <m/>
    <m/>
    <m/>
    <m/>
    <m/>
    <m/>
    <m/>
    <n v="3"/>
    <n v="1"/>
    <m/>
    <n v="1"/>
    <m/>
    <m/>
    <m/>
    <n v="1"/>
    <m/>
    <m/>
    <n v="1"/>
    <m/>
    <n v="1"/>
    <m/>
    <n v="10"/>
  </r>
  <r>
    <x v="6"/>
    <x v="0"/>
    <n v="18028"/>
    <x v="0"/>
    <x v="3"/>
    <s v="RABEPRAZOLE SODIUM"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6"/>
    <x v="0"/>
    <n v="19579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9579"/>
    <x v="0"/>
    <x v="3"/>
    <s v="RABEPRAZOLE SODIUM"/>
    <m/>
    <m/>
    <m/>
    <m/>
    <m/>
    <n v="1"/>
    <m/>
    <m/>
    <m/>
    <m/>
    <m/>
    <m/>
    <m/>
    <m/>
    <m/>
    <m/>
    <m/>
    <m/>
    <m/>
    <m/>
    <n v="1"/>
    <m/>
    <m/>
    <m/>
    <n v="1"/>
    <m/>
    <m/>
    <m/>
    <m/>
    <n v="3"/>
  </r>
  <r>
    <x v="6"/>
    <x v="0"/>
    <n v="19847"/>
    <x v="0"/>
    <x v="0"/>
    <s v="ATORVASTATIN CALCIUM"/>
    <m/>
    <n v="1"/>
    <n v="1"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6"/>
    <x v="0"/>
    <n v="20438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1069"/>
    <x v="0"/>
    <x v="1"/>
    <s v="RANITIDINE HCL"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6"/>
    <x v="0"/>
    <n v="21069"/>
    <x v="0"/>
    <x v="3"/>
    <s v="PANTOPRAZOLE MAGNESIUM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6"/>
    <x v="0"/>
    <n v="26598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7090"/>
    <x v="0"/>
    <x v="3"/>
    <s v="RABEPRAZOLE SODIUM"/>
    <m/>
    <m/>
    <n v="1"/>
    <m/>
    <m/>
    <m/>
    <m/>
    <m/>
    <m/>
    <m/>
    <m/>
    <m/>
    <m/>
    <m/>
    <n v="1"/>
    <m/>
    <m/>
    <m/>
    <m/>
    <m/>
    <m/>
    <m/>
    <m/>
    <m/>
    <m/>
    <m/>
    <m/>
    <m/>
    <n v="1"/>
    <n v="3"/>
  </r>
  <r>
    <x v="6"/>
    <x v="0"/>
    <n v="28441"/>
    <x v="0"/>
    <x v="3"/>
    <s v="RABEPRAZOLE SOD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2"/>
  </r>
  <r>
    <x v="6"/>
    <x v="0"/>
    <n v="29106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9106"/>
    <x v="0"/>
    <x v="3"/>
    <s v="RABEPRAZOLE SODIUM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2"/>
  </r>
  <r>
    <x v="6"/>
    <x v="0"/>
    <n v="30165"/>
    <x v="0"/>
    <x v="3"/>
    <s v="ESOMEPRAZOLE MAGNESIUM"/>
    <m/>
    <n v="2"/>
    <n v="1"/>
    <n v="3"/>
    <m/>
    <m/>
    <m/>
    <m/>
    <m/>
    <m/>
    <m/>
    <n v="1"/>
    <m/>
    <m/>
    <m/>
    <m/>
    <m/>
    <m/>
    <m/>
    <m/>
    <m/>
    <m/>
    <m/>
    <m/>
    <m/>
    <m/>
    <m/>
    <m/>
    <m/>
    <n v="7"/>
  </r>
  <r>
    <x v="6"/>
    <x v="0"/>
    <n v="30527"/>
    <x v="0"/>
    <x v="3"/>
    <s v="ESOMEPRAZOLE MAGNESIUM"/>
    <n v="1"/>
    <m/>
    <m/>
    <m/>
    <n v="1"/>
    <m/>
    <m/>
    <m/>
    <m/>
    <n v="1"/>
    <m/>
    <m/>
    <m/>
    <m/>
    <n v="1"/>
    <m/>
    <m/>
    <m/>
    <n v="1"/>
    <m/>
    <m/>
    <m/>
    <n v="1"/>
    <m/>
    <m/>
    <m/>
    <m/>
    <n v="1"/>
    <m/>
    <n v="7"/>
  </r>
  <r>
    <x v="6"/>
    <x v="0"/>
    <n v="31115"/>
    <x v="0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n v="2"/>
  </r>
  <r>
    <x v="6"/>
    <x v="0"/>
    <n v="31335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32417"/>
    <x v="0"/>
    <x v="3"/>
    <s v="ESOMEPRAZOLE MAGNES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6"/>
    <x v="0"/>
    <n v="3369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6"/>
    <x v="0"/>
    <n v="711"/>
    <x v="1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14"/>
    <x v="1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814"/>
    <x v="1"/>
    <x v="3"/>
    <s v="RABEPRAZOLE SOD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6"/>
    <x v="0"/>
    <n v="882"/>
    <x v="1"/>
    <x v="0"/>
    <s v="ATORVASTATIN CALCIUM"/>
    <n v="1"/>
    <m/>
    <m/>
    <m/>
    <m/>
    <m/>
    <m/>
    <m/>
    <m/>
    <m/>
    <m/>
    <m/>
    <m/>
    <n v="1"/>
    <m/>
    <m/>
    <m/>
    <m/>
    <m/>
    <m/>
    <n v="1"/>
    <m/>
    <m/>
    <m/>
    <m/>
    <m/>
    <m/>
    <m/>
    <m/>
    <n v="3"/>
  </r>
  <r>
    <x v="6"/>
    <x v="0"/>
    <n v="1456"/>
    <x v="1"/>
    <x v="1"/>
    <s v="RANITIDINE HCL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6"/>
    <x v="0"/>
    <n v="1456"/>
    <x v="1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1653"/>
    <x v="1"/>
    <x v="0"/>
    <s v="ROSUVASTATIN CALC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1898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89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696"/>
    <x v="1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1"/>
    <n v="1"/>
    <n v="4"/>
    <n v="1"/>
    <n v="1"/>
    <n v="1"/>
    <n v="1"/>
    <n v="1"/>
    <n v="1"/>
    <m/>
    <n v="29"/>
  </r>
  <r>
    <x v="6"/>
    <x v="0"/>
    <n v="3806"/>
    <x v="1"/>
    <x v="3"/>
    <s v="RABEPRAZOLE SODIUM"/>
    <m/>
    <m/>
    <m/>
    <n v="1"/>
    <m/>
    <m/>
    <m/>
    <m/>
    <n v="1"/>
    <m/>
    <m/>
    <m/>
    <m/>
    <n v="1"/>
    <m/>
    <m/>
    <n v="2"/>
    <m/>
    <m/>
    <m/>
    <m/>
    <m/>
    <n v="1"/>
    <m/>
    <m/>
    <m/>
    <n v="1"/>
    <m/>
    <m/>
    <n v="7"/>
  </r>
  <r>
    <x v="6"/>
    <x v="0"/>
    <n v="4250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6"/>
    <x v="0"/>
    <n v="4466"/>
    <x v="1"/>
    <x v="3"/>
    <s v="RABEPRAZOLE SODIUM"/>
    <m/>
    <n v="1"/>
    <m/>
    <m/>
    <m/>
    <m/>
    <m/>
    <m/>
    <m/>
    <m/>
    <m/>
    <m/>
    <m/>
    <m/>
    <m/>
    <m/>
    <n v="2"/>
    <m/>
    <m/>
    <m/>
    <m/>
    <m/>
    <m/>
    <m/>
    <m/>
    <m/>
    <m/>
    <m/>
    <m/>
    <n v="3"/>
  </r>
  <r>
    <x v="6"/>
    <x v="0"/>
    <n v="4564"/>
    <x v="1"/>
    <x v="0"/>
    <s v="SIMVASTATIN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6"/>
    <x v="0"/>
    <n v="5232"/>
    <x v="1"/>
    <x v="3"/>
    <s v="ESOMEPRAZOLE MAGNESIUM"/>
    <m/>
    <m/>
    <m/>
    <m/>
    <m/>
    <m/>
    <m/>
    <m/>
    <m/>
    <m/>
    <n v="2"/>
    <m/>
    <m/>
    <m/>
    <m/>
    <m/>
    <m/>
    <m/>
    <m/>
    <m/>
    <m/>
    <m/>
    <m/>
    <m/>
    <n v="1"/>
    <m/>
    <m/>
    <m/>
    <m/>
    <n v="3"/>
  </r>
  <r>
    <x v="6"/>
    <x v="0"/>
    <n v="6098"/>
    <x v="1"/>
    <x v="0"/>
    <s v="SIMVASTATIN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6"/>
    <x v="0"/>
    <n v="6098"/>
    <x v="1"/>
    <x v="3"/>
    <s v="RABEPRAZOLE SODIUM"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n v="2"/>
  </r>
  <r>
    <x v="6"/>
    <x v="0"/>
    <n v="6159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160"/>
    <x v="1"/>
    <x v="0"/>
    <s v="ROSUVASTATIN CALC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6"/>
    <x v="0"/>
    <n v="623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6"/>
    <x v="0"/>
    <n v="6399"/>
    <x v="1"/>
    <x v="3"/>
    <s v="OMEPRAZOLE"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n v="3"/>
  </r>
  <r>
    <x v="6"/>
    <x v="0"/>
    <n v="6514"/>
    <x v="1"/>
    <x v="1"/>
    <s v="RANITIDINE HCL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6"/>
    <x v="0"/>
    <n v="6643"/>
    <x v="1"/>
    <x v="0"/>
    <s v="ATORVASTATIN CALC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6"/>
    <x v="0"/>
    <n v="7344"/>
    <x v="1"/>
    <x v="3"/>
    <s v="RABEPRAZOLE SODIUM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6"/>
    <x v="0"/>
    <n v="7655"/>
    <x v="1"/>
    <x v="8"/>
    <s v="FENOFIBRATE, MICROCOATED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6"/>
    <x v="0"/>
    <n v="7751"/>
    <x v="1"/>
    <x v="3"/>
    <s v="OMEPRAZOLE MAGNES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</r>
  <r>
    <x v="6"/>
    <x v="0"/>
    <n v="7909"/>
    <x v="1"/>
    <x v="0"/>
    <s v="ATORVASTATIN CALCIUM"/>
    <m/>
    <m/>
    <n v="1"/>
    <m/>
    <m/>
    <m/>
    <m/>
    <m/>
    <m/>
    <n v="1"/>
    <m/>
    <m/>
    <m/>
    <n v="1"/>
    <m/>
    <m/>
    <m/>
    <n v="1"/>
    <m/>
    <m/>
    <m/>
    <m/>
    <n v="1"/>
    <m/>
    <m/>
    <m/>
    <n v="1"/>
    <m/>
    <m/>
    <n v="6"/>
  </r>
  <r>
    <x v="6"/>
    <x v="0"/>
    <n v="8087"/>
    <x v="1"/>
    <x v="0"/>
    <s v="ATORVASTATIN CALC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6"/>
    <x v="0"/>
    <n v="8409"/>
    <x v="1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6"/>
    <x v="0"/>
    <n v="865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653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6"/>
    <x v="0"/>
    <n v="949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9869"/>
    <x v="1"/>
    <x v="8"/>
    <s v="FENOFIBRATE, MICROCOATED"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n v="2"/>
  </r>
  <r>
    <x v="6"/>
    <x v="0"/>
    <n v="9869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1081"/>
    <x v="1"/>
    <x v="1"/>
    <s v="RANITIDINE HCL"/>
    <m/>
    <m/>
    <n v="1"/>
    <m/>
    <m/>
    <n v="1"/>
    <m/>
    <m/>
    <m/>
    <m/>
    <n v="1"/>
    <m/>
    <m/>
    <m/>
    <n v="1"/>
    <m/>
    <m/>
    <m/>
    <m/>
    <n v="1"/>
    <m/>
    <m/>
    <m/>
    <n v="1"/>
    <m/>
    <m/>
    <m/>
    <n v="1"/>
    <m/>
    <n v="7"/>
  </r>
  <r>
    <x v="6"/>
    <x v="0"/>
    <n v="11117"/>
    <x v="1"/>
    <x v="3"/>
    <s v="RABEPRAZOLE SODIUM"/>
    <m/>
    <m/>
    <n v="1"/>
    <m/>
    <m/>
    <m/>
    <m/>
    <m/>
    <n v="1"/>
    <m/>
    <m/>
    <m/>
    <n v="1"/>
    <m/>
    <m/>
    <m/>
    <n v="1"/>
    <m/>
    <m/>
    <m/>
    <n v="1"/>
    <m/>
    <m/>
    <n v="1"/>
    <m/>
    <m/>
    <m/>
    <n v="1"/>
    <m/>
    <n v="7"/>
  </r>
  <r>
    <x v="6"/>
    <x v="0"/>
    <n v="12632"/>
    <x v="1"/>
    <x v="3"/>
    <s v="ESOMEPRAZOLE MAGNES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n v="2"/>
  </r>
  <r>
    <x v="6"/>
    <x v="0"/>
    <n v="13565"/>
    <x v="1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n v="3"/>
  </r>
  <r>
    <x v="6"/>
    <x v="0"/>
    <n v="14316"/>
    <x v="1"/>
    <x v="3"/>
    <s v="PANTOPRAZOLE SOD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6"/>
    <x v="0"/>
    <n v="16909"/>
    <x v="1"/>
    <x v="1"/>
    <s v="RANITIDINE HCL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6"/>
    <x v="0"/>
    <n v="17209"/>
    <x v="1"/>
    <x v="3"/>
    <s v="PANTOPRAZOLE SOD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6"/>
    <x v="0"/>
    <n v="17400"/>
    <x v="1"/>
    <x v="8"/>
    <s v="FENOFIBRATE, MICROCOATED"/>
    <m/>
    <n v="1"/>
    <m/>
    <m/>
    <n v="1"/>
    <m/>
    <m/>
    <m/>
    <m/>
    <m/>
    <n v="2"/>
    <m/>
    <m/>
    <m/>
    <m/>
    <n v="1"/>
    <m/>
    <m/>
    <m/>
    <n v="1"/>
    <n v="1"/>
    <m/>
    <n v="1"/>
    <m/>
    <m/>
    <m/>
    <m/>
    <m/>
    <m/>
    <n v="8"/>
  </r>
  <r>
    <x v="6"/>
    <x v="0"/>
    <n v="1816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6"/>
    <x v="0"/>
    <n v="18165"/>
    <x v="1"/>
    <x v="3"/>
    <s v="RABEPRAZOLE SODIUM"/>
    <m/>
    <m/>
    <n v="1"/>
    <m/>
    <m/>
    <m/>
    <m/>
    <m/>
    <m/>
    <n v="1"/>
    <m/>
    <m/>
    <n v="1"/>
    <m/>
    <m/>
    <m/>
    <n v="1"/>
    <m/>
    <m/>
    <m/>
    <m/>
    <m/>
    <n v="1"/>
    <m/>
    <m/>
    <m/>
    <m/>
    <m/>
    <m/>
    <n v="5"/>
  </r>
  <r>
    <x v="6"/>
    <x v="0"/>
    <n v="18430"/>
    <x v="1"/>
    <x v="0"/>
    <s v="SIMVASTATIN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6"/>
    <x v="0"/>
    <n v="20521"/>
    <x v="1"/>
    <x v="3"/>
    <s v="ESOMEPRAZOLE MAGNESIUM"/>
    <m/>
    <m/>
    <m/>
    <m/>
    <m/>
    <m/>
    <m/>
    <n v="1"/>
    <m/>
    <m/>
    <m/>
    <m/>
    <m/>
    <m/>
    <m/>
    <m/>
    <m/>
    <m/>
    <n v="1"/>
    <m/>
    <m/>
    <m/>
    <m/>
    <n v="4"/>
    <m/>
    <m/>
    <m/>
    <m/>
    <m/>
    <n v="6"/>
  </r>
  <r>
    <x v="6"/>
    <x v="0"/>
    <n v="27184"/>
    <x v="1"/>
    <x v="8"/>
    <s v="FENOFIBRATE, MICROCOATED"/>
    <m/>
    <m/>
    <m/>
    <m/>
    <n v="1"/>
    <m/>
    <m/>
    <m/>
    <m/>
    <m/>
    <m/>
    <m/>
    <m/>
    <m/>
    <m/>
    <m/>
    <m/>
    <m/>
    <m/>
    <m/>
    <m/>
    <m/>
    <m/>
    <m/>
    <n v="2"/>
    <m/>
    <m/>
    <m/>
    <m/>
    <n v="3"/>
  </r>
  <r>
    <x v="6"/>
    <x v="0"/>
    <n v="27184"/>
    <x v="1"/>
    <x v="3"/>
    <s v="RABEPRAZOLE SODIUM"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n v="2"/>
  </r>
  <r>
    <x v="6"/>
    <x v="0"/>
    <n v="27987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05"/>
    <x v="0"/>
    <x v="3"/>
    <s v="RABEPRAZOLE SODIUM"/>
    <m/>
    <n v="1"/>
    <m/>
    <m/>
    <m/>
    <m/>
    <m/>
    <m/>
    <m/>
    <m/>
    <m/>
    <m/>
    <m/>
    <m/>
    <n v="3"/>
    <m/>
    <m/>
    <m/>
    <m/>
    <m/>
    <m/>
    <m/>
    <m/>
    <m/>
    <m/>
    <m/>
    <m/>
    <m/>
    <m/>
    <n v="4"/>
  </r>
  <r>
    <x v="6"/>
    <x v="0"/>
    <n v="4076"/>
    <x v="0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4076"/>
    <x v="0"/>
    <x v="2"/>
    <s v="MISOPROSTOL"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n v="3"/>
  </r>
  <r>
    <x v="6"/>
    <x v="0"/>
    <n v="5233"/>
    <x v="0"/>
    <x v="1"/>
    <s v="RANITIDINE HCL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6"/>
    <x v="0"/>
    <n v="5233"/>
    <x v="0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5270"/>
    <x v="0"/>
    <x v="1"/>
    <s v="RANITIDINE HCL"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n v="2"/>
  </r>
  <r>
    <x v="6"/>
    <x v="0"/>
    <n v="5270"/>
    <x v="0"/>
    <x v="7"/>
    <s v="PINAVERIUM BROMIDE"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n v="2"/>
  </r>
  <r>
    <x v="6"/>
    <x v="0"/>
    <n v="5295"/>
    <x v="0"/>
    <x v="3"/>
    <s v="OMEPRAZOLE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</r>
  <r>
    <x v="6"/>
    <x v="0"/>
    <n v="5295"/>
    <x v="0"/>
    <x v="3"/>
    <s v="OME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7345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34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379"/>
    <x v="0"/>
    <x v="1"/>
    <s v="RANITIDINE HCL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6"/>
    <x v="0"/>
    <n v="8737"/>
    <x v="0"/>
    <x v="3"/>
    <s v="RABEPRAZOLE SODIUM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2"/>
  </r>
  <r>
    <x v="6"/>
    <x v="0"/>
    <n v="8804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6"/>
    <x v="0"/>
    <n v="8836"/>
    <x v="0"/>
    <x v="4"/>
    <s v="SUCRALFATE"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n v="7"/>
  </r>
  <r>
    <x v="6"/>
    <x v="0"/>
    <n v="8836"/>
    <x v="0"/>
    <x v="3"/>
    <s v="ESOMEPRAZOLE MAGNESIUM"/>
    <m/>
    <n v="2"/>
    <m/>
    <m/>
    <m/>
    <n v="2"/>
    <m/>
    <m/>
    <m/>
    <m/>
    <n v="1"/>
    <m/>
    <m/>
    <m/>
    <n v="1"/>
    <m/>
    <m/>
    <m/>
    <n v="2"/>
    <m/>
    <m/>
    <m/>
    <n v="1"/>
    <m/>
    <m/>
    <m/>
    <n v="1"/>
    <m/>
    <m/>
    <n v="10"/>
  </r>
  <r>
    <x v="6"/>
    <x v="0"/>
    <n v="1126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5916"/>
    <x v="1"/>
    <x v="3"/>
    <s v="RABEPRAZOLE SODIUM"/>
    <m/>
    <m/>
    <m/>
    <m/>
    <m/>
    <m/>
    <m/>
    <m/>
    <m/>
    <m/>
    <n v="2"/>
    <m/>
    <m/>
    <m/>
    <m/>
    <m/>
    <m/>
    <m/>
    <m/>
    <m/>
    <m/>
    <m/>
    <n v="1"/>
    <m/>
    <m/>
    <m/>
    <m/>
    <m/>
    <m/>
    <n v="3"/>
  </r>
  <r>
    <x v="6"/>
    <x v="0"/>
    <n v="7510"/>
    <x v="1"/>
    <x v="3"/>
    <s v="RABEPRAZOLE SODIUM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m/>
    <n v="6"/>
  </r>
  <r>
    <x v="6"/>
    <x v="0"/>
    <n v="21257"/>
    <x v="1"/>
    <x v="3"/>
    <s v="RABEPRAZOLE SODIUM"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n v="3"/>
  </r>
  <r>
    <x v="6"/>
    <x v="0"/>
    <n v="30286"/>
    <x v="1"/>
    <x v="3"/>
    <s v="RABEPRAZOLE SODIUM"/>
    <n v="1"/>
    <n v="1"/>
    <n v="1"/>
    <n v="1"/>
    <n v="2"/>
    <n v="1"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m/>
    <n v="27"/>
  </r>
  <r>
    <x v="6"/>
    <x v="0"/>
    <n v="124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242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24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92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51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511"/>
    <x v="0"/>
    <x v="3"/>
    <s v="LANSOPRAZOLE"/>
    <n v="1"/>
    <m/>
    <m/>
    <m/>
    <n v="1"/>
    <m/>
    <m/>
    <m/>
    <m/>
    <n v="1"/>
    <m/>
    <m/>
    <m/>
    <n v="1"/>
    <m/>
    <m/>
    <m/>
    <n v="1"/>
    <m/>
    <m/>
    <m/>
    <m/>
    <m/>
    <m/>
    <m/>
    <m/>
    <m/>
    <m/>
    <m/>
    <n v="5"/>
  </r>
  <r>
    <x v="6"/>
    <x v="0"/>
    <n v="8317"/>
    <x v="0"/>
    <x v="3"/>
    <s v="OMEPRAZOLE MAGNESIUM"/>
    <m/>
    <m/>
    <n v="1"/>
    <m/>
    <m/>
    <m/>
    <m/>
    <n v="1"/>
    <m/>
    <m/>
    <m/>
    <n v="1"/>
    <m/>
    <m/>
    <n v="1"/>
    <m/>
    <m/>
    <m/>
    <n v="1"/>
    <m/>
    <m/>
    <m/>
    <n v="1"/>
    <m/>
    <m/>
    <m/>
    <n v="1"/>
    <m/>
    <m/>
    <n v="7"/>
  </r>
  <r>
    <x v="6"/>
    <x v="0"/>
    <n v="3341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60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226"/>
    <x v="0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6"/>
    <x v="0"/>
    <n v="1336"/>
    <x v="0"/>
    <x v="3"/>
    <s v="RABEPRAZOLE SODIUM"/>
    <n v="2"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7"/>
  </r>
  <r>
    <x v="6"/>
    <x v="0"/>
    <n v="4254"/>
    <x v="0"/>
    <x v="3"/>
    <s v="RABEPRAZOLE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6"/>
    <x v="0"/>
    <n v="623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7493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6"/>
    <x v="0"/>
    <n v="7511"/>
    <x v="0"/>
    <x v="1"/>
    <s v="RANITIDINE HCL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6"/>
    <x v="0"/>
    <n v="7511"/>
    <x v="0"/>
    <x v="3"/>
    <s v="ESOMEPRAZOLE MAGNESIUM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</r>
  <r>
    <x v="6"/>
    <x v="0"/>
    <n v="8093"/>
    <x v="0"/>
    <x v="3"/>
    <s v="PANTOPRAZOLE SODIUM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</r>
  <r>
    <x v="6"/>
    <x v="0"/>
    <n v="8093"/>
    <x v="0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m/>
    <n v="1"/>
    <m/>
    <m/>
    <n v="1"/>
    <n v="2"/>
    <n v="1"/>
    <n v="1"/>
    <n v="1"/>
    <n v="1"/>
    <n v="1"/>
    <m/>
    <n v="25"/>
  </r>
  <r>
    <x v="6"/>
    <x v="0"/>
    <n v="835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9430"/>
    <x v="0"/>
    <x v="3"/>
    <s v="OMEPRAZOLE"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</r>
  <r>
    <x v="6"/>
    <x v="0"/>
    <n v="10390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4315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6"/>
    <x v="0"/>
    <n v="3649"/>
    <x v="1"/>
    <x v="3"/>
    <s v="PANTO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6"/>
    <x v="0"/>
    <n v="4250"/>
    <x v="1"/>
    <x v="3"/>
    <s v="PANTOPRAZOLE SODIUM"/>
    <m/>
    <m/>
    <m/>
    <m/>
    <m/>
    <m/>
    <m/>
    <m/>
    <m/>
    <m/>
    <m/>
    <m/>
    <m/>
    <m/>
    <m/>
    <m/>
    <m/>
    <n v="1"/>
    <m/>
    <m/>
    <n v="1"/>
    <m/>
    <n v="1"/>
    <m/>
    <m/>
    <m/>
    <m/>
    <m/>
    <m/>
    <n v="3"/>
  </r>
  <r>
    <x v="6"/>
    <x v="0"/>
    <n v="4250"/>
    <x v="1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4564"/>
    <x v="1"/>
    <x v="3"/>
    <s v="RABEPRAZOLE SOD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6"/>
    <x v="0"/>
    <n v="7288"/>
    <x v="1"/>
    <x v="3"/>
    <s v="RABEPRAZOLE SODIUM"/>
    <m/>
    <n v="1"/>
    <m/>
    <m/>
    <m/>
    <m/>
    <m/>
    <m/>
    <m/>
    <m/>
    <m/>
    <m/>
    <m/>
    <m/>
    <m/>
    <m/>
    <m/>
    <n v="2"/>
    <m/>
    <m/>
    <m/>
    <m/>
    <m/>
    <n v="1"/>
    <m/>
    <m/>
    <m/>
    <m/>
    <m/>
    <n v="4"/>
  </r>
  <r>
    <x v="6"/>
    <x v="0"/>
    <n v="7292"/>
    <x v="1"/>
    <x v="1"/>
    <s v="RANITIDINE HCL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6"/>
    <x v="0"/>
    <n v="8653"/>
    <x v="1"/>
    <x v="3"/>
    <s v="PANTOPRAZOLE MAGNES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2"/>
  </r>
  <r>
    <x v="6"/>
    <x v="0"/>
    <n v="18430"/>
    <x v="1"/>
    <x v="3"/>
    <s v="ESOMEPRAZOLE MAGNES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6"/>
    <x v="0"/>
    <n v="55"/>
    <x v="0"/>
    <x v="1"/>
    <s v="RANITIDINE HCL"/>
    <n v="1"/>
    <m/>
    <m/>
    <m/>
    <n v="3"/>
    <n v="1"/>
    <m/>
    <n v="1"/>
    <n v="1"/>
    <n v="1"/>
    <m/>
    <m/>
    <m/>
    <m/>
    <m/>
    <m/>
    <m/>
    <m/>
    <m/>
    <m/>
    <m/>
    <m/>
    <m/>
    <m/>
    <m/>
    <m/>
    <m/>
    <m/>
    <m/>
    <n v="8"/>
  </r>
  <r>
    <x v="6"/>
    <x v="0"/>
    <n v="55"/>
    <x v="0"/>
    <x v="3"/>
    <s v="PANTO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6"/>
    <x v="0"/>
    <n v="68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311"/>
    <x v="0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6"/>
    <x v="0"/>
    <n v="189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5917"/>
    <x v="0"/>
    <x v="1"/>
    <s v="RANITIDINE HCL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6"/>
    <x v="0"/>
    <n v="6661"/>
    <x v="0"/>
    <x v="3"/>
    <s v="ESOMEPRAZOLE MAGNESIUM"/>
    <m/>
    <m/>
    <m/>
    <n v="1"/>
    <m/>
    <m/>
    <m/>
    <m/>
    <m/>
    <m/>
    <n v="1"/>
    <m/>
    <m/>
    <m/>
    <n v="1"/>
    <m/>
    <m/>
    <m/>
    <n v="1"/>
    <m/>
    <m/>
    <m/>
    <n v="1"/>
    <m/>
    <m/>
    <m/>
    <n v="1"/>
    <m/>
    <m/>
    <n v="6"/>
  </r>
  <r>
    <x v="6"/>
    <x v="0"/>
    <n v="6661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643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664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316"/>
    <x v="1"/>
    <x v="3"/>
    <s v="RABEPRAZOLE SODIUM"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n v="1"/>
    <n v="8"/>
  </r>
  <r>
    <x v="6"/>
    <x v="0"/>
    <n v="19133"/>
    <x v="1"/>
    <x v="3"/>
    <s v="PANTOPRAZOLE SODIUM"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n v="2"/>
  </r>
  <r>
    <x v="6"/>
    <x v="0"/>
    <n v="39"/>
    <x v="0"/>
    <x v="0"/>
    <s v="ATORVASTATIN CALCIUM"/>
    <n v="1"/>
    <m/>
    <m/>
    <m/>
    <m/>
    <n v="1"/>
    <m/>
    <m/>
    <m/>
    <m/>
    <m/>
    <m/>
    <m/>
    <m/>
    <m/>
    <m/>
    <m/>
    <m/>
    <m/>
    <m/>
    <m/>
    <n v="1"/>
    <m/>
    <m/>
    <m/>
    <m/>
    <m/>
    <m/>
    <m/>
    <n v="3"/>
  </r>
  <r>
    <x v="6"/>
    <x v="0"/>
    <n v="1832"/>
    <x v="0"/>
    <x v="0"/>
    <s v="PRAVASTATIN SODIUM"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n v="3"/>
  </r>
  <r>
    <x v="6"/>
    <x v="0"/>
    <n v="2103"/>
    <x v="0"/>
    <x v="0"/>
    <s v="PRAVASTATIN SOD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6"/>
    <x v="0"/>
    <n v="2725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6"/>
    <x v="0"/>
    <n v="3581"/>
    <x v="0"/>
    <x v="0"/>
    <s v="PRAVASTATIN SOD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3605"/>
    <x v="0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6"/>
    <x v="0"/>
    <n v="5214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6"/>
    <x v="0"/>
    <n v="5289"/>
    <x v="0"/>
    <x v="0"/>
    <s v="SIMVASTATIN"/>
    <m/>
    <m/>
    <n v="1"/>
    <m/>
    <m/>
    <m/>
    <m/>
    <m/>
    <m/>
    <m/>
    <m/>
    <m/>
    <m/>
    <m/>
    <m/>
    <m/>
    <n v="3"/>
    <m/>
    <m/>
    <m/>
    <n v="1"/>
    <m/>
    <m/>
    <m/>
    <m/>
    <m/>
    <m/>
    <m/>
    <m/>
    <n v="5"/>
  </r>
  <r>
    <x v="6"/>
    <x v="0"/>
    <n v="7290"/>
    <x v="0"/>
    <x v="0"/>
    <s v="PRAVASTATIN SODIUM"/>
    <n v="1"/>
    <m/>
    <m/>
    <m/>
    <m/>
    <m/>
    <m/>
    <m/>
    <m/>
    <m/>
    <n v="1"/>
    <m/>
    <m/>
    <m/>
    <m/>
    <n v="1"/>
    <m/>
    <m/>
    <m/>
    <m/>
    <m/>
    <m/>
    <m/>
    <n v="1"/>
    <m/>
    <m/>
    <n v="1"/>
    <m/>
    <m/>
    <n v="5"/>
  </r>
  <r>
    <x v="6"/>
    <x v="0"/>
    <n v="7296"/>
    <x v="0"/>
    <x v="0"/>
    <s v="ATORVASTATIN CALCIUM"/>
    <n v="1"/>
    <m/>
    <m/>
    <m/>
    <n v="1"/>
    <m/>
    <m/>
    <m/>
    <m/>
    <n v="1"/>
    <m/>
    <m/>
    <m/>
    <m/>
    <m/>
    <m/>
    <m/>
    <n v="1"/>
    <m/>
    <m/>
    <m/>
    <n v="1"/>
    <m/>
    <m/>
    <m/>
    <m/>
    <m/>
    <n v="1"/>
    <m/>
    <n v="6"/>
  </r>
  <r>
    <x v="6"/>
    <x v="0"/>
    <n v="7573"/>
    <x v="0"/>
    <x v="0"/>
    <s v="PRAVASTATIN SODIUM"/>
    <m/>
    <n v="1"/>
    <m/>
    <m/>
    <m/>
    <n v="1"/>
    <m/>
    <m/>
    <m/>
    <m/>
    <n v="1"/>
    <m/>
    <m/>
    <m/>
    <n v="2"/>
    <m/>
    <m/>
    <m/>
    <n v="1"/>
    <m/>
    <m/>
    <m/>
    <n v="1"/>
    <n v="1"/>
    <n v="1"/>
    <n v="1"/>
    <n v="1"/>
    <n v="1"/>
    <m/>
    <n v="12"/>
  </r>
  <r>
    <x v="6"/>
    <x v="0"/>
    <n v="9436"/>
    <x v="0"/>
    <x v="0"/>
    <s v="ATOR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6"/>
    <x v="0"/>
    <n v="10644"/>
    <x v="0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n v="2"/>
    <m/>
    <m/>
    <m/>
    <n v="3"/>
  </r>
  <r>
    <x v="6"/>
    <x v="0"/>
    <n v="15143"/>
    <x v="0"/>
    <x v="0"/>
    <s v="PRAVASTATIN SODIUM"/>
    <m/>
    <m/>
    <n v="1"/>
    <m/>
    <m/>
    <m/>
    <m/>
    <m/>
    <n v="1"/>
    <m/>
    <m/>
    <m/>
    <n v="1"/>
    <m/>
    <m/>
    <m/>
    <n v="1"/>
    <m/>
    <m/>
    <m/>
    <m/>
    <m/>
    <n v="1"/>
    <m/>
    <m/>
    <m/>
    <n v="1"/>
    <m/>
    <m/>
    <n v="6"/>
  </r>
  <r>
    <x v="6"/>
    <x v="0"/>
    <n v="19250"/>
    <x v="0"/>
    <x v="8"/>
    <s v="FENOFIBRATE, MICRONIZED"/>
    <m/>
    <m/>
    <m/>
    <m/>
    <m/>
    <m/>
    <m/>
    <m/>
    <n v="1"/>
    <m/>
    <m/>
    <m/>
    <m/>
    <m/>
    <m/>
    <m/>
    <m/>
    <m/>
    <m/>
    <m/>
    <m/>
    <m/>
    <n v="2"/>
    <m/>
    <m/>
    <m/>
    <m/>
    <m/>
    <m/>
    <n v="3"/>
  </r>
  <r>
    <x v="6"/>
    <x v="0"/>
    <n v="22058"/>
    <x v="0"/>
    <x v="0"/>
    <s v="ATORVASTATIN CALCIUM"/>
    <m/>
    <m/>
    <n v="1"/>
    <m/>
    <m/>
    <m/>
    <m/>
    <m/>
    <m/>
    <m/>
    <m/>
    <m/>
    <m/>
    <m/>
    <m/>
    <m/>
    <m/>
    <n v="1"/>
    <m/>
    <m/>
    <m/>
    <m/>
    <n v="1"/>
    <m/>
    <m/>
    <m/>
    <n v="1"/>
    <m/>
    <m/>
    <n v="4"/>
  </r>
  <r>
    <x v="6"/>
    <x v="0"/>
    <n v="3138"/>
    <x v="1"/>
    <x v="0"/>
    <s v="ROSUVASTATIN CALC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6"/>
    <x v="0"/>
    <n v="6213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6"/>
    <x v="0"/>
    <n v="7110"/>
    <x v="1"/>
    <x v="8"/>
    <s v="FENOFIBRATE, MICROCOATED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6"/>
    <x v="0"/>
    <n v="7618"/>
    <x v="1"/>
    <x v="0"/>
    <s v="ATORVASTATIN CALCIUM"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n v="3"/>
  </r>
  <r>
    <x v="6"/>
    <x v="0"/>
    <n v="7865"/>
    <x v="1"/>
    <x v="0"/>
    <s v="ATORVASTATIN CALC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7963"/>
    <x v="1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6"/>
    <x v="0"/>
    <n v="8980"/>
    <x v="1"/>
    <x v="0"/>
    <s v="ROSUVASTATIN CALCIUM"/>
    <m/>
    <n v="1"/>
    <m/>
    <m/>
    <m/>
    <n v="1"/>
    <m/>
    <m/>
    <m/>
    <m/>
    <m/>
    <n v="1"/>
    <m/>
    <m/>
    <m/>
    <n v="1"/>
    <m/>
    <m/>
    <m/>
    <m/>
    <n v="1"/>
    <m/>
    <m/>
    <m/>
    <n v="1"/>
    <m/>
    <m/>
    <m/>
    <m/>
    <n v="6"/>
  </r>
  <r>
    <x v="6"/>
    <x v="0"/>
    <n v="9931"/>
    <x v="1"/>
    <x v="0"/>
    <s v="ATORVASTATIN CALCIUM"/>
    <n v="1"/>
    <m/>
    <m/>
    <m/>
    <m/>
    <m/>
    <m/>
    <m/>
    <n v="1"/>
    <m/>
    <m/>
    <m/>
    <m/>
    <m/>
    <m/>
    <m/>
    <m/>
    <m/>
    <m/>
    <m/>
    <m/>
    <n v="1"/>
    <m/>
    <m/>
    <m/>
    <m/>
    <m/>
    <m/>
    <m/>
    <n v="3"/>
  </r>
  <r>
    <x v="6"/>
    <x v="0"/>
    <n v="11742"/>
    <x v="1"/>
    <x v="0"/>
    <s v="ROSUVASTATIN CALCIUM"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6"/>
    <x v="0"/>
    <n v="14719"/>
    <x v="1"/>
    <x v="0"/>
    <s v="ATORVASTATIN CALCIUM"/>
    <m/>
    <m/>
    <m/>
    <n v="1"/>
    <m/>
    <m/>
    <m/>
    <m/>
    <m/>
    <m/>
    <m/>
    <m/>
    <n v="1"/>
    <m/>
    <m/>
    <m/>
    <m/>
    <m/>
    <n v="1"/>
    <m/>
    <m/>
    <m/>
    <n v="1"/>
    <m/>
    <m/>
    <m/>
    <m/>
    <m/>
    <m/>
    <n v="4"/>
  </r>
  <r>
    <x v="6"/>
    <x v="0"/>
    <n v="28322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6"/>
    <x v="0"/>
    <n v="29107"/>
    <x v="1"/>
    <x v="0"/>
    <s v="ATORVASTATIN CALCIUM"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n v="2"/>
  </r>
  <r>
    <x v="6"/>
    <x v="0"/>
    <n v="32354"/>
    <x v="1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6"/>
    <x v="0"/>
    <n v="3559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6"/>
    <x v="0"/>
    <n v="3794"/>
    <x v="0"/>
    <x v="0"/>
    <s v="ATORVASTATIN CALCIUM"/>
    <n v="2"/>
    <m/>
    <m/>
    <m/>
    <m/>
    <m/>
    <m/>
    <m/>
    <m/>
    <m/>
    <m/>
    <m/>
    <m/>
    <n v="1"/>
    <m/>
    <m/>
    <m/>
    <m/>
    <m/>
    <m/>
    <m/>
    <m/>
    <m/>
    <m/>
    <m/>
    <n v="1"/>
    <m/>
    <m/>
    <m/>
    <n v="4"/>
  </r>
  <r>
    <x v="6"/>
    <x v="0"/>
    <n v="5216"/>
    <x v="0"/>
    <x v="0"/>
    <s v="ROSUVASTATIN CALCIUM"/>
    <m/>
    <n v="1"/>
    <m/>
    <m/>
    <m/>
    <n v="1"/>
    <m/>
    <m/>
    <m/>
    <m/>
    <n v="1"/>
    <m/>
    <m/>
    <m/>
    <m/>
    <n v="1"/>
    <m/>
    <m/>
    <m/>
    <m/>
    <m/>
    <m/>
    <m/>
    <m/>
    <m/>
    <m/>
    <m/>
    <m/>
    <n v="1"/>
    <n v="5"/>
  </r>
  <r>
    <x v="6"/>
    <x v="0"/>
    <n v="5233"/>
    <x v="0"/>
    <x v="8"/>
    <s v="FENOFIBRATE, MICRONIZED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6"/>
    <x v="0"/>
    <n v="5233"/>
    <x v="0"/>
    <x v="0"/>
    <s v="PRAVASTATIN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6630"/>
    <x v="0"/>
    <x v="0"/>
    <s v="ROSUVASTATIN CALCIUM"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</r>
  <r>
    <x v="6"/>
    <x v="0"/>
    <n v="7379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6"/>
    <x v="0"/>
    <n v="8318"/>
    <x v="0"/>
    <x v="0"/>
    <s v="LOVASTATIN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6"/>
    <x v="0"/>
    <n v="8737"/>
    <x v="0"/>
    <x v="0"/>
    <s v="ATORVASTATIN CALCIUM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2"/>
  </r>
  <r>
    <x v="6"/>
    <x v="0"/>
    <n v="9383"/>
    <x v="0"/>
    <x v="0"/>
    <s v="LOVASTATIN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2"/>
  </r>
  <r>
    <x v="6"/>
    <x v="0"/>
    <n v="10364"/>
    <x v="0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11039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11545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6"/>
    <x v="0"/>
    <n v="13566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2"/>
  </r>
  <r>
    <x v="6"/>
    <x v="0"/>
    <n v="14806"/>
    <x v="0"/>
    <x v="0"/>
    <s v="SIMVASTATIN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n v="6"/>
  </r>
  <r>
    <x v="6"/>
    <x v="0"/>
    <n v="19579"/>
    <x v="0"/>
    <x v="0"/>
    <s v="ATORVASTATIN CALCIUM"/>
    <m/>
    <m/>
    <m/>
    <m/>
    <m/>
    <n v="1"/>
    <m/>
    <m/>
    <m/>
    <m/>
    <m/>
    <m/>
    <m/>
    <m/>
    <m/>
    <m/>
    <m/>
    <m/>
    <m/>
    <m/>
    <n v="1"/>
    <m/>
    <m/>
    <m/>
    <n v="1"/>
    <m/>
    <m/>
    <m/>
    <m/>
    <n v="3"/>
  </r>
  <r>
    <x v="6"/>
    <x v="0"/>
    <n v="27090"/>
    <x v="0"/>
    <x v="0"/>
    <s v="ATORVASTATIN CALCIUM"/>
    <m/>
    <m/>
    <n v="2"/>
    <m/>
    <m/>
    <m/>
    <m/>
    <m/>
    <m/>
    <m/>
    <m/>
    <m/>
    <m/>
    <m/>
    <n v="1"/>
    <m/>
    <n v="1"/>
    <m/>
    <m/>
    <m/>
    <m/>
    <m/>
    <m/>
    <m/>
    <m/>
    <m/>
    <m/>
    <m/>
    <n v="1"/>
    <n v="5"/>
  </r>
  <r>
    <x v="6"/>
    <x v="0"/>
    <n v="2838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814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6"/>
    <x v="0"/>
    <n v="1456"/>
    <x v="1"/>
    <x v="0"/>
    <s v="SIMVASTATIN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6514"/>
    <x v="1"/>
    <x v="0"/>
    <s v="ROSUVASTATIN CALCIUM"/>
    <m/>
    <m/>
    <m/>
    <m/>
    <m/>
    <n v="2"/>
    <m/>
    <m/>
    <m/>
    <m/>
    <m/>
    <m/>
    <m/>
    <m/>
    <m/>
    <m/>
    <m/>
    <m/>
    <n v="1"/>
    <m/>
    <m/>
    <m/>
    <m/>
    <m/>
    <m/>
    <m/>
    <m/>
    <m/>
    <m/>
    <n v="3"/>
  </r>
  <r>
    <x v="6"/>
    <x v="0"/>
    <n v="6604"/>
    <x v="1"/>
    <x v="8"/>
    <s v="FENOFIBRATE, MICROCOATED"/>
    <m/>
    <m/>
    <m/>
    <m/>
    <m/>
    <n v="2"/>
    <m/>
    <m/>
    <m/>
    <m/>
    <m/>
    <m/>
    <m/>
    <m/>
    <m/>
    <m/>
    <m/>
    <m/>
    <m/>
    <m/>
    <n v="1"/>
    <m/>
    <m/>
    <m/>
    <m/>
    <m/>
    <m/>
    <m/>
    <m/>
    <n v="3"/>
  </r>
  <r>
    <x v="6"/>
    <x v="0"/>
    <n v="6604"/>
    <x v="1"/>
    <x v="8"/>
    <s v="FENOFIBRATE, MICRONIZED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6"/>
    <x v="0"/>
    <n v="7344"/>
    <x v="1"/>
    <x v="0"/>
    <s v="ATOR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6"/>
    <x v="0"/>
    <n v="7510"/>
    <x v="1"/>
    <x v="0"/>
    <s v="ATORVASTATIN CALCIUM"/>
    <m/>
    <m/>
    <m/>
    <m/>
    <m/>
    <m/>
    <m/>
    <m/>
    <m/>
    <m/>
    <m/>
    <m/>
    <n v="1"/>
    <m/>
    <m/>
    <m/>
    <n v="1"/>
    <m/>
    <m/>
    <m/>
    <n v="1"/>
    <m/>
    <m/>
    <m/>
    <n v="1"/>
    <m/>
    <m/>
    <m/>
    <m/>
    <n v="4"/>
  </r>
  <r>
    <x v="6"/>
    <x v="0"/>
    <n v="9491"/>
    <x v="1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6"/>
    <x v="0"/>
    <n v="9678"/>
    <x v="1"/>
    <x v="0"/>
    <s v="ROSUVASTATIN CALCIUM"/>
    <m/>
    <m/>
    <m/>
    <m/>
    <n v="1"/>
    <m/>
    <m/>
    <m/>
    <m/>
    <m/>
    <m/>
    <m/>
    <m/>
    <m/>
    <m/>
    <m/>
    <m/>
    <m/>
    <m/>
    <m/>
    <n v="4"/>
    <m/>
    <m/>
    <m/>
    <m/>
    <m/>
    <m/>
    <m/>
    <m/>
    <n v="5"/>
  </r>
  <r>
    <x v="6"/>
    <x v="0"/>
    <n v="11117"/>
    <x v="1"/>
    <x v="0"/>
    <s v="ROSUVASTATIN CALCIUM"/>
    <m/>
    <m/>
    <n v="1"/>
    <m/>
    <m/>
    <m/>
    <m/>
    <m/>
    <n v="1"/>
    <m/>
    <m/>
    <m/>
    <n v="1"/>
    <m/>
    <m/>
    <m/>
    <n v="1"/>
    <m/>
    <m/>
    <m/>
    <n v="1"/>
    <m/>
    <m/>
    <n v="1"/>
    <m/>
    <m/>
    <m/>
    <n v="2"/>
    <m/>
    <n v="8"/>
  </r>
  <r>
    <x v="6"/>
    <x v="0"/>
    <n v="13565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n v="3"/>
    <m/>
    <n v="4"/>
  </r>
  <r>
    <x v="6"/>
    <x v="0"/>
    <n v="20364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6"/>
    <x v="0"/>
    <n v="30286"/>
    <x v="1"/>
    <x v="0"/>
    <s v="ROSUVASTATIN CALCIUM"/>
    <n v="1"/>
    <n v="1"/>
    <n v="1"/>
    <n v="1"/>
    <n v="2"/>
    <n v="1"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2"/>
    <n v="1"/>
    <m/>
    <n v="28"/>
  </r>
  <r>
    <x v="7"/>
    <x v="1"/>
    <n v="1755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7"/>
    <x v="1"/>
    <n v="6001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7"/>
    <x v="1"/>
    <n v="7505"/>
    <x v="1"/>
    <x v="0"/>
    <s v="ROSU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7"/>
    <x v="1"/>
    <n v="15506"/>
    <x v="1"/>
    <x v="0"/>
    <s v="ATORVASTATIN CALCIUM"/>
    <m/>
    <m/>
    <m/>
    <m/>
    <n v="2"/>
    <m/>
    <m/>
    <m/>
    <m/>
    <m/>
    <m/>
    <m/>
    <m/>
    <m/>
    <m/>
    <n v="1"/>
    <m/>
    <m/>
    <m/>
    <m/>
    <m/>
    <m/>
    <m/>
    <m/>
    <m/>
    <m/>
    <m/>
    <m/>
    <m/>
    <n v="3"/>
  </r>
  <r>
    <x v="7"/>
    <x v="1"/>
    <n v="16935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7"/>
    <x v="1"/>
    <n v="19513"/>
    <x v="1"/>
    <x v="0"/>
    <s v="ATORVASTATIN CALCIUM"/>
    <n v="1"/>
    <m/>
    <m/>
    <m/>
    <m/>
    <m/>
    <m/>
    <n v="1"/>
    <m/>
    <m/>
    <n v="1"/>
    <m/>
    <m/>
    <m/>
    <m/>
    <m/>
    <m/>
    <m/>
    <n v="1"/>
    <m/>
    <m/>
    <m/>
    <n v="1"/>
    <m/>
    <m/>
    <m/>
    <n v="1"/>
    <m/>
    <m/>
    <n v="6"/>
  </r>
  <r>
    <x v="7"/>
    <x v="1"/>
    <n v="6224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n v="2"/>
  </r>
  <r>
    <x v="7"/>
    <x v="1"/>
    <n v="17443"/>
    <x v="1"/>
    <x v="0"/>
    <s v="ROSUVASTATIN CALCIUM"/>
    <m/>
    <m/>
    <m/>
    <m/>
    <m/>
    <m/>
    <m/>
    <n v="4"/>
    <m/>
    <m/>
    <m/>
    <m/>
    <m/>
    <m/>
    <m/>
    <m/>
    <m/>
    <m/>
    <m/>
    <m/>
    <m/>
    <n v="1"/>
    <m/>
    <m/>
    <m/>
    <m/>
    <m/>
    <m/>
    <m/>
    <n v="5"/>
  </r>
  <r>
    <x v="7"/>
    <x v="1"/>
    <n v="1436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7"/>
    <x v="1"/>
    <n v="1755"/>
    <x v="1"/>
    <x v="3"/>
    <s v="ESOMEPRAZOLE MAGNESIUM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</r>
  <r>
    <x v="7"/>
    <x v="1"/>
    <n v="10232"/>
    <x v="0"/>
    <x v="0"/>
    <s v="ROSUVASTATIN CALC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7"/>
    <x v="1"/>
    <n v="32529"/>
    <x v="0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7"/>
    <x v="1"/>
    <n v="5945"/>
    <x v="1"/>
    <x v="0"/>
    <s v="ATORVASTATIN CALCIUM"/>
    <m/>
    <m/>
    <m/>
    <m/>
    <m/>
    <m/>
    <m/>
    <m/>
    <m/>
    <m/>
    <m/>
    <m/>
    <m/>
    <m/>
    <m/>
    <m/>
    <m/>
    <m/>
    <n v="1"/>
    <m/>
    <m/>
    <m/>
    <m/>
    <n v="1"/>
    <m/>
    <m/>
    <m/>
    <n v="1"/>
    <m/>
    <n v="3"/>
  </r>
  <r>
    <x v="7"/>
    <x v="1"/>
    <n v="5945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7"/>
    <x v="1"/>
    <n v="10805"/>
    <x v="1"/>
    <x v="0"/>
    <s v="ATORVASTATIN CALC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7"/>
    <x v="1"/>
    <n v="16935"/>
    <x v="1"/>
    <x v="0"/>
    <s v="ROSU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7"/>
    <x v="1"/>
    <n v="20274"/>
    <x v="1"/>
    <x v="8"/>
    <s v="FENOFIBRATE, NANOCRYSTALLIZED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n v="2"/>
  </r>
  <r>
    <x v="7"/>
    <x v="1"/>
    <n v="20274"/>
    <x v="1"/>
    <x v="6"/>
    <s v="EZETIMIBE"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n v="2"/>
  </r>
  <r>
    <x v="8"/>
    <x v="1"/>
    <n v="755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855"/>
    <x v="0"/>
    <x v="3"/>
    <s v="PANTOPRAZOLE MAGNESIUM"/>
    <m/>
    <n v="1"/>
    <m/>
    <m/>
    <m/>
    <m/>
    <m/>
    <n v="1"/>
    <m/>
    <m/>
    <m/>
    <n v="1"/>
    <m/>
    <m/>
    <m/>
    <n v="1"/>
    <m/>
    <m/>
    <m/>
    <m/>
    <n v="1"/>
    <m/>
    <m/>
    <n v="1"/>
    <m/>
    <m/>
    <m/>
    <m/>
    <m/>
    <n v="6"/>
  </r>
  <r>
    <x v="8"/>
    <x v="1"/>
    <n v="1752"/>
    <x v="0"/>
    <x v="0"/>
    <s v="ROSU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8"/>
    <x v="1"/>
    <n v="4237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8"/>
    <x v="1"/>
    <n v="5926"/>
    <x v="0"/>
    <x v="1"/>
    <s v="RANITIDINE HCL"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n v="2"/>
  </r>
  <r>
    <x v="8"/>
    <x v="1"/>
    <n v="9159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2"/>
  </r>
  <r>
    <x v="8"/>
    <x v="1"/>
    <n v="9773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0044"/>
    <x v="0"/>
    <x v="0"/>
    <s v="ROSUVASTATIN CALCIUM"/>
    <m/>
    <m/>
    <m/>
    <n v="1"/>
    <m/>
    <m/>
    <m/>
    <m/>
    <m/>
    <m/>
    <m/>
    <m/>
    <m/>
    <m/>
    <m/>
    <n v="2"/>
    <m/>
    <m/>
    <m/>
    <m/>
    <m/>
    <m/>
    <m/>
    <m/>
    <m/>
    <n v="1"/>
    <m/>
    <m/>
    <m/>
    <n v="4"/>
  </r>
  <r>
    <x v="8"/>
    <x v="1"/>
    <n v="10044"/>
    <x v="0"/>
    <x v="6"/>
    <s v="EZETIMIBE"/>
    <m/>
    <m/>
    <m/>
    <n v="1"/>
    <m/>
    <m/>
    <m/>
    <m/>
    <m/>
    <m/>
    <m/>
    <m/>
    <m/>
    <m/>
    <m/>
    <n v="2"/>
    <m/>
    <m/>
    <m/>
    <m/>
    <m/>
    <m/>
    <m/>
    <m/>
    <m/>
    <n v="1"/>
    <m/>
    <m/>
    <m/>
    <n v="4"/>
  </r>
  <r>
    <x v="8"/>
    <x v="1"/>
    <n v="1068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0808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  <n v="4"/>
  </r>
  <r>
    <x v="8"/>
    <x v="1"/>
    <n v="12899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3036"/>
    <x v="0"/>
    <x v="0"/>
    <s v="ROSUVASTATIN CALCIUM"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</r>
  <r>
    <x v="8"/>
    <x v="1"/>
    <n v="13099"/>
    <x v="0"/>
    <x v="3"/>
    <s v="PANTO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1309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3549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n v="2"/>
  </r>
  <r>
    <x v="8"/>
    <x v="1"/>
    <n v="14671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8798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8"/>
    <x v="1"/>
    <n v="18914"/>
    <x v="0"/>
    <x v="0"/>
    <s v="ROSUVASTATIN CALCIUM"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n v="4"/>
  </r>
  <r>
    <x v="8"/>
    <x v="1"/>
    <n v="21202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8"/>
    <x v="1"/>
    <n v="22625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8"/>
    <x v="1"/>
    <n v="22846"/>
    <x v="0"/>
    <x v="0"/>
    <s v="ATORVASTATIN CALCIUM"/>
    <m/>
    <m/>
    <m/>
    <n v="1"/>
    <m/>
    <m/>
    <m/>
    <m/>
    <m/>
    <m/>
    <m/>
    <m/>
    <m/>
    <m/>
    <m/>
    <m/>
    <m/>
    <n v="2"/>
    <m/>
    <m/>
    <m/>
    <m/>
    <m/>
    <m/>
    <m/>
    <m/>
    <m/>
    <m/>
    <m/>
    <n v="3"/>
  </r>
  <r>
    <x v="8"/>
    <x v="1"/>
    <n v="22846"/>
    <x v="0"/>
    <x v="3"/>
    <s v="RABEPRAZOLE SODIUM"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</r>
  <r>
    <x v="8"/>
    <x v="1"/>
    <n v="29657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8"/>
    <x v="1"/>
    <n v="4190"/>
    <x v="1"/>
    <x v="0"/>
    <s v="ATORVASTATIN CALCIUM"/>
    <m/>
    <m/>
    <m/>
    <n v="1"/>
    <m/>
    <m/>
    <m/>
    <m/>
    <m/>
    <m/>
    <m/>
    <m/>
    <m/>
    <m/>
    <m/>
    <n v="1"/>
    <m/>
    <m/>
    <m/>
    <m/>
    <m/>
    <m/>
    <m/>
    <m/>
    <m/>
    <m/>
    <m/>
    <m/>
    <n v="1"/>
    <n v="3"/>
  </r>
  <r>
    <x v="8"/>
    <x v="1"/>
    <n v="4190"/>
    <x v="1"/>
    <x v="3"/>
    <s v="RABEPRAZOLE SODIUM"/>
    <m/>
    <m/>
    <m/>
    <m/>
    <m/>
    <m/>
    <m/>
    <m/>
    <m/>
    <n v="1"/>
    <m/>
    <m/>
    <m/>
    <m/>
    <m/>
    <m/>
    <m/>
    <m/>
    <m/>
    <m/>
    <m/>
    <n v="2"/>
    <m/>
    <m/>
    <m/>
    <m/>
    <m/>
    <m/>
    <m/>
    <n v="3"/>
  </r>
  <r>
    <x v="8"/>
    <x v="1"/>
    <n v="5035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8"/>
    <x v="1"/>
    <n v="12799"/>
    <x v="1"/>
    <x v="0"/>
    <s v="ATORVASTATIN CALCIUM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8"/>
    <x v="1"/>
    <n v="14128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949"/>
    <x v="1"/>
    <x v="0"/>
    <s v="ROSU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8"/>
    <x v="1"/>
    <n v="246"/>
    <x v="0"/>
    <x v="0"/>
    <s v="ROSUVASTATIN CALCIUM"/>
    <n v="1"/>
    <m/>
    <m/>
    <n v="1"/>
    <n v="1"/>
    <m/>
    <m/>
    <m/>
    <m/>
    <n v="1"/>
    <m/>
    <m/>
    <m/>
    <n v="1"/>
    <m/>
    <m/>
    <m/>
    <n v="1"/>
    <m/>
    <m/>
    <m/>
    <n v="1"/>
    <m/>
    <m/>
    <m/>
    <n v="2"/>
    <m/>
    <m/>
    <m/>
    <n v="9"/>
  </r>
  <r>
    <x v="8"/>
    <x v="1"/>
    <n v="92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922"/>
    <x v="0"/>
    <x v="0"/>
    <s v="ATORVASTATIN CALCIUM"/>
    <m/>
    <n v="1"/>
    <m/>
    <m/>
    <n v="1"/>
    <m/>
    <m/>
    <m/>
    <m/>
    <n v="1"/>
    <m/>
    <m/>
    <m/>
    <m/>
    <n v="1"/>
    <m/>
    <m/>
    <n v="1"/>
    <m/>
    <m/>
    <m/>
    <n v="1"/>
    <m/>
    <m/>
    <m/>
    <n v="1"/>
    <m/>
    <m/>
    <m/>
    <n v="7"/>
  </r>
  <r>
    <x v="8"/>
    <x v="1"/>
    <n v="1368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15"/>
    <x v="0"/>
    <x v="0"/>
    <s v="ATORVASTATIN CALC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8"/>
    <x v="1"/>
    <n v="215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295"/>
    <x v="0"/>
    <x v="0"/>
    <s v="ATORVASTATIN CALCIUM"/>
    <m/>
    <m/>
    <m/>
    <n v="1"/>
    <m/>
    <m/>
    <m/>
    <m/>
    <n v="1"/>
    <m/>
    <m/>
    <m/>
    <n v="1"/>
    <m/>
    <m/>
    <m/>
    <n v="1"/>
    <m/>
    <m/>
    <n v="1"/>
    <m/>
    <m/>
    <m/>
    <n v="1"/>
    <m/>
    <m/>
    <m/>
    <m/>
    <n v="1"/>
    <n v="7"/>
  </r>
  <r>
    <x v="8"/>
    <x v="1"/>
    <n v="2295"/>
    <x v="0"/>
    <x v="3"/>
    <s v="RABEPRAZOLE SODIUM"/>
    <m/>
    <m/>
    <m/>
    <n v="1"/>
    <m/>
    <m/>
    <m/>
    <m/>
    <n v="1"/>
    <m/>
    <m/>
    <m/>
    <n v="1"/>
    <m/>
    <m/>
    <m/>
    <n v="1"/>
    <m/>
    <m/>
    <n v="1"/>
    <m/>
    <m/>
    <m/>
    <n v="1"/>
    <m/>
    <m/>
    <m/>
    <m/>
    <n v="1"/>
    <n v="7"/>
  </r>
  <r>
    <x v="8"/>
    <x v="1"/>
    <n v="2299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643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n v="2"/>
  </r>
  <r>
    <x v="8"/>
    <x v="1"/>
    <n v="3939"/>
    <x v="0"/>
    <x v="3"/>
    <s v="RABEPRAZOLE SODIUM"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3973"/>
    <x v="0"/>
    <x v="3"/>
    <s v="ESOMEPRAZOLE MAGNESIUM"/>
    <m/>
    <m/>
    <n v="1"/>
    <m/>
    <m/>
    <m/>
    <m/>
    <m/>
    <m/>
    <m/>
    <m/>
    <m/>
    <m/>
    <m/>
    <m/>
    <n v="1"/>
    <m/>
    <m/>
    <m/>
    <m/>
    <n v="2"/>
    <m/>
    <m/>
    <m/>
    <m/>
    <m/>
    <m/>
    <m/>
    <m/>
    <n v="4"/>
  </r>
  <r>
    <x v="8"/>
    <x v="1"/>
    <n v="4012"/>
    <x v="0"/>
    <x v="3"/>
    <s v="RABE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8"/>
    <x v="1"/>
    <n v="4080"/>
    <x v="0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n v="2"/>
  </r>
  <r>
    <x v="8"/>
    <x v="1"/>
    <n v="4177"/>
    <x v="0"/>
    <x v="0"/>
    <s v="ROSUVASTATIN CALC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8"/>
    <x v="1"/>
    <n v="4177"/>
    <x v="0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8"/>
    <x v="1"/>
    <n v="4221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8"/>
    <x v="1"/>
    <n v="4330"/>
    <x v="0"/>
    <x v="3"/>
    <s v="ESOMEPRAZOLE MAGNES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2"/>
  </r>
  <r>
    <x v="8"/>
    <x v="1"/>
    <n v="4706"/>
    <x v="0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2"/>
  </r>
  <r>
    <x v="8"/>
    <x v="1"/>
    <n v="5141"/>
    <x v="0"/>
    <x v="3"/>
    <s v="PANTOPRAZOLE SODIUM"/>
    <m/>
    <m/>
    <m/>
    <m/>
    <m/>
    <m/>
    <m/>
    <m/>
    <m/>
    <m/>
    <m/>
    <n v="1"/>
    <m/>
    <m/>
    <m/>
    <m/>
    <m/>
    <m/>
    <m/>
    <m/>
    <m/>
    <m/>
    <n v="2"/>
    <m/>
    <m/>
    <m/>
    <m/>
    <m/>
    <m/>
    <n v="3"/>
  </r>
  <r>
    <x v="8"/>
    <x v="1"/>
    <n v="5581"/>
    <x v="0"/>
    <x v="0"/>
    <s v="ATORVASTATIN CALCIUM"/>
    <n v="1"/>
    <m/>
    <m/>
    <m/>
    <m/>
    <m/>
    <m/>
    <m/>
    <m/>
    <m/>
    <m/>
    <m/>
    <m/>
    <m/>
    <m/>
    <m/>
    <n v="1"/>
    <n v="1"/>
    <m/>
    <m/>
    <m/>
    <m/>
    <m/>
    <m/>
    <m/>
    <m/>
    <m/>
    <m/>
    <m/>
    <n v="3"/>
  </r>
  <r>
    <x v="8"/>
    <x v="1"/>
    <n v="5581"/>
    <x v="0"/>
    <x v="3"/>
    <s v="RABEPRAZOLE SODIUM"/>
    <n v="1"/>
    <m/>
    <m/>
    <m/>
    <m/>
    <m/>
    <m/>
    <m/>
    <m/>
    <n v="1"/>
    <m/>
    <m/>
    <m/>
    <m/>
    <m/>
    <m/>
    <m/>
    <n v="1"/>
    <m/>
    <m/>
    <m/>
    <m/>
    <m/>
    <m/>
    <m/>
    <m/>
    <m/>
    <m/>
    <m/>
    <n v="3"/>
  </r>
  <r>
    <x v="8"/>
    <x v="1"/>
    <n v="5582"/>
    <x v="0"/>
    <x v="1"/>
    <s v="RANITIDINE HCL"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2"/>
  </r>
  <r>
    <x v="8"/>
    <x v="1"/>
    <n v="5699"/>
    <x v="0"/>
    <x v="0"/>
    <s v="ATOR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2"/>
  </r>
  <r>
    <x v="8"/>
    <x v="1"/>
    <n v="5766"/>
    <x v="0"/>
    <x v="3"/>
    <s v="RABEPRAZOLE SOD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8"/>
    <x v="1"/>
    <n v="6182"/>
    <x v="0"/>
    <x v="0"/>
    <s v="SIMVASTATIN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m/>
    <n v="6"/>
  </r>
  <r>
    <x v="8"/>
    <x v="1"/>
    <n v="6474"/>
    <x v="0"/>
    <x v="3"/>
    <s v="PANTO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8"/>
    <x v="1"/>
    <n v="6675"/>
    <x v="0"/>
    <x v="0"/>
    <s v="ROSUVASTATIN CALCIUM"/>
    <m/>
    <m/>
    <m/>
    <m/>
    <m/>
    <m/>
    <m/>
    <m/>
    <m/>
    <m/>
    <m/>
    <m/>
    <n v="1"/>
    <m/>
    <m/>
    <m/>
    <n v="1"/>
    <m/>
    <m/>
    <m/>
    <m/>
    <m/>
    <m/>
    <m/>
    <m/>
    <n v="1"/>
    <m/>
    <m/>
    <m/>
    <n v="3"/>
  </r>
  <r>
    <x v="8"/>
    <x v="1"/>
    <n v="6997"/>
    <x v="0"/>
    <x v="0"/>
    <s v="ATORVASTATIN CALC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8"/>
    <x v="1"/>
    <n v="7109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8"/>
    <x v="1"/>
    <n v="715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7849"/>
    <x v="0"/>
    <x v="3"/>
    <s v="LANSOPRAZOLE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8"/>
    <x v="1"/>
    <n v="7952"/>
    <x v="0"/>
    <x v="3"/>
    <s v="PANTOPRAZOLE SODIUM"/>
    <m/>
    <m/>
    <n v="1"/>
    <m/>
    <m/>
    <m/>
    <m/>
    <m/>
    <n v="1"/>
    <m/>
    <m/>
    <n v="1"/>
    <m/>
    <m/>
    <m/>
    <m/>
    <m/>
    <m/>
    <m/>
    <m/>
    <m/>
    <m/>
    <m/>
    <m/>
    <m/>
    <n v="3"/>
    <m/>
    <m/>
    <m/>
    <n v="6"/>
  </r>
  <r>
    <x v="8"/>
    <x v="1"/>
    <n v="8163"/>
    <x v="0"/>
    <x v="0"/>
    <s v="ROSU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8"/>
    <x v="1"/>
    <n v="8285"/>
    <x v="0"/>
    <x v="9"/>
    <s v="COLESTIPOL HCL"/>
    <n v="1"/>
    <m/>
    <m/>
    <m/>
    <m/>
    <n v="1"/>
    <m/>
    <m/>
    <m/>
    <m/>
    <m/>
    <m/>
    <m/>
    <m/>
    <n v="1"/>
    <m/>
    <m/>
    <m/>
    <m/>
    <n v="1"/>
    <m/>
    <m/>
    <m/>
    <n v="1"/>
    <m/>
    <m/>
    <m/>
    <n v="2"/>
    <m/>
    <n v="7"/>
  </r>
  <r>
    <x v="8"/>
    <x v="1"/>
    <n v="8285"/>
    <x v="0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8"/>
    <x v="1"/>
    <n v="8929"/>
    <x v="0"/>
    <x v="3"/>
    <s v="RABEPRAZOLE SODIUM"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n v="2"/>
  </r>
  <r>
    <x v="8"/>
    <x v="1"/>
    <n v="8950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9419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9419"/>
    <x v="0"/>
    <x v="3"/>
    <s v="PANTOPRAZOLE SOD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8"/>
    <x v="1"/>
    <n v="9534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n v="2"/>
  </r>
  <r>
    <x v="8"/>
    <x v="1"/>
    <n v="10339"/>
    <x v="0"/>
    <x v="3"/>
    <s v="ESOMEPRAZOLE MAGNES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2"/>
  </r>
  <r>
    <x v="8"/>
    <x v="1"/>
    <n v="11846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1846"/>
    <x v="0"/>
    <x v="3"/>
    <s v="RABEPRAZOLE SODIUM"/>
    <m/>
    <m/>
    <n v="1"/>
    <m/>
    <m/>
    <m/>
    <m/>
    <m/>
    <n v="1"/>
    <m/>
    <m/>
    <m/>
    <m/>
    <m/>
    <m/>
    <m/>
    <m/>
    <m/>
    <m/>
    <m/>
    <m/>
    <m/>
    <m/>
    <m/>
    <m/>
    <m/>
    <m/>
    <m/>
    <m/>
    <n v="2"/>
  </r>
  <r>
    <x v="8"/>
    <x v="1"/>
    <n v="13005"/>
    <x v="0"/>
    <x v="9"/>
    <s v="CHOLESTYRAMINE/ASPARTAME"/>
    <m/>
    <m/>
    <n v="1"/>
    <m/>
    <n v="1"/>
    <m/>
    <m/>
    <m/>
    <m/>
    <m/>
    <n v="1"/>
    <m/>
    <m/>
    <n v="1"/>
    <m/>
    <n v="1"/>
    <m/>
    <m/>
    <m/>
    <m/>
    <m/>
    <m/>
    <m/>
    <m/>
    <m/>
    <m/>
    <m/>
    <m/>
    <m/>
    <n v="5"/>
  </r>
  <r>
    <x v="8"/>
    <x v="1"/>
    <n v="13005"/>
    <x v="0"/>
    <x v="0"/>
    <s v="ROSUVASTATIN CALCIUM"/>
    <n v="1"/>
    <n v="1"/>
    <n v="1"/>
    <n v="2"/>
    <m/>
    <n v="1"/>
    <m/>
    <n v="1"/>
    <n v="1"/>
    <n v="1"/>
    <n v="1"/>
    <n v="1"/>
    <n v="1"/>
    <n v="1"/>
    <n v="1"/>
    <n v="1"/>
    <n v="2"/>
    <n v="1"/>
    <n v="1"/>
    <n v="3"/>
    <n v="1"/>
    <n v="1"/>
    <n v="1"/>
    <n v="1"/>
    <n v="1"/>
    <n v="1"/>
    <n v="2"/>
    <m/>
    <n v="1"/>
    <n v="31"/>
  </r>
  <r>
    <x v="8"/>
    <x v="1"/>
    <n v="13587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n v="2"/>
  </r>
  <r>
    <x v="8"/>
    <x v="1"/>
    <n v="14200"/>
    <x v="0"/>
    <x v="0"/>
    <s v="ROSU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8"/>
    <x v="1"/>
    <n v="14205"/>
    <x v="0"/>
    <x v="3"/>
    <s v="RABEPRAZOLE SODIUM"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8"/>
    <x v="1"/>
    <n v="14512"/>
    <x v="0"/>
    <x v="0"/>
    <s v="ROSUVASTATIN CALCIUM"/>
    <m/>
    <m/>
    <m/>
    <m/>
    <n v="2"/>
    <m/>
    <m/>
    <m/>
    <m/>
    <m/>
    <m/>
    <m/>
    <m/>
    <m/>
    <m/>
    <m/>
    <m/>
    <m/>
    <m/>
    <m/>
    <m/>
    <n v="1"/>
    <m/>
    <m/>
    <m/>
    <m/>
    <m/>
    <m/>
    <m/>
    <n v="3"/>
  </r>
  <r>
    <x v="8"/>
    <x v="1"/>
    <n v="14696"/>
    <x v="0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n v="2"/>
    <m/>
    <m/>
    <m/>
    <m/>
    <n v="3"/>
  </r>
  <r>
    <x v="8"/>
    <x v="1"/>
    <n v="14969"/>
    <x v="0"/>
    <x v="3"/>
    <s v="ESOME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1549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6926"/>
    <x v="0"/>
    <x v="0"/>
    <s v="ROSUVASTATIN CALCIUM"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n v="2"/>
  </r>
  <r>
    <x v="8"/>
    <x v="1"/>
    <n v="17768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18625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8"/>
    <x v="1"/>
    <n v="18625"/>
    <x v="0"/>
    <x v="3"/>
    <s v="PANTOPRAZOLE SODIUM"/>
    <m/>
    <m/>
    <m/>
    <m/>
    <m/>
    <m/>
    <m/>
    <m/>
    <m/>
    <n v="1"/>
    <n v="1"/>
    <m/>
    <m/>
    <m/>
    <m/>
    <m/>
    <m/>
    <m/>
    <m/>
    <m/>
    <m/>
    <m/>
    <m/>
    <m/>
    <n v="1"/>
    <m/>
    <n v="1"/>
    <m/>
    <m/>
    <n v="4"/>
  </r>
  <r>
    <x v="8"/>
    <x v="1"/>
    <n v="19096"/>
    <x v="0"/>
    <x v="0"/>
    <s v="ATORVASTATIN CALCIUM"/>
    <m/>
    <n v="1"/>
    <m/>
    <m/>
    <m/>
    <n v="1"/>
    <m/>
    <m/>
    <m/>
    <m/>
    <n v="1"/>
    <m/>
    <m/>
    <m/>
    <n v="1"/>
    <m/>
    <m/>
    <n v="1"/>
    <m/>
    <m/>
    <m/>
    <n v="1"/>
    <m/>
    <m/>
    <m/>
    <n v="1"/>
    <m/>
    <m/>
    <m/>
    <n v="7"/>
  </r>
  <r>
    <x v="8"/>
    <x v="1"/>
    <n v="19166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0219"/>
    <x v="0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8"/>
    <x v="1"/>
    <n v="20783"/>
    <x v="0"/>
    <x v="1"/>
    <s v="RANITIDINE HCL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8"/>
    <x v="1"/>
    <n v="21358"/>
    <x v="0"/>
    <x v="0"/>
    <s v="ATORVASTATIN CALC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8"/>
    <x v="1"/>
    <n v="21454"/>
    <x v="0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631"/>
    <x v="0"/>
    <x v="3"/>
    <s v="RABE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8"/>
    <x v="1"/>
    <n v="2168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883"/>
    <x v="0"/>
    <x v="3"/>
    <s v="RABEPRAZOLE SODIUM"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n v="2"/>
  </r>
  <r>
    <x v="8"/>
    <x v="1"/>
    <n v="25350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5350"/>
    <x v="0"/>
    <x v="3"/>
    <s v="PANTOPRAZOLE SODIUM"/>
    <m/>
    <m/>
    <n v="2"/>
    <m/>
    <m/>
    <m/>
    <m/>
    <m/>
    <m/>
    <m/>
    <m/>
    <m/>
    <m/>
    <m/>
    <m/>
    <m/>
    <m/>
    <m/>
    <m/>
    <m/>
    <m/>
    <m/>
    <m/>
    <m/>
    <n v="1"/>
    <m/>
    <m/>
    <m/>
    <m/>
    <n v="3"/>
  </r>
  <r>
    <x v="8"/>
    <x v="1"/>
    <n v="26522"/>
    <x v="0"/>
    <x v="3"/>
    <s v="ESOMEPRAZOLE MAGNESIUM"/>
    <m/>
    <m/>
    <m/>
    <m/>
    <n v="1"/>
    <m/>
    <m/>
    <m/>
    <m/>
    <m/>
    <m/>
    <m/>
    <m/>
    <m/>
    <m/>
    <m/>
    <m/>
    <m/>
    <m/>
    <n v="2"/>
    <m/>
    <m/>
    <n v="1"/>
    <m/>
    <m/>
    <n v="1"/>
    <m/>
    <m/>
    <m/>
    <n v="5"/>
  </r>
  <r>
    <x v="8"/>
    <x v="1"/>
    <n v="28093"/>
    <x v="0"/>
    <x v="1"/>
    <s v="RANITIDINE HCL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n v="2"/>
  </r>
  <r>
    <x v="8"/>
    <x v="1"/>
    <n v="28093"/>
    <x v="0"/>
    <x v="0"/>
    <s v="ATOR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30721"/>
    <x v="0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8"/>
    <x v="1"/>
    <n v="30721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098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1373"/>
    <x v="0"/>
    <x v="3"/>
    <s v="ESOMEPRAZOLE MAGNESIUM"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8"/>
    <x v="1"/>
    <n v="31758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n v="2"/>
  </r>
  <r>
    <x v="8"/>
    <x v="1"/>
    <n v="3214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2747"/>
    <x v="0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274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3634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3634"/>
    <x v="0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8"/>
    <x v="1"/>
    <n v="45"/>
    <x v="1"/>
    <x v="0"/>
    <s v="FLUVASTATIN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8"/>
    <x v="1"/>
    <n v="45"/>
    <x v="1"/>
    <x v="6"/>
    <s v="EZETIMIBE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8"/>
    <x v="1"/>
    <n v="4079"/>
    <x v="1"/>
    <x v="0"/>
    <s v="ATOR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8"/>
    <x v="1"/>
    <n v="5767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2"/>
  </r>
  <r>
    <x v="8"/>
    <x v="1"/>
    <n v="5805"/>
    <x v="1"/>
    <x v="8"/>
    <s v="FENOFIBRATE, NANOCRYSTALLIZED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8"/>
    <x v="1"/>
    <n v="5805"/>
    <x v="1"/>
    <x v="6"/>
    <s v="EZETIMIBE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8"/>
    <x v="1"/>
    <n v="619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7498"/>
    <x v="1"/>
    <x v="0"/>
    <s v="ROSU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8"/>
    <x v="1"/>
    <n v="7932"/>
    <x v="1"/>
    <x v="0"/>
    <s v="ATORVASTATIN CALCIUM"/>
    <m/>
    <m/>
    <n v="1"/>
    <m/>
    <m/>
    <n v="1"/>
    <m/>
    <m/>
    <m/>
    <m/>
    <m/>
    <n v="1"/>
    <m/>
    <m/>
    <m/>
    <n v="1"/>
    <m/>
    <m/>
    <m/>
    <n v="1"/>
    <m/>
    <m/>
    <m/>
    <n v="1"/>
    <m/>
    <m/>
    <m/>
    <n v="1"/>
    <m/>
    <n v="7"/>
  </r>
  <r>
    <x v="8"/>
    <x v="1"/>
    <n v="816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3110"/>
    <x v="1"/>
    <x v="0"/>
    <s v="ROSUVASTATIN CALCIUM"/>
    <n v="2"/>
    <m/>
    <m/>
    <n v="2"/>
    <m/>
    <n v="2"/>
    <m/>
    <m/>
    <m/>
    <m/>
    <n v="2"/>
    <m/>
    <m/>
    <m/>
    <n v="2"/>
    <n v="2"/>
    <m/>
    <n v="2"/>
    <m/>
    <m/>
    <m/>
    <m/>
    <n v="2"/>
    <m/>
    <m/>
    <m/>
    <n v="2"/>
    <m/>
    <m/>
    <n v="18"/>
  </r>
  <r>
    <x v="8"/>
    <x v="1"/>
    <n v="18763"/>
    <x v="1"/>
    <x v="3"/>
    <s v="ESOMEPRAZOLE MAGNESIUM"/>
    <m/>
    <n v="1"/>
    <m/>
    <m/>
    <m/>
    <m/>
    <m/>
    <m/>
    <n v="1"/>
    <m/>
    <m/>
    <n v="1"/>
    <m/>
    <m/>
    <m/>
    <m/>
    <m/>
    <n v="1"/>
    <m/>
    <m/>
    <m/>
    <n v="1"/>
    <m/>
    <m/>
    <m/>
    <m/>
    <n v="1"/>
    <m/>
    <m/>
    <n v="6"/>
  </r>
  <r>
    <x v="8"/>
    <x v="1"/>
    <n v="19067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236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n v="3"/>
  </r>
  <r>
    <x v="8"/>
    <x v="1"/>
    <n v="26445"/>
    <x v="1"/>
    <x v="3"/>
    <s v="ESOME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8"/>
    <x v="1"/>
    <n v="26688"/>
    <x v="1"/>
    <x v="3"/>
    <s v="ESOMEPRAZOLE MAGNESIUM"/>
    <m/>
    <n v="1"/>
    <m/>
    <m/>
    <m/>
    <m/>
    <m/>
    <m/>
    <m/>
    <m/>
    <m/>
    <m/>
    <n v="1"/>
    <m/>
    <m/>
    <m/>
    <m/>
    <n v="2"/>
    <m/>
    <m/>
    <m/>
    <m/>
    <m/>
    <m/>
    <m/>
    <n v="1"/>
    <m/>
    <m/>
    <m/>
    <n v="5"/>
  </r>
  <r>
    <x v="8"/>
    <x v="1"/>
    <n v="1317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448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00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8"/>
    <x v="1"/>
    <n v="2115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8"/>
    <x v="1"/>
    <n v="2115"/>
    <x v="0"/>
    <x v="3"/>
    <s v="OMEPRAZOLE"/>
    <m/>
    <m/>
    <m/>
    <m/>
    <m/>
    <n v="1"/>
    <m/>
    <m/>
    <m/>
    <m/>
    <n v="1"/>
    <m/>
    <m/>
    <m/>
    <n v="1"/>
    <m/>
    <m/>
    <m/>
    <n v="1"/>
    <m/>
    <m/>
    <m/>
    <n v="1"/>
    <m/>
    <m/>
    <m/>
    <m/>
    <m/>
    <m/>
    <n v="5"/>
  </r>
  <r>
    <x v="8"/>
    <x v="1"/>
    <n v="2115"/>
    <x v="0"/>
    <x v="3"/>
    <s v="PANTOPRAZOLE SODIUM"/>
    <m/>
    <m/>
    <m/>
    <m/>
    <n v="1"/>
    <n v="1"/>
    <m/>
    <m/>
    <m/>
    <m/>
    <m/>
    <m/>
    <m/>
    <m/>
    <m/>
    <m/>
    <m/>
    <m/>
    <m/>
    <m/>
    <m/>
    <m/>
    <m/>
    <m/>
    <m/>
    <m/>
    <m/>
    <n v="1"/>
    <m/>
    <n v="3"/>
  </r>
  <r>
    <x v="8"/>
    <x v="1"/>
    <n v="215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215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787"/>
    <x v="0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8"/>
    <x v="1"/>
    <n v="4576"/>
    <x v="0"/>
    <x v="3"/>
    <s v="RABEPRAZOLE SODIUM"/>
    <m/>
    <m/>
    <m/>
    <m/>
    <m/>
    <m/>
    <m/>
    <m/>
    <n v="1"/>
    <m/>
    <m/>
    <m/>
    <m/>
    <m/>
    <m/>
    <m/>
    <m/>
    <m/>
    <m/>
    <m/>
    <m/>
    <m/>
    <n v="1"/>
    <m/>
    <m/>
    <n v="1"/>
    <m/>
    <m/>
    <m/>
    <n v="3"/>
  </r>
  <r>
    <x v="8"/>
    <x v="1"/>
    <n v="5935"/>
    <x v="0"/>
    <x v="3"/>
    <s v="RABEPRAZOLE SOD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770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8"/>
    <x v="1"/>
    <n v="10141"/>
    <x v="0"/>
    <x v="3"/>
    <s v="RABEPRAZOLE SODIUM"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8"/>
    <x v="1"/>
    <n v="11082"/>
    <x v="0"/>
    <x v="3"/>
    <s v="ESOMEPRAZOLE MAGNESIUM"/>
    <m/>
    <n v="1"/>
    <m/>
    <m/>
    <m/>
    <n v="1"/>
    <m/>
    <m/>
    <m/>
    <m/>
    <m/>
    <m/>
    <n v="1"/>
    <m/>
    <m/>
    <m/>
    <n v="1"/>
    <m/>
    <m/>
    <m/>
    <m/>
    <m/>
    <m/>
    <m/>
    <m/>
    <m/>
    <m/>
    <m/>
    <m/>
    <n v="4"/>
  </r>
  <r>
    <x v="8"/>
    <x v="1"/>
    <n v="11494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162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3005"/>
    <x v="0"/>
    <x v="3"/>
    <s v="ESOMEPRAZOLE MAGNESIUM"/>
    <m/>
    <m/>
    <m/>
    <m/>
    <m/>
    <m/>
    <m/>
    <m/>
    <m/>
    <m/>
    <m/>
    <m/>
    <m/>
    <m/>
    <m/>
    <m/>
    <n v="1"/>
    <n v="1"/>
    <n v="1"/>
    <n v="3"/>
    <n v="1"/>
    <n v="1"/>
    <n v="1"/>
    <n v="1"/>
    <n v="1"/>
    <n v="1"/>
    <n v="2"/>
    <m/>
    <n v="1"/>
    <n v="15"/>
  </r>
  <r>
    <x v="8"/>
    <x v="1"/>
    <n v="13005"/>
    <x v="0"/>
    <x v="3"/>
    <s v="OMEPRAZOLE"/>
    <n v="1"/>
    <n v="1"/>
    <n v="1"/>
    <n v="2"/>
    <m/>
    <n v="1"/>
    <m/>
    <n v="1"/>
    <n v="1"/>
    <n v="1"/>
    <n v="1"/>
    <n v="1"/>
    <n v="1"/>
    <n v="1"/>
    <n v="1"/>
    <n v="1"/>
    <n v="1"/>
    <m/>
    <m/>
    <m/>
    <m/>
    <m/>
    <m/>
    <m/>
    <m/>
    <m/>
    <m/>
    <m/>
    <m/>
    <n v="16"/>
  </r>
  <r>
    <x v="8"/>
    <x v="1"/>
    <n v="1338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8546"/>
    <x v="0"/>
    <x v="3"/>
    <s v="OMEPRAZOLE"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8"/>
    <x v="1"/>
    <n v="20428"/>
    <x v="0"/>
    <x v="3"/>
    <s v="ESOMEPRAZOLE MAGNES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8"/>
    <x v="1"/>
    <n v="22446"/>
    <x v="0"/>
    <x v="1"/>
    <s v="RANITIDINE HCL"/>
    <m/>
    <m/>
    <m/>
    <n v="1"/>
    <m/>
    <m/>
    <m/>
    <m/>
    <m/>
    <m/>
    <m/>
    <m/>
    <m/>
    <m/>
    <m/>
    <m/>
    <m/>
    <m/>
    <n v="1"/>
    <m/>
    <m/>
    <m/>
    <m/>
    <m/>
    <m/>
    <n v="2"/>
    <m/>
    <m/>
    <m/>
    <n v="4"/>
  </r>
  <r>
    <x v="8"/>
    <x v="1"/>
    <n v="2336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8"/>
    <x v="1"/>
    <n v="31749"/>
    <x v="0"/>
    <x v="3"/>
    <s v="OMEPRAZOLE"/>
    <n v="1"/>
    <m/>
    <m/>
    <m/>
    <m/>
    <m/>
    <m/>
    <m/>
    <m/>
    <m/>
    <m/>
    <m/>
    <m/>
    <m/>
    <n v="1"/>
    <m/>
    <m/>
    <m/>
    <m/>
    <m/>
    <m/>
    <m/>
    <m/>
    <m/>
    <m/>
    <n v="1"/>
    <m/>
    <m/>
    <m/>
    <n v="3"/>
  </r>
  <r>
    <x v="8"/>
    <x v="1"/>
    <n v="45"/>
    <x v="1"/>
    <x v="3"/>
    <s v="ESOMEPRAZOLE MAGNESIUM"/>
    <m/>
    <m/>
    <m/>
    <m/>
    <m/>
    <n v="1"/>
    <m/>
    <m/>
    <m/>
    <m/>
    <m/>
    <m/>
    <m/>
    <m/>
    <m/>
    <m/>
    <m/>
    <m/>
    <m/>
    <m/>
    <m/>
    <n v="1"/>
    <m/>
    <n v="1"/>
    <m/>
    <m/>
    <m/>
    <m/>
    <m/>
    <n v="3"/>
  </r>
  <r>
    <x v="8"/>
    <x v="1"/>
    <n v="1646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8798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8"/>
    <x v="1"/>
    <n v="246"/>
    <x v="0"/>
    <x v="3"/>
    <s v="OMEPRAZOLE"/>
    <n v="1"/>
    <m/>
    <m/>
    <n v="1"/>
    <n v="1"/>
    <m/>
    <m/>
    <m/>
    <m/>
    <n v="1"/>
    <m/>
    <m/>
    <m/>
    <n v="1"/>
    <m/>
    <m/>
    <m/>
    <n v="1"/>
    <m/>
    <m/>
    <m/>
    <n v="1"/>
    <m/>
    <m/>
    <m/>
    <n v="1"/>
    <m/>
    <m/>
    <m/>
    <n v="8"/>
  </r>
  <r>
    <x v="8"/>
    <x v="1"/>
    <n v="2643"/>
    <x v="0"/>
    <x v="3"/>
    <s v="ESOMEPRAZOLE MAGNESIUM"/>
    <m/>
    <m/>
    <m/>
    <m/>
    <m/>
    <n v="1"/>
    <m/>
    <m/>
    <m/>
    <m/>
    <m/>
    <m/>
    <m/>
    <m/>
    <n v="1"/>
    <m/>
    <m/>
    <m/>
    <m/>
    <m/>
    <m/>
    <m/>
    <m/>
    <m/>
    <m/>
    <m/>
    <n v="1"/>
    <m/>
    <m/>
    <n v="3"/>
  </r>
  <r>
    <x v="8"/>
    <x v="1"/>
    <n v="9534"/>
    <x v="0"/>
    <x v="1"/>
    <s v="RANITIDINE HCL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8"/>
    <x v="1"/>
    <n v="12740"/>
    <x v="0"/>
    <x v="3"/>
    <s v="PANTOPRAZOLE SODIUM"/>
    <m/>
    <m/>
    <n v="1"/>
    <m/>
    <m/>
    <n v="1"/>
    <m/>
    <m/>
    <m/>
    <m/>
    <m/>
    <n v="1"/>
    <m/>
    <m/>
    <m/>
    <n v="1"/>
    <m/>
    <m/>
    <m/>
    <n v="1"/>
    <m/>
    <m/>
    <m/>
    <n v="1"/>
    <m/>
    <m/>
    <m/>
    <n v="1"/>
    <m/>
    <n v="7"/>
  </r>
  <r>
    <x v="8"/>
    <x v="1"/>
    <n v="19638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3110"/>
    <x v="1"/>
    <x v="3"/>
    <s v="RABEPRAZOLE SODIUM"/>
    <n v="1"/>
    <m/>
    <m/>
    <n v="1"/>
    <m/>
    <n v="1"/>
    <m/>
    <m/>
    <m/>
    <m/>
    <n v="1"/>
    <m/>
    <m/>
    <m/>
    <n v="2"/>
    <n v="1"/>
    <m/>
    <n v="1"/>
    <m/>
    <m/>
    <m/>
    <m/>
    <n v="1"/>
    <m/>
    <m/>
    <m/>
    <n v="1"/>
    <m/>
    <m/>
    <n v="10"/>
  </r>
  <r>
    <x v="8"/>
    <x v="1"/>
    <n v="4992"/>
    <x v="0"/>
    <x v="3"/>
    <s v="RABEPRAZOLE SODIUM"/>
    <m/>
    <m/>
    <m/>
    <n v="1"/>
    <m/>
    <m/>
    <m/>
    <m/>
    <m/>
    <m/>
    <m/>
    <m/>
    <m/>
    <m/>
    <m/>
    <m/>
    <m/>
    <n v="1"/>
    <m/>
    <m/>
    <m/>
    <n v="1"/>
    <m/>
    <m/>
    <m/>
    <m/>
    <m/>
    <m/>
    <m/>
    <n v="3"/>
  </r>
  <r>
    <x v="8"/>
    <x v="1"/>
    <n v="6997"/>
    <x v="0"/>
    <x v="3"/>
    <s v="PANTOPRAZOLE SOD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8"/>
    <x v="1"/>
    <n v="8163"/>
    <x v="0"/>
    <x v="3"/>
    <s v="RABEPRAZOLE SODIUM"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n v="3"/>
  </r>
  <r>
    <x v="8"/>
    <x v="1"/>
    <n v="19096"/>
    <x v="0"/>
    <x v="3"/>
    <s v="RABEPRAZOLE SODIUM"/>
    <m/>
    <n v="1"/>
    <m/>
    <m/>
    <m/>
    <n v="1"/>
    <m/>
    <m/>
    <m/>
    <m/>
    <n v="1"/>
    <m/>
    <m/>
    <m/>
    <n v="1"/>
    <m/>
    <m/>
    <n v="1"/>
    <m/>
    <m/>
    <m/>
    <n v="1"/>
    <m/>
    <m/>
    <m/>
    <n v="1"/>
    <m/>
    <m/>
    <m/>
    <n v="7"/>
  </r>
  <r>
    <x v="8"/>
    <x v="1"/>
    <n v="6190"/>
    <x v="1"/>
    <x v="3"/>
    <s v="ESOMEPRAZOLE MAGNES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2"/>
  </r>
  <r>
    <x v="8"/>
    <x v="1"/>
    <n v="7498"/>
    <x v="1"/>
    <x v="3"/>
    <s v="RABEPRAZOLE SODIUM"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n v="2"/>
  </r>
  <r>
    <x v="8"/>
    <x v="1"/>
    <n v="755"/>
    <x v="0"/>
    <x v="0"/>
    <s v="FLUVASTATIN SODIUM"/>
    <m/>
    <m/>
    <n v="1"/>
    <m/>
    <m/>
    <m/>
    <m/>
    <m/>
    <m/>
    <m/>
    <m/>
    <m/>
    <m/>
    <n v="1"/>
    <n v="1"/>
    <m/>
    <m/>
    <m/>
    <m/>
    <m/>
    <m/>
    <m/>
    <m/>
    <m/>
    <n v="2"/>
    <m/>
    <m/>
    <m/>
    <m/>
    <n v="5"/>
  </r>
  <r>
    <x v="8"/>
    <x v="1"/>
    <n v="855"/>
    <x v="0"/>
    <x v="0"/>
    <s v="ROSUVASTATIN CALCIUM"/>
    <m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n v="6"/>
  </r>
  <r>
    <x v="8"/>
    <x v="1"/>
    <n v="147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960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8"/>
    <x v="1"/>
    <n v="5926"/>
    <x v="0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8165"/>
    <x v="0"/>
    <x v="0"/>
    <s v="ROSUVASTATIN CALCIUM"/>
    <m/>
    <n v="1"/>
    <m/>
    <m/>
    <m/>
    <n v="1"/>
    <m/>
    <m/>
    <m/>
    <m/>
    <n v="1"/>
    <m/>
    <m/>
    <m/>
    <n v="1"/>
    <m/>
    <m/>
    <m/>
    <n v="1"/>
    <m/>
    <m/>
    <m/>
    <n v="1"/>
    <m/>
    <m/>
    <m/>
    <m/>
    <n v="1"/>
    <m/>
    <n v="7"/>
  </r>
  <r>
    <x v="8"/>
    <x v="1"/>
    <n v="8286"/>
    <x v="0"/>
    <x v="0"/>
    <s v="ATORVASTATIN CALC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8"/>
    <x v="1"/>
    <n v="11087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11635"/>
    <x v="0"/>
    <x v="0"/>
    <s v="PRAVASTATIN SOD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8"/>
    <x v="1"/>
    <n v="13697"/>
    <x v="0"/>
    <x v="0"/>
    <s v="ROSUVASTATIN CALCIUM"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8"/>
    <x v="1"/>
    <n v="16925"/>
    <x v="0"/>
    <x v="0"/>
    <s v="ATORVASTATIN CALCIUM"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n v="2"/>
  </r>
  <r>
    <x v="8"/>
    <x v="1"/>
    <n v="22625"/>
    <x v="0"/>
    <x v="0"/>
    <s v="ROSUVASTATIN CALCIUM"/>
    <n v="1"/>
    <m/>
    <m/>
    <m/>
    <n v="1"/>
    <m/>
    <m/>
    <m/>
    <m/>
    <m/>
    <n v="1"/>
    <m/>
    <m/>
    <m/>
    <m/>
    <m/>
    <m/>
    <m/>
    <m/>
    <m/>
    <m/>
    <m/>
    <m/>
    <n v="1"/>
    <m/>
    <m/>
    <m/>
    <m/>
    <m/>
    <n v="4"/>
  </r>
  <r>
    <x v="8"/>
    <x v="1"/>
    <n v="25168"/>
    <x v="0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n v="2"/>
  </r>
  <r>
    <x v="8"/>
    <x v="1"/>
    <n v="30113"/>
    <x v="0"/>
    <x v="0"/>
    <s v="PRAVASTATIN SOD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2"/>
  </r>
  <r>
    <x v="8"/>
    <x v="1"/>
    <n v="984"/>
    <x v="1"/>
    <x v="0"/>
    <s v="ROSU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8"/>
    <x v="1"/>
    <n v="6832"/>
    <x v="1"/>
    <x v="0"/>
    <s v="ROSUVASTATIN CALCIUM"/>
    <m/>
    <m/>
    <m/>
    <m/>
    <m/>
    <m/>
    <m/>
    <m/>
    <m/>
    <m/>
    <m/>
    <m/>
    <m/>
    <n v="1"/>
    <m/>
    <m/>
    <m/>
    <n v="1"/>
    <n v="1"/>
    <m/>
    <m/>
    <m/>
    <m/>
    <m/>
    <m/>
    <m/>
    <m/>
    <m/>
    <m/>
    <n v="3"/>
  </r>
  <r>
    <x v="8"/>
    <x v="1"/>
    <n v="11495"/>
    <x v="1"/>
    <x v="0"/>
    <s v="ROSU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8"/>
    <x v="1"/>
    <n v="12593"/>
    <x v="1"/>
    <x v="0"/>
    <s v="ROSU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8"/>
    <x v="1"/>
    <n v="22087"/>
    <x v="1"/>
    <x v="0"/>
    <s v="ROSUVASTATIN CALCIUM"/>
    <m/>
    <m/>
    <m/>
    <m/>
    <n v="3"/>
    <m/>
    <m/>
    <m/>
    <m/>
    <m/>
    <m/>
    <m/>
    <m/>
    <m/>
    <m/>
    <m/>
    <m/>
    <n v="1"/>
    <m/>
    <m/>
    <m/>
    <m/>
    <m/>
    <m/>
    <m/>
    <m/>
    <m/>
    <m/>
    <m/>
    <n v="4"/>
  </r>
  <r>
    <x v="8"/>
    <x v="1"/>
    <n v="1261"/>
    <x v="0"/>
    <x v="8"/>
    <s v="GEMFIBROZIL"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n v="2"/>
  </r>
  <r>
    <x v="8"/>
    <x v="1"/>
    <n v="1261"/>
    <x v="0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n v="2"/>
  </r>
  <r>
    <x v="8"/>
    <x v="1"/>
    <n v="4248"/>
    <x v="0"/>
    <x v="8"/>
    <s v="FENOFIBRATE, NANOCRYSTALLIZED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4248"/>
    <x v="0"/>
    <x v="0"/>
    <s v="ROSU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4248"/>
    <x v="0"/>
    <x v="6"/>
    <s v="EZETIMIBE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8"/>
    <x v="1"/>
    <n v="4867"/>
    <x v="0"/>
    <x v="0"/>
    <s v="ROSUVASTATIN CALC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m/>
    <n v="28"/>
  </r>
  <r>
    <x v="8"/>
    <x v="1"/>
    <n v="5141"/>
    <x v="0"/>
    <x v="0"/>
    <s v="ROSUVASTATIN CALCIUM"/>
    <m/>
    <m/>
    <m/>
    <m/>
    <m/>
    <m/>
    <m/>
    <n v="1"/>
    <m/>
    <m/>
    <m/>
    <m/>
    <m/>
    <m/>
    <m/>
    <m/>
    <n v="1"/>
    <m/>
    <m/>
    <m/>
    <m/>
    <m/>
    <n v="2"/>
    <m/>
    <m/>
    <m/>
    <m/>
    <m/>
    <m/>
    <n v="4"/>
  </r>
  <r>
    <x v="8"/>
    <x v="1"/>
    <n v="5935"/>
    <x v="0"/>
    <x v="8"/>
    <s v="FENOFIBRATE, MICRONIZED"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8"/>
    <x v="1"/>
    <n v="7952"/>
    <x v="0"/>
    <x v="0"/>
    <s v="ROSUVASTATIN CALCIUM"/>
    <m/>
    <m/>
    <n v="1"/>
    <m/>
    <m/>
    <m/>
    <m/>
    <m/>
    <n v="1"/>
    <m/>
    <m/>
    <n v="1"/>
    <m/>
    <m/>
    <m/>
    <m/>
    <m/>
    <m/>
    <m/>
    <m/>
    <m/>
    <m/>
    <m/>
    <m/>
    <m/>
    <n v="2"/>
    <m/>
    <m/>
    <m/>
    <n v="5"/>
  </r>
  <r>
    <x v="8"/>
    <x v="1"/>
    <n v="864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8930"/>
    <x v="0"/>
    <x v="0"/>
    <s v="ATOR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8"/>
    <x v="1"/>
    <n v="9062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8"/>
    <x v="1"/>
    <n v="949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</r>
  <r>
    <x v="8"/>
    <x v="1"/>
    <n v="9891"/>
    <x v="0"/>
    <x v="0"/>
    <s v="ROSU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8"/>
    <x v="1"/>
    <n v="10392"/>
    <x v="0"/>
    <x v="0"/>
    <s v="ROSUVASTATIN CALCIUM"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n v="2"/>
  </r>
  <r>
    <x v="8"/>
    <x v="1"/>
    <n v="11624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8"/>
    <x v="1"/>
    <n v="13587"/>
    <x v="0"/>
    <x v="0"/>
    <s v="ROSUVASTATIN CALCIUM"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n v="2"/>
  </r>
  <r>
    <x v="8"/>
    <x v="1"/>
    <n v="14205"/>
    <x v="0"/>
    <x v="0"/>
    <s v="FLUVASTATIN SOD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8"/>
    <x v="1"/>
    <n v="14356"/>
    <x v="0"/>
    <x v="0"/>
    <s v="ROSUVASTATIN CALCIUM"/>
    <m/>
    <m/>
    <m/>
    <n v="1"/>
    <m/>
    <m/>
    <m/>
    <m/>
    <m/>
    <m/>
    <m/>
    <m/>
    <m/>
    <m/>
    <m/>
    <m/>
    <m/>
    <m/>
    <m/>
    <m/>
    <m/>
    <m/>
    <m/>
    <m/>
    <n v="3"/>
    <m/>
    <m/>
    <m/>
    <m/>
    <n v="4"/>
  </r>
  <r>
    <x v="8"/>
    <x v="1"/>
    <n v="14448"/>
    <x v="0"/>
    <x v="6"/>
    <s v="EZETIMIBE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8"/>
    <x v="1"/>
    <n v="19728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8"/>
    <x v="1"/>
    <n v="2050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0582"/>
    <x v="0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8"/>
    <x v="1"/>
    <n v="30582"/>
    <x v="0"/>
    <x v="8"/>
    <s v="GEMFIBROZIL"/>
    <m/>
    <m/>
    <m/>
    <m/>
    <m/>
    <m/>
    <m/>
    <m/>
    <n v="1"/>
    <m/>
    <m/>
    <m/>
    <m/>
    <m/>
    <m/>
    <m/>
    <m/>
    <m/>
    <m/>
    <m/>
    <m/>
    <m/>
    <n v="1"/>
    <m/>
    <m/>
    <m/>
    <n v="1"/>
    <m/>
    <m/>
    <n v="3"/>
  </r>
  <r>
    <x v="8"/>
    <x v="1"/>
    <n v="30582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8"/>
    <x v="1"/>
    <n v="31201"/>
    <x v="0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8"/>
    <x v="1"/>
    <n v="1646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8"/>
    <x v="1"/>
    <n v="2157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2"/>
  </r>
  <r>
    <x v="8"/>
    <x v="1"/>
    <n v="6746"/>
    <x v="1"/>
    <x v="0"/>
    <s v="ROSUVASTATIN CALCIUM"/>
    <m/>
    <n v="1"/>
    <m/>
    <m/>
    <m/>
    <m/>
    <m/>
    <m/>
    <m/>
    <m/>
    <m/>
    <m/>
    <n v="1"/>
    <m/>
    <m/>
    <m/>
    <m/>
    <m/>
    <m/>
    <m/>
    <m/>
    <m/>
    <m/>
    <m/>
    <m/>
    <n v="1"/>
    <m/>
    <m/>
    <m/>
    <n v="3"/>
  </r>
  <r>
    <x v="8"/>
    <x v="1"/>
    <n v="31349"/>
    <x v="1"/>
    <x v="0"/>
    <s v="PRAVASTATIN SOD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9"/>
    <x v="1"/>
    <n v="1865"/>
    <x v="0"/>
    <x v="3"/>
    <s v="OMEPRAZOLE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865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556"/>
    <x v="0"/>
    <x v="3"/>
    <s v="ESOMEPRAZOLE MAGNESIUM"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3812"/>
    <x v="0"/>
    <x v="1"/>
    <s v="RANITIDINE HCL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9"/>
    <x v="1"/>
    <n v="4951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5258"/>
    <x v="0"/>
    <x v="0"/>
    <s v="PRAVASTATIN SOD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9"/>
    <x v="1"/>
    <n v="5872"/>
    <x v="0"/>
    <x v="0"/>
    <s v="ATORVASTATIN CALCIUM"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2"/>
  </r>
  <r>
    <x v="9"/>
    <x v="1"/>
    <n v="5872"/>
    <x v="0"/>
    <x v="3"/>
    <s v="PANTOPRAZOLE MAGNESIUM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7244"/>
    <x v="0"/>
    <x v="3"/>
    <s v="OMEPRAZOLE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9"/>
    <x v="1"/>
    <n v="8050"/>
    <x v="0"/>
    <x v="3"/>
    <s v="PANTOPRAZOLE SOD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2"/>
  </r>
  <r>
    <x v="9"/>
    <x v="1"/>
    <n v="859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9"/>
    <x v="1"/>
    <n v="11345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1345"/>
    <x v="0"/>
    <x v="0"/>
    <s v="ROSUVASTATIN CALCIUM"/>
    <m/>
    <m/>
    <m/>
    <m/>
    <m/>
    <m/>
    <m/>
    <m/>
    <m/>
    <m/>
    <m/>
    <m/>
    <n v="1"/>
    <n v="1"/>
    <n v="2"/>
    <n v="1"/>
    <n v="1"/>
    <n v="2"/>
    <m/>
    <m/>
    <m/>
    <m/>
    <n v="1"/>
    <m/>
    <m/>
    <n v="2"/>
    <m/>
    <m/>
    <m/>
    <n v="11"/>
  </r>
  <r>
    <x v="9"/>
    <x v="1"/>
    <n v="11359"/>
    <x v="0"/>
    <x v="3"/>
    <s v="RABEPRAZOLE SODIUM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3"/>
  </r>
  <r>
    <x v="9"/>
    <x v="1"/>
    <n v="15147"/>
    <x v="0"/>
    <x v="3"/>
    <s v="RABEPRAZOLE SODIUM"/>
    <m/>
    <m/>
    <m/>
    <m/>
    <n v="1"/>
    <m/>
    <m/>
    <m/>
    <m/>
    <m/>
    <m/>
    <m/>
    <m/>
    <m/>
    <m/>
    <m/>
    <m/>
    <m/>
    <m/>
    <m/>
    <m/>
    <m/>
    <m/>
    <n v="1"/>
    <m/>
    <m/>
    <m/>
    <n v="1"/>
    <m/>
    <n v="3"/>
  </r>
  <r>
    <x v="9"/>
    <x v="1"/>
    <n v="20597"/>
    <x v="0"/>
    <x v="1"/>
    <s v="RANITIDINE HCL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9"/>
    <x v="1"/>
    <n v="2059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5633"/>
    <x v="0"/>
    <x v="1"/>
    <s v="RANITIDINE HCL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2"/>
  </r>
  <r>
    <x v="9"/>
    <x v="1"/>
    <n v="2563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479"/>
    <x v="0"/>
    <x v="3"/>
    <s v="RABEPRAZOLE SODIUM"/>
    <n v="1"/>
    <m/>
    <m/>
    <m/>
    <m/>
    <m/>
    <m/>
    <m/>
    <n v="1"/>
    <m/>
    <m/>
    <m/>
    <m/>
    <n v="1"/>
    <m/>
    <m/>
    <m/>
    <m/>
    <m/>
    <m/>
    <m/>
    <m/>
    <m/>
    <m/>
    <m/>
    <m/>
    <m/>
    <m/>
    <m/>
    <n v="3"/>
  </r>
  <r>
    <x v="9"/>
    <x v="1"/>
    <n v="26618"/>
    <x v="0"/>
    <x v="1"/>
    <s v="RANITIDINE HCL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9"/>
    <x v="1"/>
    <n v="26862"/>
    <x v="0"/>
    <x v="3"/>
    <s v="PANTOPRAZOLE MAGNES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9"/>
    <x v="1"/>
    <n v="29207"/>
    <x v="0"/>
    <x v="0"/>
    <s v="ATORVASTATIN CALCIUM"/>
    <m/>
    <n v="1"/>
    <m/>
    <m/>
    <m/>
    <m/>
    <m/>
    <m/>
    <m/>
    <m/>
    <m/>
    <m/>
    <m/>
    <m/>
    <m/>
    <m/>
    <n v="1"/>
    <m/>
    <m/>
    <m/>
    <n v="1"/>
    <m/>
    <m/>
    <n v="1"/>
    <m/>
    <m/>
    <m/>
    <m/>
    <m/>
    <n v="4"/>
  </r>
  <r>
    <x v="9"/>
    <x v="1"/>
    <n v="3143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04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04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03"/>
    <x v="1"/>
    <x v="3"/>
    <s v="PANTOPRAZOLE SODIUM"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n v="2"/>
  </r>
  <r>
    <x v="9"/>
    <x v="1"/>
    <n v="534"/>
    <x v="1"/>
    <x v="1"/>
    <s v="RANITIDINE HCL"/>
    <n v="1"/>
    <m/>
    <m/>
    <m/>
    <n v="1"/>
    <m/>
    <m/>
    <m/>
    <m/>
    <m/>
    <m/>
    <m/>
    <m/>
    <m/>
    <n v="1"/>
    <m/>
    <m/>
    <m/>
    <m/>
    <m/>
    <m/>
    <m/>
    <m/>
    <n v="1"/>
    <m/>
    <m/>
    <m/>
    <m/>
    <n v="1"/>
    <n v="5"/>
  </r>
  <r>
    <x v="9"/>
    <x v="1"/>
    <n v="1038"/>
    <x v="1"/>
    <x v="3"/>
    <s v="ESOMEPRAZOLE MAGNES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081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231"/>
    <x v="1"/>
    <x v="3"/>
    <s v="PANTOPRAZOLE MAGNES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9"/>
    <x v="1"/>
    <n v="1231"/>
    <x v="1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5392"/>
    <x v="1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9"/>
    <x v="1"/>
    <n v="5871"/>
    <x v="1"/>
    <x v="0"/>
    <s v="ATOR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9"/>
    <x v="1"/>
    <n v="607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807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9"/>
    <x v="1"/>
    <n v="8435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9"/>
    <x v="1"/>
    <n v="945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9475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9"/>
    <x v="1"/>
    <n v="9694"/>
    <x v="1"/>
    <x v="0"/>
    <s v="ROSUVASTATIN CALCIUM"/>
    <m/>
    <m/>
    <m/>
    <m/>
    <m/>
    <m/>
    <m/>
    <m/>
    <m/>
    <n v="1"/>
    <m/>
    <m/>
    <m/>
    <m/>
    <n v="2"/>
    <m/>
    <m/>
    <m/>
    <m/>
    <m/>
    <m/>
    <m/>
    <m/>
    <m/>
    <m/>
    <m/>
    <m/>
    <m/>
    <n v="1"/>
    <n v="4"/>
  </r>
  <r>
    <x v="9"/>
    <x v="1"/>
    <n v="1012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</r>
  <r>
    <x v="9"/>
    <x v="1"/>
    <n v="10140"/>
    <x v="1"/>
    <x v="1"/>
    <s v="RANITIDINE HCL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9"/>
    <x v="1"/>
    <n v="12317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9"/>
    <x v="1"/>
    <n v="12997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m/>
    <m/>
    <m/>
    <m/>
    <n v="1"/>
    <n v="3"/>
  </r>
  <r>
    <x v="9"/>
    <x v="1"/>
    <n v="13753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</r>
  <r>
    <x v="9"/>
    <x v="1"/>
    <n v="14747"/>
    <x v="1"/>
    <x v="0"/>
    <s v="ATORVASTATIN CALCIUM"/>
    <m/>
    <m/>
    <m/>
    <m/>
    <m/>
    <n v="1"/>
    <m/>
    <m/>
    <m/>
    <m/>
    <m/>
    <m/>
    <m/>
    <m/>
    <m/>
    <m/>
    <m/>
    <m/>
    <m/>
    <n v="2"/>
    <m/>
    <m/>
    <m/>
    <m/>
    <m/>
    <m/>
    <m/>
    <m/>
    <m/>
    <n v="3"/>
  </r>
  <r>
    <x v="9"/>
    <x v="1"/>
    <n v="16091"/>
    <x v="1"/>
    <x v="0"/>
    <s v="ATORVASTATIN CALC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664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8475"/>
    <x v="1"/>
    <x v="3"/>
    <s v="RABEPRAZOLE SODIUM"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n v="3"/>
  </r>
  <r>
    <x v="9"/>
    <x v="1"/>
    <n v="18915"/>
    <x v="1"/>
    <x v="0"/>
    <s v="ATORVASTATIN CALCIUM"/>
    <m/>
    <m/>
    <n v="1"/>
    <m/>
    <m/>
    <m/>
    <m/>
    <n v="1"/>
    <n v="1"/>
    <m/>
    <m/>
    <m/>
    <n v="1"/>
    <m/>
    <m/>
    <m/>
    <n v="1"/>
    <m/>
    <m/>
    <n v="1"/>
    <m/>
    <m/>
    <m/>
    <n v="1"/>
    <m/>
    <m/>
    <m/>
    <n v="1"/>
    <m/>
    <n v="8"/>
  </r>
  <r>
    <x v="9"/>
    <x v="1"/>
    <n v="1949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982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020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3207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4885"/>
    <x v="1"/>
    <x v="0"/>
    <s v="ATOR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2488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4885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4885"/>
    <x v="1"/>
    <x v="3"/>
    <s v="RABEPRAZOLE SODIUM"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n v="2"/>
  </r>
  <r>
    <x v="9"/>
    <x v="1"/>
    <n v="25652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285"/>
    <x v="1"/>
    <x v="0"/>
    <s v="ROSUVASTATIN CALCIUM"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n v="2"/>
  </r>
  <r>
    <x v="9"/>
    <x v="1"/>
    <n v="26318"/>
    <x v="1"/>
    <x v="3"/>
    <s v="PANTO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n v="2"/>
  </r>
  <r>
    <x v="9"/>
    <x v="1"/>
    <n v="2648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480"/>
    <x v="1"/>
    <x v="3"/>
    <s v="RABEPRAZOLE SODIUM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9"/>
    <x v="1"/>
    <n v="26482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</r>
  <r>
    <x v="9"/>
    <x v="1"/>
    <n v="26653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2"/>
  </r>
  <r>
    <x v="9"/>
    <x v="1"/>
    <n v="2668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896"/>
    <x v="1"/>
    <x v="3"/>
    <s v="PANTOPRAZOLE SOD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9"/>
    <x v="1"/>
    <n v="26906"/>
    <x v="1"/>
    <x v="1"/>
    <s v="CIMETIDINE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9"/>
    <x v="1"/>
    <n v="2690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906"/>
    <x v="1"/>
    <x v="3"/>
    <s v="OMEPRAZOLE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9"/>
    <x v="1"/>
    <n v="26906"/>
    <x v="1"/>
    <x v="3"/>
    <s v="RABEPRAZOLE SODIUM"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n v="2"/>
  </r>
  <r>
    <x v="9"/>
    <x v="1"/>
    <n v="27592"/>
    <x v="1"/>
    <x v="0"/>
    <s v="ATORVASTATIN CALCIUM"/>
    <m/>
    <m/>
    <m/>
    <m/>
    <m/>
    <m/>
    <m/>
    <m/>
    <m/>
    <m/>
    <m/>
    <m/>
    <n v="1"/>
    <m/>
    <m/>
    <n v="1"/>
    <m/>
    <m/>
    <m/>
    <m/>
    <n v="1"/>
    <m/>
    <m/>
    <m/>
    <m/>
    <m/>
    <m/>
    <n v="1"/>
    <m/>
    <n v="4"/>
  </r>
  <r>
    <x v="9"/>
    <x v="1"/>
    <n v="28304"/>
    <x v="1"/>
    <x v="0"/>
    <s v="ATOR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9"/>
    <x v="1"/>
    <n v="28373"/>
    <x v="1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9"/>
    <x v="1"/>
    <n v="2946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0062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2614"/>
    <x v="1"/>
    <x v="3"/>
    <s v="PANTOPRAZOLE SODIUM"/>
    <m/>
    <m/>
    <m/>
    <m/>
    <n v="1"/>
    <m/>
    <m/>
    <m/>
    <m/>
    <m/>
    <m/>
    <n v="1"/>
    <m/>
    <m/>
    <m/>
    <m/>
    <m/>
    <m/>
    <m/>
    <m/>
    <m/>
    <m/>
    <m/>
    <m/>
    <m/>
    <m/>
    <m/>
    <n v="1"/>
    <m/>
    <n v="3"/>
  </r>
  <r>
    <x v="9"/>
    <x v="1"/>
    <n v="32846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n v="1"/>
    <m/>
    <m/>
    <m/>
    <m/>
    <n v="3"/>
  </r>
  <r>
    <x v="9"/>
    <x v="1"/>
    <n v="3337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63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03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472"/>
    <x v="0"/>
    <x v="1"/>
    <s v="CIMETIDINE"/>
    <n v="2"/>
    <m/>
    <m/>
    <m/>
    <m/>
    <m/>
    <m/>
    <n v="1"/>
    <m/>
    <m/>
    <m/>
    <n v="1"/>
    <m/>
    <m/>
    <m/>
    <m/>
    <n v="1"/>
    <m/>
    <m/>
    <n v="1"/>
    <m/>
    <m/>
    <m/>
    <n v="1"/>
    <m/>
    <m/>
    <m/>
    <n v="1"/>
    <m/>
    <n v="8"/>
  </r>
  <r>
    <x v="9"/>
    <x v="1"/>
    <n v="4700"/>
    <x v="0"/>
    <x v="3"/>
    <s v="RABEPRAZOLE SODIUM"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n v="2"/>
  </r>
  <r>
    <x v="9"/>
    <x v="1"/>
    <n v="4941"/>
    <x v="0"/>
    <x v="0"/>
    <s v="LO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4941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5551"/>
    <x v="0"/>
    <x v="1"/>
    <s v="RANITIDINE HCL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5551"/>
    <x v="0"/>
    <x v="3"/>
    <s v="OMEPRAZOLE"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n v="2"/>
  </r>
  <r>
    <x v="9"/>
    <x v="1"/>
    <n v="6406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8047"/>
    <x v="0"/>
    <x v="3"/>
    <s v="OMEPRAZOLE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9"/>
    <x v="1"/>
    <n v="8582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8664"/>
    <x v="0"/>
    <x v="3"/>
    <s v="RABEPRAZOLE SODIUM"/>
    <m/>
    <m/>
    <m/>
    <m/>
    <m/>
    <m/>
    <m/>
    <m/>
    <m/>
    <m/>
    <m/>
    <m/>
    <n v="2"/>
    <m/>
    <m/>
    <m/>
    <m/>
    <m/>
    <m/>
    <m/>
    <m/>
    <m/>
    <m/>
    <m/>
    <m/>
    <n v="1"/>
    <m/>
    <m/>
    <m/>
    <n v="3"/>
  </r>
  <r>
    <x v="9"/>
    <x v="1"/>
    <n v="11746"/>
    <x v="0"/>
    <x v="3"/>
    <s v="PANTOPRAZOLE SODIUM"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n v="2"/>
  </r>
  <r>
    <x v="9"/>
    <x v="1"/>
    <n v="13742"/>
    <x v="0"/>
    <x v="3"/>
    <s v="LANSOPRAZOLE"/>
    <m/>
    <n v="1"/>
    <m/>
    <m/>
    <m/>
    <m/>
    <m/>
    <m/>
    <m/>
    <m/>
    <m/>
    <m/>
    <m/>
    <m/>
    <m/>
    <m/>
    <m/>
    <m/>
    <m/>
    <m/>
    <n v="2"/>
    <m/>
    <m/>
    <m/>
    <m/>
    <m/>
    <m/>
    <m/>
    <m/>
    <n v="3"/>
  </r>
  <r>
    <x v="9"/>
    <x v="1"/>
    <n v="14437"/>
    <x v="0"/>
    <x v="3"/>
    <s v="ESOMEPRAZOLE MAGNES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9"/>
    <x v="1"/>
    <n v="16232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6232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7223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9412"/>
    <x v="0"/>
    <x v="3"/>
    <s v="RABEPRAZOLE SOD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9"/>
    <x v="1"/>
    <n v="19722"/>
    <x v="0"/>
    <x v="3"/>
    <s v="OMEPRAZOLE"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9"/>
    <x v="1"/>
    <n v="19722"/>
    <x v="0"/>
    <x v="3"/>
    <s v="OMEPRAZOLE MAGNESIUM"/>
    <m/>
    <n v="1"/>
    <m/>
    <m/>
    <m/>
    <n v="1"/>
    <m/>
    <m/>
    <m/>
    <m/>
    <m/>
    <n v="1"/>
    <m/>
    <m/>
    <m/>
    <m/>
    <m/>
    <n v="1"/>
    <m/>
    <m/>
    <m/>
    <m/>
    <m/>
    <n v="1"/>
    <m/>
    <m/>
    <m/>
    <m/>
    <m/>
    <n v="5"/>
  </r>
  <r>
    <x v="9"/>
    <x v="1"/>
    <n v="20002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0002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0002"/>
    <x v="0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1982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198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2636"/>
    <x v="0"/>
    <x v="3"/>
    <s v="OMEPRAZOLE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9"/>
    <x v="1"/>
    <n v="2286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814"/>
    <x v="0"/>
    <x v="1"/>
    <s v="RANITIDINE HCL"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n v="2"/>
  </r>
  <r>
    <x v="9"/>
    <x v="1"/>
    <n v="2953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300"/>
    <x v="0"/>
    <x v="3"/>
    <s v="PANTOPRAZOLE SODIUM"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n v="2"/>
  </r>
  <r>
    <x v="9"/>
    <x v="1"/>
    <n v="33519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72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078"/>
    <x v="1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9"/>
    <x v="1"/>
    <n v="207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9"/>
    <x v="1"/>
    <n v="2538"/>
    <x v="1"/>
    <x v="1"/>
    <s v="RANITIDINE HCL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9"/>
    <x v="1"/>
    <n v="3377"/>
    <x v="1"/>
    <x v="0"/>
    <s v="ATORVASTATIN CALCIUM"/>
    <n v="1"/>
    <m/>
    <n v="1"/>
    <m/>
    <n v="1"/>
    <m/>
    <m/>
    <n v="1"/>
    <m/>
    <n v="1"/>
    <m/>
    <n v="1"/>
    <m/>
    <n v="1"/>
    <m/>
    <n v="1"/>
    <m/>
    <n v="1"/>
    <m/>
    <n v="1"/>
    <m/>
    <n v="1"/>
    <m/>
    <n v="1"/>
    <m/>
    <m/>
    <m/>
    <n v="1"/>
    <m/>
    <n v="13"/>
  </r>
  <r>
    <x v="9"/>
    <x v="1"/>
    <n v="337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962"/>
    <x v="1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9"/>
    <x v="1"/>
    <n v="4449"/>
    <x v="1"/>
    <x v="0"/>
    <s v="PRAVASTATIN SOD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9"/>
    <x v="1"/>
    <n v="5550"/>
    <x v="1"/>
    <x v="2"/>
    <s v="MISOPROSTOL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5782"/>
    <x v="1"/>
    <x v="3"/>
    <s v="OMEPRAZOLE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9"/>
    <x v="1"/>
    <n v="5782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5808"/>
    <x v="1"/>
    <x v="1"/>
    <s v="RANITIDINE HCL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5808"/>
    <x v="1"/>
    <x v="3"/>
    <s v="PANTOPRAZOLE MAGNESIUM"/>
    <m/>
    <m/>
    <m/>
    <m/>
    <m/>
    <m/>
    <m/>
    <m/>
    <n v="3"/>
    <n v="1"/>
    <n v="2"/>
    <m/>
    <m/>
    <m/>
    <m/>
    <m/>
    <m/>
    <m/>
    <m/>
    <m/>
    <m/>
    <m/>
    <m/>
    <m/>
    <m/>
    <m/>
    <m/>
    <m/>
    <m/>
    <n v="6"/>
  </r>
  <r>
    <x v="9"/>
    <x v="1"/>
    <n v="5808"/>
    <x v="1"/>
    <x v="3"/>
    <s v="PANTOPRAZOLE SOD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9"/>
    <x v="1"/>
    <n v="6781"/>
    <x v="1"/>
    <x v="1"/>
    <s v="RANITIDINE HCL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9"/>
    <x v="1"/>
    <n v="678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680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7588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7588"/>
    <x v="1"/>
    <x v="0"/>
    <s v="SIMVASTATIN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7732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7732"/>
    <x v="1"/>
    <x v="3"/>
    <s v="PANTOPRAZOLE SOD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9"/>
    <x v="1"/>
    <n v="8046"/>
    <x v="1"/>
    <x v="0"/>
    <s v="ATORVASTATIN CALC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9"/>
    <x v="1"/>
    <n v="8091"/>
    <x v="1"/>
    <x v="3"/>
    <s v="RABEPRAZOLE SODIUM"/>
    <m/>
    <m/>
    <m/>
    <n v="1"/>
    <m/>
    <m/>
    <m/>
    <m/>
    <n v="1"/>
    <m/>
    <m/>
    <m/>
    <n v="1"/>
    <m/>
    <m/>
    <m/>
    <n v="1"/>
    <m/>
    <m/>
    <m/>
    <n v="1"/>
    <m/>
    <m/>
    <m/>
    <m/>
    <m/>
    <m/>
    <m/>
    <m/>
    <n v="5"/>
  </r>
  <r>
    <x v="9"/>
    <x v="1"/>
    <n v="8420"/>
    <x v="1"/>
    <x v="0"/>
    <s v="ROSUVASTATIN CALCIUM"/>
    <n v="1"/>
    <m/>
    <m/>
    <m/>
    <n v="1"/>
    <m/>
    <m/>
    <m/>
    <m/>
    <n v="1"/>
    <m/>
    <m/>
    <m/>
    <n v="1"/>
    <m/>
    <m/>
    <m/>
    <n v="1"/>
    <m/>
    <m/>
    <m/>
    <m/>
    <m/>
    <m/>
    <m/>
    <m/>
    <m/>
    <m/>
    <m/>
    <n v="5"/>
  </r>
  <r>
    <x v="9"/>
    <x v="1"/>
    <n v="8614"/>
    <x v="1"/>
    <x v="3"/>
    <s v="RABEPRAZOLE SOD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</r>
  <r>
    <x v="9"/>
    <x v="1"/>
    <n v="903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9386"/>
    <x v="1"/>
    <x v="0"/>
    <s v="SIMVASTATIN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2"/>
  </r>
  <r>
    <x v="9"/>
    <x v="1"/>
    <n v="9386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9464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9"/>
    <x v="1"/>
    <n v="9562"/>
    <x v="1"/>
    <x v="0"/>
    <s v="ATORVASTATIN CALCIUM"/>
    <m/>
    <m/>
    <m/>
    <m/>
    <m/>
    <m/>
    <m/>
    <m/>
    <n v="1"/>
    <m/>
    <m/>
    <m/>
    <m/>
    <m/>
    <m/>
    <m/>
    <m/>
    <m/>
    <m/>
    <m/>
    <n v="3"/>
    <m/>
    <m/>
    <m/>
    <m/>
    <m/>
    <m/>
    <m/>
    <m/>
    <n v="4"/>
  </r>
  <r>
    <x v="9"/>
    <x v="1"/>
    <n v="10103"/>
    <x v="1"/>
    <x v="3"/>
    <s v="RABEPRAZOLE SODIUM"/>
    <m/>
    <m/>
    <m/>
    <m/>
    <m/>
    <m/>
    <m/>
    <m/>
    <n v="2"/>
    <m/>
    <m/>
    <m/>
    <m/>
    <m/>
    <m/>
    <m/>
    <m/>
    <m/>
    <m/>
    <m/>
    <m/>
    <n v="1"/>
    <m/>
    <m/>
    <m/>
    <m/>
    <m/>
    <m/>
    <m/>
    <n v="3"/>
  </r>
  <r>
    <x v="9"/>
    <x v="1"/>
    <n v="12312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9"/>
    <x v="1"/>
    <n v="12312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2312"/>
    <x v="1"/>
    <x v="3"/>
    <s v="RABEPRAZOLE SODIUM"/>
    <n v="1"/>
    <m/>
    <m/>
    <m/>
    <n v="1"/>
    <m/>
    <m/>
    <m/>
    <m/>
    <m/>
    <n v="1"/>
    <m/>
    <m/>
    <n v="1"/>
    <m/>
    <m/>
    <m/>
    <m/>
    <n v="1"/>
    <m/>
    <m/>
    <m/>
    <m/>
    <m/>
    <m/>
    <m/>
    <m/>
    <m/>
    <m/>
    <n v="5"/>
  </r>
  <r>
    <x v="9"/>
    <x v="1"/>
    <n v="12743"/>
    <x v="1"/>
    <x v="1"/>
    <s v="RANITIDINE HCL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n v="2"/>
  </r>
  <r>
    <x v="9"/>
    <x v="1"/>
    <n v="13535"/>
    <x v="1"/>
    <x v="3"/>
    <s v="RABEPRAZOLE SOD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9"/>
    <x v="1"/>
    <n v="1499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508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6033"/>
    <x v="1"/>
    <x v="3"/>
    <s v="RABEPRAZOLE SODIUM"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</r>
  <r>
    <x v="9"/>
    <x v="1"/>
    <n v="16202"/>
    <x v="1"/>
    <x v="3"/>
    <s v="PANTOPRAZOLE MAGNESIUM"/>
    <n v="1"/>
    <m/>
    <m/>
    <m/>
    <n v="1"/>
    <m/>
    <m/>
    <m/>
    <m/>
    <m/>
    <n v="1"/>
    <m/>
    <m/>
    <m/>
    <n v="1"/>
    <m/>
    <m/>
    <m/>
    <m/>
    <m/>
    <m/>
    <m/>
    <m/>
    <m/>
    <m/>
    <m/>
    <m/>
    <n v="1"/>
    <m/>
    <n v="5"/>
  </r>
  <r>
    <x v="9"/>
    <x v="1"/>
    <n v="1744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9"/>
    <x v="1"/>
    <n v="17448"/>
    <x v="1"/>
    <x v="3"/>
    <s v="PANTOPRAZOLE SODIUM"/>
    <m/>
    <m/>
    <m/>
    <m/>
    <m/>
    <m/>
    <m/>
    <m/>
    <m/>
    <m/>
    <m/>
    <m/>
    <m/>
    <m/>
    <m/>
    <m/>
    <m/>
    <m/>
    <m/>
    <m/>
    <n v="4"/>
    <m/>
    <m/>
    <m/>
    <m/>
    <m/>
    <m/>
    <m/>
    <m/>
    <n v="4"/>
  </r>
  <r>
    <x v="9"/>
    <x v="1"/>
    <n v="17950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9"/>
    <x v="1"/>
    <n v="17950"/>
    <x v="1"/>
    <x v="3"/>
    <s v="RABEPRAZOLE SODIUM"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n v="3"/>
  </r>
  <r>
    <x v="9"/>
    <x v="1"/>
    <n v="18034"/>
    <x v="1"/>
    <x v="0"/>
    <s v="ATORVASTATIN CALCIUM"/>
    <m/>
    <m/>
    <m/>
    <m/>
    <n v="1"/>
    <m/>
    <m/>
    <m/>
    <n v="1"/>
    <m/>
    <m/>
    <m/>
    <m/>
    <m/>
    <m/>
    <n v="1"/>
    <m/>
    <m/>
    <m/>
    <n v="1"/>
    <m/>
    <m/>
    <m/>
    <n v="1"/>
    <m/>
    <m/>
    <m/>
    <m/>
    <m/>
    <n v="5"/>
  </r>
  <r>
    <x v="9"/>
    <x v="1"/>
    <n v="18703"/>
    <x v="1"/>
    <x v="3"/>
    <s v="PANTOPRAZOLE MAGNES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9"/>
    <x v="1"/>
    <n v="19004"/>
    <x v="1"/>
    <x v="3"/>
    <s v="PANTOPRAZOLE SODIUM"/>
    <m/>
    <m/>
    <m/>
    <m/>
    <m/>
    <n v="2"/>
    <m/>
    <m/>
    <m/>
    <m/>
    <n v="1"/>
    <m/>
    <m/>
    <m/>
    <n v="1"/>
    <m/>
    <m/>
    <n v="2"/>
    <m/>
    <m/>
    <m/>
    <m/>
    <m/>
    <n v="1"/>
    <m/>
    <m/>
    <m/>
    <n v="1"/>
    <m/>
    <n v="8"/>
  </r>
  <r>
    <x v="9"/>
    <x v="1"/>
    <n v="19954"/>
    <x v="1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1663"/>
    <x v="1"/>
    <x v="3"/>
    <s v="RABEPRAZOLE SODIUM"/>
    <m/>
    <m/>
    <m/>
    <m/>
    <m/>
    <n v="1"/>
    <m/>
    <m/>
    <m/>
    <m/>
    <m/>
    <m/>
    <m/>
    <m/>
    <n v="1"/>
    <m/>
    <m/>
    <m/>
    <m/>
    <m/>
    <m/>
    <m/>
    <m/>
    <m/>
    <m/>
    <n v="1"/>
    <m/>
    <m/>
    <m/>
    <n v="3"/>
  </r>
  <r>
    <x v="9"/>
    <x v="1"/>
    <n v="23766"/>
    <x v="1"/>
    <x v="3"/>
    <s v="ESOMEPRAZOLE MAGNES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9"/>
    <x v="1"/>
    <n v="2376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61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610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839"/>
    <x v="1"/>
    <x v="3"/>
    <s v="PANTOPRAZOLE SODIUM"/>
    <m/>
    <m/>
    <m/>
    <m/>
    <m/>
    <m/>
    <m/>
    <n v="1"/>
    <m/>
    <m/>
    <m/>
    <n v="1"/>
    <m/>
    <m/>
    <m/>
    <n v="2"/>
    <m/>
    <m/>
    <m/>
    <m/>
    <m/>
    <m/>
    <m/>
    <m/>
    <m/>
    <m/>
    <m/>
    <m/>
    <m/>
    <n v="4"/>
  </r>
  <r>
    <x v="9"/>
    <x v="1"/>
    <n v="27144"/>
    <x v="1"/>
    <x v="3"/>
    <s v="OMEPRAZOLE"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n v="2"/>
  </r>
  <r>
    <x v="9"/>
    <x v="1"/>
    <n v="28140"/>
    <x v="1"/>
    <x v="3"/>
    <s v="PANTOPRAZOLE MAGNESIUM"/>
    <n v="1"/>
    <m/>
    <m/>
    <m/>
    <n v="1"/>
    <m/>
    <m/>
    <m/>
    <n v="1"/>
    <m/>
    <m/>
    <m/>
    <m/>
    <m/>
    <m/>
    <m/>
    <m/>
    <m/>
    <m/>
    <m/>
    <m/>
    <m/>
    <m/>
    <n v="1"/>
    <n v="1"/>
    <m/>
    <m/>
    <m/>
    <m/>
    <n v="5"/>
  </r>
  <r>
    <x v="9"/>
    <x v="1"/>
    <n v="28572"/>
    <x v="1"/>
    <x v="3"/>
    <s v="PANTOPRAZOLE MAGNES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9"/>
    <x v="1"/>
    <n v="2995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0421"/>
    <x v="1"/>
    <x v="3"/>
    <s v="LANSOPRAZOLE"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n v="3"/>
  </r>
  <r>
    <x v="9"/>
    <x v="1"/>
    <n v="30441"/>
    <x v="1"/>
    <x v="1"/>
    <s v="RANITIDINE HCL"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</r>
  <r>
    <x v="9"/>
    <x v="1"/>
    <n v="30441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2634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2709"/>
    <x v="1"/>
    <x v="3"/>
    <s v="PANTOPRAZOLE SODIUM"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2"/>
  </r>
  <r>
    <x v="9"/>
    <x v="1"/>
    <n v="3312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9"/>
    <x v="1"/>
    <n v="33263"/>
    <x v="1"/>
    <x v="3"/>
    <s v="RABEPRAZOLE SODIUM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9"/>
    <x v="1"/>
    <n v="33715"/>
    <x v="1"/>
    <x v="0"/>
    <s v="ROSUVASTATIN CALCIUM"/>
    <m/>
    <m/>
    <m/>
    <m/>
    <m/>
    <m/>
    <m/>
    <m/>
    <n v="1"/>
    <m/>
    <m/>
    <m/>
    <m/>
    <m/>
    <n v="1"/>
    <m/>
    <m/>
    <m/>
    <m/>
    <m/>
    <m/>
    <m/>
    <m/>
    <m/>
    <m/>
    <m/>
    <m/>
    <n v="1"/>
    <m/>
    <n v="3"/>
  </r>
  <r>
    <x v="9"/>
    <x v="1"/>
    <n v="773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7733"/>
    <x v="0"/>
    <x v="3"/>
    <s v="PANTOPRAZOLE SODIUM"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n v="2"/>
  </r>
  <r>
    <x v="9"/>
    <x v="1"/>
    <n v="2376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6365"/>
    <x v="0"/>
    <x v="3"/>
    <s v="OMEPRAZOLE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9"/>
    <x v="1"/>
    <n v="29000"/>
    <x v="0"/>
    <x v="7"/>
    <s v="PINAVERIUM BROMIDE"/>
    <m/>
    <m/>
    <m/>
    <m/>
    <m/>
    <n v="1"/>
    <m/>
    <m/>
    <m/>
    <m/>
    <m/>
    <m/>
    <n v="1"/>
    <m/>
    <m/>
    <m/>
    <n v="1"/>
    <m/>
    <m/>
    <m/>
    <m/>
    <m/>
    <m/>
    <m/>
    <m/>
    <m/>
    <m/>
    <m/>
    <m/>
    <n v="3"/>
  </r>
  <r>
    <x v="9"/>
    <x v="1"/>
    <n v="19857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132"/>
    <x v="0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9"/>
    <x v="1"/>
    <n v="2109"/>
    <x v="0"/>
    <x v="3"/>
    <s v="PANTOPRAZOLE MAGNES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9"/>
    <x v="1"/>
    <n v="2833"/>
    <x v="0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9"/>
    <x v="1"/>
    <n v="4208"/>
    <x v="0"/>
    <x v="3"/>
    <s v="OMEPRAZOLE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9"/>
    <x v="1"/>
    <n v="5567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556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808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2"/>
  </r>
  <r>
    <x v="9"/>
    <x v="1"/>
    <n v="4449"/>
    <x v="1"/>
    <x v="3"/>
    <s v="PANTOPRAZOLE SODIUM"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n v="4"/>
  </r>
  <r>
    <x v="9"/>
    <x v="1"/>
    <n v="5055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505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4912"/>
    <x v="1"/>
    <x v="3"/>
    <s v="OMEPRAZOLE"/>
    <n v="1"/>
    <m/>
    <m/>
    <m/>
    <m/>
    <m/>
    <m/>
    <m/>
    <m/>
    <n v="1"/>
    <m/>
    <m/>
    <m/>
    <m/>
    <m/>
    <m/>
    <m/>
    <m/>
    <m/>
    <m/>
    <m/>
    <m/>
    <n v="1"/>
    <m/>
    <m/>
    <m/>
    <m/>
    <m/>
    <m/>
    <n v="3"/>
  </r>
  <r>
    <x v="9"/>
    <x v="1"/>
    <n v="30019"/>
    <x v="1"/>
    <x v="3"/>
    <s v="OMEPRAZOLE"/>
    <m/>
    <m/>
    <m/>
    <m/>
    <m/>
    <n v="1"/>
    <m/>
    <m/>
    <m/>
    <m/>
    <n v="1"/>
    <m/>
    <m/>
    <m/>
    <m/>
    <m/>
    <m/>
    <m/>
    <m/>
    <m/>
    <m/>
    <m/>
    <m/>
    <m/>
    <m/>
    <n v="1"/>
    <m/>
    <m/>
    <m/>
    <n v="3"/>
  </r>
  <r>
    <x v="9"/>
    <x v="1"/>
    <n v="30019"/>
    <x v="1"/>
    <x v="3"/>
    <s v="PANTOPRAZOLE MAGNES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11345"/>
    <x v="0"/>
    <x v="1"/>
    <s v="RANITIDINE HCL"/>
    <m/>
    <m/>
    <m/>
    <m/>
    <m/>
    <m/>
    <m/>
    <m/>
    <m/>
    <m/>
    <m/>
    <m/>
    <n v="1"/>
    <n v="1"/>
    <n v="2"/>
    <n v="1"/>
    <n v="1"/>
    <n v="2"/>
    <m/>
    <m/>
    <m/>
    <m/>
    <n v="1"/>
    <m/>
    <m/>
    <n v="1"/>
    <m/>
    <m/>
    <m/>
    <n v="10"/>
  </r>
  <r>
    <x v="9"/>
    <x v="1"/>
    <n v="962"/>
    <x v="1"/>
    <x v="1"/>
    <s v="RANITIDINE HCL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9"/>
    <x v="1"/>
    <n v="5989"/>
    <x v="1"/>
    <x v="1"/>
    <s v="RANITIDINE HCL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9"/>
    <x v="1"/>
    <n v="27592"/>
    <x v="1"/>
    <x v="3"/>
    <s v="OMEPRAZOLE"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</r>
  <r>
    <x v="9"/>
    <x v="1"/>
    <n v="28806"/>
    <x v="1"/>
    <x v="1"/>
    <s v="RANITIDINE HCL"/>
    <m/>
    <n v="2"/>
    <m/>
    <m/>
    <m/>
    <m/>
    <m/>
    <m/>
    <m/>
    <n v="1"/>
    <m/>
    <m/>
    <m/>
    <m/>
    <m/>
    <m/>
    <m/>
    <m/>
    <m/>
    <m/>
    <m/>
    <n v="1"/>
    <m/>
    <m/>
    <m/>
    <m/>
    <m/>
    <m/>
    <m/>
    <n v="4"/>
  </r>
  <r>
    <x v="9"/>
    <x v="1"/>
    <n v="9356"/>
    <x v="0"/>
    <x v="3"/>
    <s v="PANTO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9"/>
  </r>
  <r>
    <x v="9"/>
    <x v="1"/>
    <n v="20479"/>
    <x v="0"/>
    <x v="3"/>
    <s v="PANTO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9"/>
    <x v="1"/>
    <n v="221"/>
    <x v="1"/>
    <x v="3"/>
    <s v="RABEPRAZOLE SODIUM"/>
    <m/>
    <n v="2"/>
    <m/>
    <m/>
    <m/>
    <m/>
    <m/>
    <m/>
    <m/>
    <m/>
    <m/>
    <m/>
    <m/>
    <m/>
    <m/>
    <m/>
    <n v="1"/>
    <m/>
    <m/>
    <m/>
    <m/>
    <m/>
    <m/>
    <m/>
    <m/>
    <m/>
    <m/>
    <m/>
    <m/>
    <n v="3"/>
  </r>
  <r>
    <x v="9"/>
    <x v="1"/>
    <n v="613"/>
    <x v="1"/>
    <x v="1"/>
    <s v="RANITIDINE HCL"/>
    <m/>
    <m/>
    <m/>
    <n v="1"/>
    <m/>
    <m/>
    <m/>
    <m/>
    <m/>
    <m/>
    <m/>
    <m/>
    <n v="1"/>
    <m/>
    <m/>
    <m/>
    <m/>
    <m/>
    <m/>
    <m/>
    <m/>
    <n v="1"/>
    <m/>
    <m/>
    <m/>
    <m/>
    <m/>
    <m/>
    <m/>
    <n v="3"/>
  </r>
  <r>
    <x v="9"/>
    <x v="1"/>
    <n v="3962"/>
    <x v="1"/>
    <x v="3"/>
    <s v="OMEPRAZOLE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3962"/>
    <x v="1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962"/>
    <x v="1"/>
    <x v="3"/>
    <s v="PANTOPRAZOLE MAGNES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9"/>
    <x v="1"/>
    <n v="8420"/>
    <x v="1"/>
    <x v="3"/>
    <s v="ESOMEPRAZOLE MAGNESIUM"/>
    <n v="1"/>
    <m/>
    <m/>
    <m/>
    <n v="1"/>
    <m/>
    <m/>
    <m/>
    <m/>
    <n v="2"/>
    <m/>
    <m/>
    <m/>
    <n v="1"/>
    <m/>
    <m/>
    <m/>
    <n v="2"/>
    <m/>
    <m/>
    <m/>
    <m/>
    <m/>
    <m/>
    <m/>
    <m/>
    <m/>
    <m/>
    <m/>
    <n v="7"/>
  </r>
  <r>
    <x v="9"/>
    <x v="1"/>
    <n v="9464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9"/>
    <x v="1"/>
    <n v="13383"/>
    <x v="1"/>
    <x v="1"/>
    <s v="RANITIDINE HCL"/>
    <n v="1"/>
    <n v="1"/>
    <n v="1"/>
    <n v="3"/>
    <m/>
    <n v="1"/>
    <m/>
    <n v="1"/>
    <n v="1"/>
    <n v="1"/>
    <n v="1"/>
    <n v="1"/>
    <n v="1"/>
    <n v="2"/>
    <m/>
    <m/>
    <n v="2"/>
    <n v="1"/>
    <n v="2"/>
    <n v="1"/>
    <n v="1"/>
    <n v="1"/>
    <n v="1"/>
    <n v="1"/>
    <m/>
    <n v="1"/>
    <n v="1"/>
    <m/>
    <n v="1"/>
    <n v="28"/>
  </r>
  <r>
    <x v="9"/>
    <x v="1"/>
    <n v="18034"/>
    <x v="1"/>
    <x v="1"/>
    <s v="RANITIDINE HCL"/>
    <m/>
    <m/>
    <m/>
    <m/>
    <n v="1"/>
    <m/>
    <m/>
    <m/>
    <n v="1"/>
    <m/>
    <m/>
    <m/>
    <m/>
    <m/>
    <m/>
    <n v="1"/>
    <m/>
    <m/>
    <m/>
    <n v="1"/>
    <m/>
    <m/>
    <m/>
    <n v="1"/>
    <m/>
    <m/>
    <m/>
    <m/>
    <m/>
    <n v="5"/>
  </r>
  <r>
    <x v="9"/>
    <x v="1"/>
    <n v="2995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9"/>
    <x v="1"/>
    <n v="3371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715"/>
    <x v="1"/>
    <x v="3"/>
    <s v="LANSOPRAZOLE"/>
    <m/>
    <m/>
    <n v="1"/>
    <m/>
    <m/>
    <m/>
    <m/>
    <m/>
    <m/>
    <m/>
    <m/>
    <m/>
    <m/>
    <m/>
    <m/>
    <m/>
    <m/>
    <m/>
    <n v="1"/>
    <m/>
    <m/>
    <m/>
    <m/>
    <n v="1"/>
    <m/>
    <m/>
    <m/>
    <m/>
    <m/>
    <n v="3"/>
  </r>
  <r>
    <x v="9"/>
    <x v="1"/>
    <n v="21700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0002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0002"/>
    <x v="0"/>
    <x v="3"/>
    <s v="RABEPRAZOLE SOD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723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6624"/>
    <x v="1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9"/>
    <x v="1"/>
    <n v="804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8046"/>
    <x v="1"/>
    <x v="3"/>
    <s v="PANTOPRAZOLE MAGNESIUM"/>
    <m/>
    <n v="1"/>
    <m/>
    <m/>
    <m/>
    <n v="2"/>
    <m/>
    <m/>
    <m/>
    <m/>
    <m/>
    <m/>
    <m/>
    <m/>
    <m/>
    <m/>
    <m/>
    <m/>
    <m/>
    <m/>
    <m/>
    <m/>
    <m/>
    <n v="1"/>
    <m/>
    <m/>
    <m/>
    <m/>
    <m/>
    <n v="4"/>
  </r>
  <r>
    <x v="9"/>
    <x v="1"/>
    <n v="8046"/>
    <x v="1"/>
    <x v="3"/>
    <s v="PANTO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9"/>
    <x v="1"/>
    <n v="1667"/>
    <x v="0"/>
    <x v="0"/>
    <s v="ATOR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9"/>
    <x v="1"/>
    <n v="2322"/>
    <x v="0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3556"/>
    <x v="0"/>
    <x v="0"/>
    <s v="ROSUVASTATIN CALCIUM"/>
    <m/>
    <n v="2"/>
    <m/>
    <n v="2"/>
    <m/>
    <n v="2"/>
    <m/>
    <m/>
    <n v="2"/>
    <m/>
    <n v="2"/>
    <m/>
    <m/>
    <m/>
    <m/>
    <m/>
    <m/>
    <m/>
    <m/>
    <m/>
    <m/>
    <m/>
    <m/>
    <m/>
    <m/>
    <m/>
    <m/>
    <m/>
    <m/>
    <n v="10"/>
  </r>
  <r>
    <x v="9"/>
    <x v="1"/>
    <n v="3963"/>
    <x v="0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9"/>
    <x v="1"/>
    <n v="8050"/>
    <x v="0"/>
    <x v="0"/>
    <s v="ROSU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9"/>
    <x v="1"/>
    <n v="11987"/>
    <x v="0"/>
    <x v="0"/>
    <s v="SIMVASTATIN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9"/>
    <x v="1"/>
    <n v="25633"/>
    <x v="0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n v="3"/>
  </r>
  <r>
    <x v="9"/>
    <x v="1"/>
    <n v="28462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271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336"/>
    <x v="1"/>
    <x v="0"/>
    <s v="ATORVASTATIN CALCIUM"/>
    <m/>
    <m/>
    <m/>
    <n v="1"/>
    <m/>
    <m/>
    <m/>
    <m/>
    <m/>
    <m/>
    <m/>
    <m/>
    <m/>
    <n v="1"/>
    <m/>
    <m/>
    <m/>
    <m/>
    <m/>
    <m/>
    <m/>
    <m/>
    <m/>
    <n v="1"/>
    <m/>
    <m/>
    <m/>
    <m/>
    <m/>
    <n v="3"/>
  </r>
  <r>
    <x v="9"/>
    <x v="1"/>
    <n v="1038"/>
    <x v="1"/>
    <x v="0"/>
    <s v="SIMVASTATIN"/>
    <m/>
    <n v="1"/>
    <m/>
    <m/>
    <n v="1"/>
    <m/>
    <m/>
    <m/>
    <m/>
    <m/>
    <n v="1"/>
    <m/>
    <m/>
    <m/>
    <n v="2"/>
    <m/>
    <m/>
    <m/>
    <m/>
    <m/>
    <m/>
    <m/>
    <m/>
    <m/>
    <m/>
    <m/>
    <m/>
    <m/>
    <m/>
    <n v="5"/>
  </r>
  <r>
    <x v="9"/>
    <x v="1"/>
    <n v="1488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4303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m/>
    <m/>
    <m/>
    <m/>
    <n v="1"/>
    <m/>
    <n v="3"/>
  </r>
  <r>
    <x v="9"/>
    <x v="1"/>
    <n v="6634"/>
    <x v="1"/>
    <x v="0"/>
    <s v="ROSU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9"/>
    <x v="1"/>
    <n v="8333"/>
    <x v="1"/>
    <x v="0"/>
    <s v="ROSU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9"/>
    <x v="1"/>
    <n v="9247"/>
    <x v="1"/>
    <x v="0"/>
    <s v="ROSU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9"/>
    <x v="1"/>
    <n v="9299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9"/>
    <x v="1"/>
    <n v="10196"/>
    <x v="1"/>
    <x v="0"/>
    <s v="ATORVASTATIN CALCIUM"/>
    <m/>
    <m/>
    <m/>
    <m/>
    <m/>
    <m/>
    <m/>
    <n v="1"/>
    <m/>
    <m/>
    <m/>
    <m/>
    <m/>
    <m/>
    <n v="2"/>
    <m/>
    <m/>
    <m/>
    <m/>
    <m/>
    <m/>
    <m/>
    <m/>
    <m/>
    <m/>
    <m/>
    <m/>
    <m/>
    <m/>
    <n v="3"/>
  </r>
  <r>
    <x v="9"/>
    <x v="1"/>
    <n v="1090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9"/>
    <x v="1"/>
    <n v="11809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1948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2136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366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6392"/>
    <x v="1"/>
    <x v="0"/>
    <s v="ROSUVASTATIN CALCIUM"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9"/>
    <x v="1"/>
    <n v="17455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8475"/>
    <x v="1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m/>
    <n v="1"/>
    <m/>
    <n v="3"/>
  </r>
  <r>
    <x v="9"/>
    <x v="1"/>
    <n v="19857"/>
    <x v="1"/>
    <x v="0"/>
    <s v="SIMVASTATIN"/>
    <m/>
    <m/>
    <m/>
    <n v="2"/>
    <m/>
    <m/>
    <m/>
    <m/>
    <m/>
    <n v="1"/>
    <m/>
    <m/>
    <m/>
    <m/>
    <n v="1"/>
    <m/>
    <m/>
    <m/>
    <n v="2"/>
    <m/>
    <m/>
    <n v="1"/>
    <m/>
    <m/>
    <m/>
    <n v="1"/>
    <m/>
    <m/>
    <m/>
    <n v="8"/>
  </r>
  <r>
    <x v="9"/>
    <x v="1"/>
    <n v="21715"/>
    <x v="1"/>
    <x v="0"/>
    <s v="ATORVASTATIN CALCIUM"/>
    <m/>
    <m/>
    <m/>
    <m/>
    <n v="1"/>
    <m/>
    <m/>
    <m/>
    <m/>
    <m/>
    <m/>
    <n v="1"/>
    <m/>
    <n v="1"/>
    <m/>
    <m/>
    <m/>
    <m/>
    <m/>
    <m/>
    <m/>
    <n v="1"/>
    <m/>
    <m/>
    <m/>
    <n v="1"/>
    <m/>
    <m/>
    <m/>
    <n v="5"/>
  </r>
  <r>
    <x v="9"/>
    <x v="1"/>
    <n v="26265"/>
    <x v="1"/>
    <x v="0"/>
    <s v="ROSUVASTATIN CALCIUM"/>
    <n v="1"/>
    <m/>
    <m/>
    <m/>
    <m/>
    <m/>
    <m/>
    <m/>
    <m/>
    <n v="2"/>
    <m/>
    <m/>
    <m/>
    <m/>
    <m/>
    <m/>
    <m/>
    <m/>
    <m/>
    <m/>
    <m/>
    <m/>
    <m/>
    <m/>
    <m/>
    <m/>
    <m/>
    <m/>
    <m/>
    <n v="3"/>
  </r>
  <r>
    <x v="9"/>
    <x v="1"/>
    <n v="26476"/>
    <x v="1"/>
    <x v="0"/>
    <s v="ROSUVASTATIN CALC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</r>
  <r>
    <x v="9"/>
    <x v="1"/>
    <n v="26896"/>
    <x v="1"/>
    <x v="0"/>
    <s v="ATOR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9"/>
    <x v="1"/>
    <n v="27114"/>
    <x v="1"/>
    <x v="0"/>
    <s v="ROSU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9"/>
    <x v="1"/>
    <n v="27896"/>
    <x v="1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</r>
  <r>
    <x v="9"/>
    <x v="1"/>
    <n v="27904"/>
    <x v="1"/>
    <x v="0"/>
    <s v="SIMVASTATIN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9"/>
    <x v="1"/>
    <n v="32387"/>
    <x v="1"/>
    <x v="0"/>
    <s v="SIMVASTATIN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9"/>
    <x v="1"/>
    <n v="2472"/>
    <x v="0"/>
    <x v="0"/>
    <s v="ATOR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8047"/>
    <x v="0"/>
    <x v="0"/>
    <s v="SIMVASTATIN"/>
    <m/>
    <n v="1"/>
    <m/>
    <n v="1"/>
    <m/>
    <m/>
    <m/>
    <m/>
    <m/>
    <m/>
    <m/>
    <m/>
    <m/>
    <m/>
    <m/>
    <m/>
    <m/>
    <m/>
    <m/>
    <m/>
    <n v="1"/>
    <m/>
    <m/>
    <m/>
    <m/>
    <m/>
    <m/>
    <m/>
    <m/>
    <n v="3"/>
  </r>
  <r>
    <x v="9"/>
    <x v="1"/>
    <n v="13804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n v="3"/>
  </r>
  <r>
    <x v="9"/>
    <x v="1"/>
    <n v="14748"/>
    <x v="0"/>
    <x v="0"/>
    <s v="ATORVASTATIN CALCIUM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2"/>
  </r>
  <r>
    <x v="9"/>
    <x v="1"/>
    <n v="19412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4258"/>
    <x v="1"/>
    <x v="0"/>
    <s v="ATORVASTATIN CALCIUM"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n v="2"/>
  </r>
  <r>
    <x v="9"/>
    <x v="1"/>
    <n v="5055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</r>
  <r>
    <x v="9"/>
    <x v="1"/>
    <n v="5696"/>
    <x v="1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9"/>
    <x v="1"/>
    <n v="5696"/>
    <x v="1"/>
    <x v="0"/>
    <s v="SIMVASTATIN"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n v="7"/>
  </r>
  <r>
    <x v="9"/>
    <x v="1"/>
    <n v="7732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8083"/>
    <x v="1"/>
    <x v="0"/>
    <s v="SIMVASTATIN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9"/>
    <x v="1"/>
    <n v="8614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9"/>
    <x v="1"/>
    <n v="9038"/>
    <x v="1"/>
    <x v="8"/>
    <s v="GEMFIBROZI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9"/>
    <x v="1"/>
    <n v="10794"/>
    <x v="1"/>
    <x v="0"/>
    <s v="ROSUVASTATIN CALCIUM"/>
    <m/>
    <m/>
    <n v="1"/>
    <m/>
    <m/>
    <m/>
    <m/>
    <m/>
    <m/>
    <m/>
    <m/>
    <m/>
    <m/>
    <m/>
    <n v="1"/>
    <m/>
    <m/>
    <m/>
    <n v="1"/>
    <m/>
    <m/>
    <m/>
    <n v="1"/>
    <m/>
    <m/>
    <n v="1"/>
    <m/>
    <m/>
    <m/>
    <n v="5"/>
  </r>
  <r>
    <x v="9"/>
    <x v="1"/>
    <n v="14775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9"/>
    <x v="1"/>
    <n v="16580"/>
    <x v="1"/>
    <x v="0"/>
    <s v="ATORVASTATIN CALCIUM"/>
    <m/>
    <m/>
    <m/>
    <m/>
    <n v="1"/>
    <m/>
    <m/>
    <m/>
    <m/>
    <m/>
    <m/>
    <m/>
    <m/>
    <m/>
    <m/>
    <m/>
    <n v="1"/>
    <m/>
    <m/>
    <m/>
    <m/>
    <m/>
    <m/>
    <m/>
    <m/>
    <m/>
    <n v="4"/>
    <m/>
    <m/>
    <n v="6"/>
  </r>
  <r>
    <x v="9"/>
    <x v="1"/>
    <n v="22291"/>
    <x v="1"/>
    <x v="0"/>
    <s v="ATORVASTATIN CALCIUM"/>
    <m/>
    <m/>
    <m/>
    <m/>
    <n v="1"/>
    <m/>
    <m/>
    <m/>
    <m/>
    <n v="1"/>
    <m/>
    <m/>
    <m/>
    <m/>
    <m/>
    <m/>
    <m/>
    <m/>
    <m/>
    <m/>
    <m/>
    <n v="1"/>
    <m/>
    <m/>
    <n v="1"/>
    <m/>
    <m/>
    <m/>
    <m/>
    <n v="4"/>
  </r>
  <r>
    <x v="9"/>
    <x v="1"/>
    <n v="27144"/>
    <x v="1"/>
    <x v="0"/>
    <s v="ROSUVASTATIN CALCIUM"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n v="2"/>
  </r>
  <r>
    <x v="9"/>
    <x v="1"/>
    <n v="29599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9"/>
    <x v="1"/>
    <n v="32709"/>
    <x v="1"/>
    <x v="0"/>
    <s v="ATORVASTATIN CALCIUM"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2"/>
  </r>
  <r>
    <x v="10"/>
    <x v="1"/>
    <n v="964"/>
    <x v="0"/>
    <x v="0"/>
    <s v="AMLODIPINE/ATORVASTATIN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2"/>
  </r>
  <r>
    <x v="10"/>
    <x v="1"/>
    <n v="1926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4260"/>
    <x v="0"/>
    <x v="0"/>
    <s v="PRAVASTATIN SODIUM"/>
    <n v="1"/>
    <m/>
    <m/>
    <m/>
    <n v="1"/>
    <m/>
    <m/>
    <m/>
    <m/>
    <n v="1"/>
    <m/>
    <m/>
    <n v="1"/>
    <m/>
    <m/>
    <m/>
    <n v="1"/>
    <m/>
    <m/>
    <m/>
    <n v="1"/>
    <m/>
    <n v="1"/>
    <m/>
    <m/>
    <m/>
    <m/>
    <m/>
    <m/>
    <n v="7"/>
  </r>
  <r>
    <x v="10"/>
    <x v="1"/>
    <n v="8058"/>
    <x v="0"/>
    <x v="0"/>
    <s v="SIMVASTATIN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0"/>
    <x v="1"/>
    <n v="8655"/>
    <x v="0"/>
    <x v="3"/>
    <s v="ESOMEPRAZOLE MAGNESIUM"/>
    <m/>
    <n v="1"/>
    <m/>
    <m/>
    <m/>
    <n v="1"/>
    <m/>
    <m/>
    <m/>
    <m/>
    <n v="1"/>
    <m/>
    <m/>
    <m/>
    <n v="1"/>
    <m/>
    <m/>
    <m/>
    <m/>
    <m/>
    <m/>
    <m/>
    <m/>
    <m/>
    <m/>
    <m/>
    <m/>
    <m/>
    <m/>
    <n v="4"/>
  </r>
  <r>
    <x v="10"/>
    <x v="1"/>
    <n v="8763"/>
    <x v="0"/>
    <x v="0"/>
    <s v="ATORVASTATIN CALCIUM"/>
    <m/>
    <m/>
    <m/>
    <m/>
    <m/>
    <m/>
    <m/>
    <m/>
    <m/>
    <m/>
    <m/>
    <m/>
    <m/>
    <m/>
    <m/>
    <m/>
    <m/>
    <m/>
    <n v="2"/>
    <m/>
    <m/>
    <m/>
    <n v="1"/>
    <m/>
    <m/>
    <m/>
    <n v="1"/>
    <m/>
    <m/>
    <n v="4"/>
  </r>
  <r>
    <x v="10"/>
    <x v="1"/>
    <n v="883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9352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0927"/>
    <x v="0"/>
    <x v="0"/>
    <s v="SIMVASTATIN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</r>
  <r>
    <x v="10"/>
    <x v="1"/>
    <n v="11912"/>
    <x v="0"/>
    <x v="1"/>
    <s v="RANITIDINE HCL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0"/>
    <x v="1"/>
    <n v="13783"/>
    <x v="0"/>
    <x v="3"/>
    <s v="RABEPRAZOLE SODIUM"/>
    <m/>
    <m/>
    <m/>
    <n v="1"/>
    <m/>
    <m/>
    <m/>
    <m/>
    <n v="1"/>
    <m/>
    <m/>
    <m/>
    <n v="1"/>
    <m/>
    <m/>
    <m/>
    <n v="1"/>
    <m/>
    <m/>
    <n v="1"/>
    <m/>
    <m/>
    <m/>
    <m/>
    <n v="1"/>
    <m/>
    <m/>
    <n v="1"/>
    <m/>
    <n v="7"/>
  </r>
  <r>
    <x v="10"/>
    <x v="1"/>
    <n v="18077"/>
    <x v="0"/>
    <x v="0"/>
    <s v="ATORVASTATIN CALCIUM"/>
    <m/>
    <n v="1"/>
    <m/>
    <n v="1"/>
    <m/>
    <m/>
    <m/>
    <m/>
    <n v="2"/>
    <m/>
    <n v="1"/>
    <m/>
    <n v="1"/>
    <m/>
    <n v="1"/>
    <m/>
    <n v="1"/>
    <m/>
    <n v="1"/>
    <m/>
    <n v="1"/>
    <m/>
    <n v="1"/>
    <m/>
    <n v="1"/>
    <m/>
    <n v="1"/>
    <m/>
    <n v="1"/>
    <n v="14"/>
  </r>
  <r>
    <x v="10"/>
    <x v="1"/>
    <n v="23469"/>
    <x v="0"/>
    <x v="1"/>
    <s v="RANITIDINE HCL"/>
    <m/>
    <m/>
    <m/>
    <m/>
    <m/>
    <m/>
    <m/>
    <m/>
    <m/>
    <m/>
    <m/>
    <m/>
    <m/>
    <n v="1"/>
    <m/>
    <m/>
    <m/>
    <m/>
    <n v="1"/>
    <m/>
    <m/>
    <m/>
    <n v="1"/>
    <m/>
    <m/>
    <n v="1"/>
    <m/>
    <m/>
    <m/>
    <n v="4"/>
  </r>
  <r>
    <x v="10"/>
    <x v="1"/>
    <n v="2778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0"/>
    <x v="1"/>
    <n v="32131"/>
    <x v="0"/>
    <x v="0"/>
    <s v="ROSUVASTATIN CALCIUM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n v="2"/>
  </r>
  <r>
    <x v="10"/>
    <x v="1"/>
    <n v="1318"/>
    <x v="1"/>
    <x v="0"/>
    <s v="ATORVASTATIN CALCIUM"/>
    <m/>
    <m/>
    <m/>
    <m/>
    <m/>
    <m/>
    <m/>
    <m/>
    <m/>
    <m/>
    <m/>
    <m/>
    <m/>
    <m/>
    <m/>
    <m/>
    <m/>
    <n v="1"/>
    <m/>
    <m/>
    <m/>
    <m/>
    <n v="1"/>
    <m/>
    <m/>
    <m/>
    <n v="1"/>
    <m/>
    <m/>
    <n v="3"/>
  </r>
  <r>
    <x v="10"/>
    <x v="1"/>
    <n v="4066"/>
    <x v="1"/>
    <x v="8"/>
    <s v="FENOFIBRATE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0"/>
    <x v="1"/>
    <n v="4066"/>
    <x v="1"/>
    <x v="8"/>
    <s v="FENOFIBRATE, MICROCOATED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4340"/>
    <x v="1"/>
    <x v="0"/>
    <s v="ATORVASTATIN CALC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10"/>
    <x v="1"/>
    <n v="4482"/>
    <x v="1"/>
    <x v="1"/>
    <s v="CIMETIDINE"/>
    <n v="1"/>
    <m/>
    <m/>
    <m/>
    <m/>
    <m/>
    <m/>
    <m/>
    <m/>
    <m/>
    <m/>
    <m/>
    <m/>
    <m/>
    <n v="1"/>
    <m/>
    <m/>
    <m/>
    <m/>
    <m/>
    <m/>
    <m/>
    <n v="1"/>
    <m/>
    <m/>
    <m/>
    <m/>
    <m/>
    <m/>
    <n v="3"/>
  </r>
  <r>
    <x v="10"/>
    <x v="1"/>
    <n v="4482"/>
    <x v="1"/>
    <x v="3"/>
    <s v="PANTO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6085"/>
    <x v="1"/>
    <x v="8"/>
    <s v="FENOFIBRATE, MICROCOATED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6085"/>
    <x v="1"/>
    <x v="0"/>
    <s v="ATORVASTATIN CALCIUM"/>
    <m/>
    <m/>
    <m/>
    <m/>
    <m/>
    <m/>
    <m/>
    <m/>
    <m/>
    <m/>
    <m/>
    <m/>
    <m/>
    <m/>
    <m/>
    <m/>
    <n v="1"/>
    <m/>
    <m/>
    <m/>
    <n v="1"/>
    <m/>
    <m/>
    <m/>
    <n v="1"/>
    <m/>
    <m/>
    <m/>
    <m/>
    <n v="3"/>
  </r>
  <r>
    <x v="10"/>
    <x v="1"/>
    <n v="6476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8291"/>
    <x v="1"/>
    <x v="0"/>
    <s v="ATORVASTATIN CALC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0"/>
    <x v="1"/>
    <n v="8390"/>
    <x v="1"/>
    <x v="0"/>
    <s v="ROSUVASTATIN CALCIUM"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n v="3"/>
  </r>
  <r>
    <x v="10"/>
    <x v="1"/>
    <n v="8444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2"/>
  </r>
  <r>
    <x v="10"/>
    <x v="1"/>
    <n v="10443"/>
    <x v="1"/>
    <x v="0"/>
    <s v="ATORVASTATIN CALCIUM"/>
    <m/>
    <m/>
    <n v="1"/>
    <m/>
    <m/>
    <n v="2"/>
    <m/>
    <m/>
    <m/>
    <m/>
    <m/>
    <m/>
    <m/>
    <m/>
    <m/>
    <m/>
    <m/>
    <m/>
    <m/>
    <m/>
    <m/>
    <n v="1"/>
    <m/>
    <m/>
    <m/>
    <m/>
    <m/>
    <m/>
    <m/>
    <n v="4"/>
  </r>
  <r>
    <x v="10"/>
    <x v="1"/>
    <n v="11693"/>
    <x v="1"/>
    <x v="0"/>
    <s v="ATORVASTATIN CALCIUM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0"/>
    <x v="1"/>
    <n v="11693"/>
    <x v="1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0"/>
    <x v="1"/>
    <n v="16767"/>
    <x v="1"/>
    <x v="3"/>
    <s v="PANTOPRAZOLE SOD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0"/>
    <x v="1"/>
    <n v="18260"/>
    <x v="1"/>
    <x v="0"/>
    <s v="ATOR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10"/>
    <x v="1"/>
    <n v="33338"/>
    <x v="1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156"/>
    <x v="0"/>
    <x v="1"/>
    <s v="RANITIDINE HCL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0"/>
    <x v="1"/>
    <n v="157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5560"/>
    <x v="0"/>
    <x v="3"/>
    <s v="RABEPRAZOLE SODIUM"/>
    <m/>
    <m/>
    <m/>
    <m/>
    <m/>
    <m/>
    <m/>
    <m/>
    <m/>
    <m/>
    <m/>
    <n v="1"/>
    <m/>
    <m/>
    <m/>
    <m/>
    <m/>
    <m/>
    <m/>
    <m/>
    <m/>
    <m/>
    <n v="1"/>
    <m/>
    <m/>
    <m/>
    <m/>
    <n v="2"/>
    <m/>
    <n v="4"/>
  </r>
  <r>
    <x v="10"/>
    <x v="1"/>
    <n v="7887"/>
    <x v="0"/>
    <x v="3"/>
    <s v="ESOMEPRAZOLE MAGNESIUM"/>
    <m/>
    <m/>
    <m/>
    <m/>
    <m/>
    <m/>
    <m/>
    <m/>
    <m/>
    <m/>
    <n v="2"/>
    <m/>
    <m/>
    <m/>
    <n v="1"/>
    <m/>
    <m/>
    <m/>
    <n v="1"/>
    <m/>
    <m/>
    <m/>
    <n v="1"/>
    <m/>
    <m/>
    <m/>
    <m/>
    <n v="1"/>
    <m/>
    <n v="6"/>
  </r>
  <r>
    <x v="10"/>
    <x v="1"/>
    <n v="8103"/>
    <x v="0"/>
    <x v="3"/>
    <s v="RABE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0"/>
    <x v="1"/>
    <n v="8175"/>
    <x v="0"/>
    <x v="0"/>
    <s v="LOVASTATIN"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0"/>
    <x v="1"/>
    <n v="9483"/>
    <x v="0"/>
    <x v="0"/>
    <s v="ATORVASTATIN CALCIUM"/>
    <m/>
    <m/>
    <m/>
    <m/>
    <m/>
    <n v="1"/>
    <m/>
    <m/>
    <m/>
    <m/>
    <m/>
    <n v="1"/>
    <m/>
    <m/>
    <m/>
    <n v="1"/>
    <m/>
    <m/>
    <m/>
    <m/>
    <n v="1"/>
    <m/>
    <m/>
    <m/>
    <n v="1"/>
    <m/>
    <m/>
    <m/>
    <m/>
    <n v="5"/>
  </r>
  <r>
    <x v="10"/>
    <x v="1"/>
    <n v="9590"/>
    <x v="0"/>
    <x v="3"/>
    <s v="RABEPRAZOLE SOD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2"/>
  </r>
  <r>
    <x v="10"/>
    <x v="1"/>
    <n v="9987"/>
    <x v="0"/>
    <x v="0"/>
    <s v="ATORVASTATIN CALCIUM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0"/>
    <x v="1"/>
    <n v="12788"/>
    <x v="0"/>
    <x v="3"/>
    <s v="PANTO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14788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478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0"/>
    <x v="1"/>
    <n v="14788"/>
    <x v="0"/>
    <x v="3"/>
    <s v="PANTOPRAZOLE SODIUM"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n v="2"/>
  </r>
  <r>
    <x v="10"/>
    <x v="1"/>
    <n v="15702"/>
    <x v="0"/>
    <x v="3"/>
    <s v="RABEPRAZOLE SODIUM"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</r>
  <r>
    <x v="10"/>
    <x v="1"/>
    <n v="16709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0"/>
    <x v="1"/>
    <n v="17553"/>
    <x v="0"/>
    <x v="3"/>
    <s v="LANSOPRAZOLE"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</r>
  <r>
    <x v="10"/>
    <x v="1"/>
    <n v="81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988"/>
    <x v="1"/>
    <x v="0"/>
    <s v="SIMVASTATIN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210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3734"/>
    <x v="1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0"/>
    <x v="1"/>
    <n v="4259"/>
    <x v="1"/>
    <x v="0"/>
    <s v="ATORVASTATIN CALCIUM"/>
    <m/>
    <m/>
    <n v="1"/>
    <m/>
    <m/>
    <m/>
    <m/>
    <n v="1"/>
    <m/>
    <m/>
    <m/>
    <n v="1"/>
    <m/>
    <m/>
    <m/>
    <n v="1"/>
    <m/>
    <m/>
    <m/>
    <n v="1"/>
    <m/>
    <m/>
    <n v="1"/>
    <m/>
    <m/>
    <m/>
    <n v="1"/>
    <m/>
    <m/>
    <n v="7"/>
  </r>
  <r>
    <x v="10"/>
    <x v="1"/>
    <n v="4804"/>
    <x v="1"/>
    <x v="0"/>
    <s v="ATORVASTATIN CALCIUM"/>
    <m/>
    <m/>
    <m/>
    <n v="2"/>
    <m/>
    <m/>
    <m/>
    <m/>
    <m/>
    <m/>
    <m/>
    <m/>
    <m/>
    <m/>
    <m/>
    <m/>
    <n v="1"/>
    <m/>
    <m/>
    <m/>
    <m/>
    <m/>
    <m/>
    <m/>
    <m/>
    <m/>
    <m/>
    <m/>
    <m/>
    <n v="3"/>
  </r>
  <r>
    <x v="10"/>
    <x v="1"/>
    <n v="563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5918"/>
    <x v="1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10"/>
    <x v="1"/>
    <n v="6395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0"/>
    <x v="1"/>
    <n v="6691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6691"/>
    <x v="1"/>
    <x v="9"/>
    <s v="CHOLESTYRAMINE/ASPARTAME"/>
    <m/>
    <m/>
    <m/>
    <n v="1"/>
    <m/>
    <m/>
    <m/>
    <m/>
    <m/>
    <n v="1"/>
    <m/>
    <m/>
    <m/>
    <m/>
    <m/>
    <m/>
    <m/>
    <m/>
    <n v="1"/>
    <m/>
    <m/>
    <m/>
    <m/>
    <m/>
    <m/>
    <n v="1"/>
    <m/>
    <m/>
    <m/>
    <n v="4"/>
  </r>
  <r>
    <x v="10"/>
    <x v="1"/>
    <n v="7190"/>
    <x v="1"/>
    <x v="3"/>
    <s v="RABEPRAZOLE SODIUM"/>
    <m/>
    <m/>
    <m/>
    <n v="1"/>
    <m/>
    <m/>
    <m/>
    <m/>
    <m/>
    <n v="1"/>
    <m/>
    <m/>
    <m/>
    <m/>
    <m/>
    <m/>
    <n v="1"/>
    <m/>
    <m/>
    <n v="1"/>
    <m/>
    <m/>
    <m/>
    <m/>
    <m/>
    <n v="1"/>
    <m/>
    <m/>
    <m/>
    <n v="5"/>
  </r>
  <r>
    <x v="10"/>
    <x v="1"/>
    <n v="7373"/>
    <x v="1"/>
    <x v="3"/>
    <s v="PANTOPRAZOLE MAGNESIUM"/>
    <m/>
    <n v="5"/>
    <m/>
    <m/>
    <m/>
    <m/>
    <m/>
    <m/>
    <m/>
    <m/>
    <m/>
    <m/>
    <m/>
    <m/>
    <m/>
    <m/>
    <m/>
    <m/>
    <m/>
    <m/>
    <m/>
    <m/>
    <m/>
    <m/>
    <m/>
    <m/>
    <m/>
    <m/>
    <m/>
    <n v="5"/>
  </r>
  <r>
    <x v="10"/>
    <x v="1"/>
    <n v="7533"/>
    <x v="1"/>
    <x v="0"/>
    <s v="ATOR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0"/>
    <x v="1"/>
    <n v="7533"/>
    <x v="1"/>
    <x v="6"/>
    <s v="EZETIMIBE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0"/>
    <x v="1"/>
    <n v="798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8170"/>
    <x v="1"/>
    <x v="0"/>
    <s v="ATOR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</r>
  <r>
    <x v="10"/>
    <x v="1"/>
    <n v="8565"/>
    <x v="1"/>
    <x v="0"/>
    <s v="FLU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8761"/>
    <x v="1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n v="2"/>
  </r>
  <r>
    <x v="10"/>
    <x v="1"/>
    <n v="8958"/>
    <x v="1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10"/>
    <x v="1"/>
    <n v="9156"/>
    <x v="1"/>
    <x v="3"/>
    <s v="RABEPRAZOLE SOD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0"/>
    <x v="1"/>
    <n v="934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9346"/>
    <x v="1"/>
    <x v="3"/>
    <s v="RABEPRAZOLE SOD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2"/>
  </r>
  <r>
    <x v="10"/>
    <x v="1"/>
    <n v="11661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1661"/>
    <x v="1"/>
    <x v="0"/>
    <s v="SIMVASTATIN"/>
    <m/>
    <m/>
    <n v="1"/>
    <m/>
    <m/>
    <m/>
    <m/>
    <m/>
    <m/>
    <m/>
    <m/>
    <n v="2"/>
    <m/>
    <m/>
    <m/>
    <m/>
    <n v="1"/>
    <m/>
    <m/>
    <m/>
    <n v="1"/>
    <m/>
    <m/>
    <m/>
    <n v="1"/>
    <m/>
    <m/>
    <m/>
    <m/>
    <n v="6"/>
  </r>
  <r>
    <x v="10"/>
    <x v="1"/>
    <n v="1330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3303"/>
    <x v="1"/>
    <x v="3"/>
    <s v="PANTO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1330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7592"/>
    <x v="1"/>
    <x v="1"/>
    <s v="RANITIDINE HCL"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</r>
  <r>
    <x v="10"/>
    <x v="1"/>
    <n v="20443"/>
    <x v="1"/>
    <x v="1"/>
    <s v="RANITIDINE HCL"/>
    <n v="1"/>
    <m/>
    <m/>
    <m/>
    <m/>
    <n v="1"/>
    <m/>
    <m/>
    <m/>
    <m/>
    <m/>
    <m/>
    <m/>
    <n v="1"/>
    <m/>
    <m/>
    <m/>
    <n v="1"/>
    <m/>
    <m/>
    <m/>
    <m/>
    <m/>
    <n v="1"/>
    <m/>
    <m/>
    <m/>
    <m/>
    <m/>
    <n v="5"/>
  </r>
  <r>
    <x v="10"/>
    <x v="1"/>
    <n v="23103"/>
    <x v="1"/>
    <x v="1"/>
    <s v="RANITIDINE HCL"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n v="2"/>
  </r>
  <r>
    <x v="10"/>
    <x v="1"/>
    <n v="23103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23103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n v="2"/>
  </r>
  <r>
    <x v="10"/>
    <x v="1"/>
    <n v="32686"/>
    <x v="1"/>
    <x v="0"/>
    <s v="SIMVASTATIN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0"/>
    <x v="1"/>
    <n v="32867"/>
    <x v="1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287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318"/>
    <x v="1"/>
    <x v="3"/>
    <s v="PANTOPRAZOLE MAGNES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0"/>
    <x v="1"/>
    <n v="1318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0"/>
    <x v="1"/>
    <n v="4567"/>
    <x v="0"/>
    <x v="1"/>
    <s v="RANITIDINE HCL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0"/>
    <x v="1"/>
    <n v="456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4567"/>
    <x v="0"/>
    <x v="3"/>
    <s v="RABEPRAZOLE SODIUM"/>
    <m/>
    <m/>
    <m/>
    <n v="1"/>
    <m/>
    <m/>
    <m/>
    <m/>
    <n v="1"/>
    <m/>
    <m/>
    <m/>
    <n v="1"/>
    <m/>
    <m/>
    <m/>
    <n v="1"/>
    <m/>
    <m/>
    <n v="1"/>
    <m/>
    <n v="1"/>
    <m/>
    <m/>
    <m/>
    <m/>
    <m/>
    <m/>
    <m/>
    <n v="6"/>
  </r>
  <r>
    <x v="10"/>
    <x v="1"/>
    <n v="817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9483"/>
    <x v="0"/>
    <x v="1"/>
    <s v="RANITIDINE HCL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0"/>
    <x v="1"/>
    <n v="9483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9483"/>
    <x v="0"/>
    <x v="3"/>
    <s v="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9483"/>
    <x v="0"/>
    <x v="3"/>
    <s v="PANTOPRAZOLE SODIUM"/>
    <n v="1"/>
    <m/>
    <m/>
    <m/>
    <n v="1"/>
    <m/>
    <m/>
    <m/>
    <m/>
    <m/>
    <n v="1"/>
    <m/>
    <m/>
    <m/>
    <n v="1"/>
    <m/>
    <m/>
    <m/>
    <n v="1"/>
    <m/>
    <m/>
    <m/>
    <m/>
    <m/>
    <m/>
    <m/>
    <m/>
    <n v="1"/>
    <m/>
    <n v="6"/>
  </r>
  <r>
    <x v="10"/>
    <x v="1"/>
    <n v="1670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0"/>
    <x v="1"/>
    <n v="487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7352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3721"/>
    <x v="1"/>
    <x v="3"/>
    <s v="LANSOPRAZOLE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10"/>
    <x v="1"/>
    <n v="13736"/>
    <x v="1"/>
    <x v="3"/>
    <s v="RABEPRAZOLE SOD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10"/>
    <x v="1"/>
    <n v="9987"/>
    <x v="0"/>
    <x v="3"/>
    <s v="RABEPRAZOLE SODIUM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0"/>
    <x v="1"/>
    <n v="3093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3734"/>
    <x v="1"/>
    <x v="3"/>
    <s v="RABEPRAZOLE SOD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2"/>
  </r>
  <r>
    <x v="10"/>
    <x v="1"/>
    <n v="4259"/>
    <x v="1"/>
    <x v="3"/>
    <s v="LANSOPRAZOLE"/>
    <m/>
    <m/>
    <n v="1"/>
    <m/>
    <m/>
    <m/>
    <m/>
    <n v="1"/>
    <m/>
    <m/>
    <m/>
    <n v="1"/>
    <m/>
    <m/>
    <m/>
    <n v="1"/>
    <m/>
    <m/>
    <m/>
    <n v="1"/>
    <m/>
    <m/>
    <n v="1"/>
    <m/>
    <m/>
    <m/>
    <n v="1"/>
    <m/>
    <m/>
    <n v="7"/>
  </r>
  <r>
    <x v="10"/>
    <x v="1"/>
    <n v="4804"/>
    <x v="1"/>
    <x v="1"/>
    <s v="RANITIDINE HCL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0"/>
    <x v="1"/>
    <n v="4804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856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32867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4340"/>
    <x v="1"/>
    <x v="3"/>
    <s v="RABEPRAZOLE SOD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0"/>
    <x v="1"/>
    <n v="1826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761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8170"/>
    <x v="1"/>
    <x v="1"/>
    <s v="RANITIDINE HCL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0"/>
    <x v="1"/>
    <n v="11661"/>
    <x v="1"/>
    <x v="1"/>
    <s v="RANITIDINE HCL"/>
    <m/>
    <m/>
    <n v="2"/>
    <m/>
    <m/>
    <n v="1"/>
    <m/>
    <m/>
    <m/>
    <m/>
    <m/>
    <n v="2"/>
    <m/>
    <m/>
    <m/>
    <m/>
    <n v="1"/>
    <m/>
    <m/>
    <m/>
    <n v="1"/>
    <m/>
    <m/>
    <m/>
    <m/>
    <n v="2"/>
    <m/>
    <m/>
    <m/>
    <n v="9"/>
  </r>
  <r>
    <x v="10"/>
    <x v="1"/>
    <n v="4639"/>
    <x v="0"/>
    <x v="0"/>
    <s v="ATORVASTATIN CALCIUM"/>
    <m/>
    <m/>
    <m/>
    <m/>
    <m/>
    <n v="1"/>
    <m/>
    <m/>
    <m/>
    <m/>
    <m/>
    <m/>
    <m/>
    <m/>
    <m/>
    <m/>
    <m/>
    <m/>
    <n v="1"/>
    <m/>
    <m/>
    <m/>
    <m/>
    <m/>
    <m/>
    <m/>
    <m/>
    <n v="1"/>
    <m/>
    <n v="3"/>
  </r>
  <r>
    <x v="10"/>
    <x v="1"/>
    <n v="9352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12879"/>
    <x v="0"/>
    <x v="0"/>
    <s v="ROSUVASTATIN CALCIUM"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n v="2"/>
  </r>
  <r>
    <x v="10"/>
    <x v="1"/>
    <n v="14546"/>
    <x v="0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0"/>
    <x v="1"/>
    <n v="15082"/>
    <x v="0"/>
    <x v="0"/>
    <s v="PRAVASTATIN SODIUM"/>
    <n v="1"/>
    <m/>
    <m/>
    <m/>
    <m/>
    <m/>
    <m/>
    <m/>
    <m/>
    <m/>
    <n v="1"/>
    <m/>
    <m/>
    <m/>
    <m/>
    <m/>
    <m/>
    <m/>
    <m/>
    <m/>
    <m/>
    <m/>
    <m/>
    <m/>
    <m/>
    <m/>
    <n v="1"/>
    <m/>
    <m/>
    <n v="3"/>
  </r>
  <r>
    <x v="10"/>
    <x v="1"/>
    <n v="15112"/>
    <x v="0"/>
    <x v="0"/>
    <s v="SIMVASTATIN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10"/>
    <x v="1"/>
    <n v="931"/>
    <x v="1"/>
    <x v="0"/>
    <s v="ATORVASTATIN CALCIUM"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0"/>
    <x v="1"/>
    <n v="2017"/>
    <x v="1"/>
    <x v="8"/>
    <s v="FENOFIBRATE, MICRONIZED"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n v="2"/>
  </r>
  <r>
    <x v="10"/>
    <x v="1"/>
    <n v="4194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0"/>
    <x v="1"/>
    <n v="4482"/>
    <x v="1"/>
    <x v="9"/>
    <s v="CHOLESTYRAMINE (WITH SUGAR)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6543"/>
    <x v="1"/>
    <x v="0"/>
    <s v="ATORVASTATIN CALCIUM"/>
    <m/>
    <m/>
    <m/>
    <m/>
    <m/>
    <m/>
    <m/>
    <m/>
    <m/>
    <n v="1"/>
    <m/>
    <m/>
    <n v="1"/>
    <m/>
    <m/>
    <m/>
    <m/>
    <m/>
    <m/>
    <m/>
    <m/>
    <m/>
    <m/>
    <m/>
    <m/>
    <n v="1"/>
    <m/>
    <m/>
    <m/>
    <n v="3"/>
  </r>
  <r>
    <x v="10"/>
    <x v="1"/>
    <n v="6689"/>
    <x v="1"/>
    <x v="0"/>
    <s v="SIMVASTATIN"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n v="2"/>
  </r>
  <r>
    <x v="10"/>
    <x v="1"/>
    <n v="9033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10"/>
    <x v="1"/>
    <n v="9395"/>
    <x v="1"/>
    <x v="0"/>
    <s v="SIMVASTATIN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10"/>
    <x v="1"/>
    <n v="10505"/>
    <x v="1"/>
    <x v="0"/>
    <s v="ROSUVASTATIN CALCIUM"/>
    <m/>
    <m/>
    <n v="1"/>
    <m/>
    <m/>
    <m/>
    <m/>
    <n v="1"/>
    <m/>
    <m/>
    <m/>
    <n v="1"/>
    <m/>
    <m/>
    <m/>
    <m/>
    <n v="1"/>
    <m/>
    <m/>
    <m/>
    <n v="1"/>
    <m/>
    <m/>
    <m/>
    <m/>
    <n v="1"/>
    <m/>
    <m/>
    <m/>
    <n v="6"/>
  </r>
  <r>
    <x v="10"/>
    <x v="1"/>
    <n v="14764"/>
    <x v="1"/>
    <x v="0"/>
    <s v="SIMVASTATIN"/>
    <m/>
    <m/>
    <n v="1"/>
    <m/>
    <m/>
    <m/>
    <m/>
    <m/>
    <m/>
    <n v="1"/>
    <m/>
    <m/>
    <m/>
    <m/>
    <m/>
    <m/>
    <m/>
    <m/>
    <m/>
    <m/>
    <m/>
    <m/>
    <m/>
    <m/>
    <m/>
    <n v="1"/>
    <m/>
    <m/>
    <m/>
    <n v="3"/>
  </r>
  <r>
    <x v="10"/>
    <x v="1"/>
    <n v="19458"/>
    <x v="1"/>
    <x v="0"/>
    <s v="ATORVASTATIN CALC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0"/>
    <x v="1"/>
    <n v="19991"/>
    <x v="1"/>
    <x v="0"/>
    <s v="ATORVASTATIN CALCIUM"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n v="2"/>
  </r>
  <r>
    <x v="10"/>
    <x v="1"/>
    <n v="21240"/>
    <x v="1"/>
    <x v="0"/>
    <s v="ATORVASTATIN CALCIUM"/>
    <n v="1"/>
    <m/>
    <m/>
    <m/>
    <m/>
    <m/>
    <m/>
    <m/>
    <m/>
    <m/>
    <m/>
    <m/>
    <m/>
    <n v="1"/>
    <m/>
    <m/>
    <m/>
    <m/>
    <m/>
    <m/>
    <m/>
    <m/>
    <m/>
    <n v="1"/>
    <m/>
    <m/>
    <m/>
    <m/>
    <m/>
    <n v="3"/>
  </r>
  <r>
    <x v="10"/>
    <x v="1"/>
    <n v="22515"/>
    <x v="1"/>
    <x v="8"/>
    <s v="FENOFIBRATE, MICROCOATED"/>
    <m/>
    <m/>
    <m/>
    <m/>
    <m/>
    <m/>
    <m/>
    <n v="1"/>
    <m/>
    <n v="1"/>
    <n v="1"/>
    <m/>
    <m/>
    <m/>
    <n v="1"/>
    <m/>
    <m/>
    <m/>
    <m/>
    <m/>
    <n v="1"/>
    <m/>
    <m/>
    <n v="1"/>
    <m/>
    <m/>
    <m/>
    <m/>
    <m/>
    <n v="6"/>
  </r>
  <r>
    <x v="10"/>
    <x v="1"/>
    <n v="22515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0"/>
    <x v="1"/>
    <n v="5560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0"/>
    <x v="1"/>
    <n v="7887"/>
    <x v="0"/>
    <x v="0"/>
    <s v="LOVASTATIN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0"/>
    <x v="1"/>
    <n v="9590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0"/>
    <x v="1"/>
    <n v="12788"/>
    <x v="0"/>
    <x v="0"/>
    <s v="ROSU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0"/>
    <x v="1"/>
    <n v="172"/>
    <x v="1"/>
    <x v="0"/>
    <s v="ATOR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0"/>
    <x v="1"/>
    <n v="6334"/>
    <x v="1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10"/>
    <x v="1"/>
    <n v="6334"/>
    <x v="1"/>
    <x v="6"/>
    <s v="EZETIMIBE"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n v="2"/>
  </r>
  <r>
    <x v="10"/>
    <x v="1"/>
    <n v="16566"/>
    <x v="1"/>
    <x v="0"/>
    <s v="ROSUVASTATIN CALC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2"/>
  </r>
  <r>
    <x v="10"/>
    <x v="1"/>
    <n v="2310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n v="2"/>
  </r>
  <r>
    <x v="11"/>
    <x v="1"/>
    <n v="2622"/>
    <x v="0"/>
    <x v="3"/>
    <s v="RABEPRAZOLE SODIUM"/>
    <m/>
    <m/>
    <m/>
    <m/>
    <m/>
    <m/>
    <m/>
    <m/>
    <m/>
    <m/>
    <m/>
    <m/>
    <m/>
    <m/>
    <n v="1"/>
    <m/>
    <m/>
    <n v="1"/>
    <m/>
    <m/>
    <m/>
    <m/>
    <m/>
    <m/>
    <m/>
    <m/>
    <m/>
    <n v="1"/>
    <m/>
    <n v="3"/>
  </r>
  <r>
    <x v="11"/>
    <x v="1"/>
    <n v="3698"/>
    <x v="0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1"/>
    <x v="1"/>
    <n v="4319"/>
    <x v="0"/>
    <x v="3"/>
    <s v="RABEPRAZOLE SODIUM"/>
    <m/>
    <m/>
    <m/>
    <m/>
    <m/>
    <m/>
    <m/>
    <m/>
    <m/>
    <m/>
    <m/>
    <m/>
    <m/>
    <m/>
    <m/>
    <m/>
    <m/>
    <n v="1"/>
    <m/>
    <m/>
    <m/>
    <m/>
    <n v="1"/>
    <m/>
    <m/>
    <m/>
    <n v="1"/>
    <m/>
    <m/>
    <n v="3"/>
  </r>
  <r>
    <x v="11"/>
    <x v="1"/>
    <n v="4371"/>
    <x v="0"/>
    <x v="0"/>
    <s v="ROSUVASTATIN CALCIUM"/>
    <m/>
    <m/>
    <n v="1"/>
    <m/>
    <m/>
    <m/>
    <m/>
    <m/>
    <m/>
    <m/>
    <n v="1"/>
    <m/>
    <m/>
    <m/>
    <m/>
    <n v="1"/>
    <m/>
    <m/>
    <m/>
    <m/>
    <m/>
    <m/>
    <m/>
    <m/>
    <n v="1"/>
    <m/>
    <m/>
    <m/>
    <m/>
    <n v="4"/>
  </r>
  <r>
    <x v="11"/>
    <x v="1"/>
    <n v="5286"/>
    <x v="0"/>
    <x v="3"/>
    <s v="RABEPRAZOLE SODIUM"/>
    <m/>
    <m/>
    <m/>
    <m/>
    <m/>
    <m/>
    <m/>
    <m/>
    <m/>
    <n v="1"/>
    <m/>
    <m/>
    <m/>
    <m/>
    <m/>
    <m/>
    <m/>
    <n v="1"/>
    <m/>
    <m/>
    <m/>
    <m/>
    <m/>
    <m/>
    <m/>
    <n v="1"/>
    <m/>
    <m/>
    <m/>
    <n v="3"/>
  </r>
  <r>
    <x v="11"/>
    <x v="1"/>
    <n v="6186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6186"/>
    <x v="0"/>
    <x v="3"/>
    <s v="OMEPRAZOLE MAGNESIUM"/>
    <m/>
    <m/>
    <m/>
    <m/>
    <m/>
    <m/>
    <m/>
    <n v="1"/>
    <m/>
    <m/>
    <m/>
    <m/>
    <m/>
    <n v="1"/>
    <n v="1"/>
    <m/>
    <m/>
    <m/>
    <m/>
    <m/>
    <m/>
    <m/>
    <n v="2"/>
    <m/>
    <m/>
    <m/>
    <m/>
    <m/>
    <m/>
    <n v="5"/>
  </r>
  <r>
    <x v="11"/>
    <x v="1"/>
    <n v="6445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1"/>
    <x v="1"/>
    <n v="850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8508"/>
    <x v="0"/>
    <x v="0"/>
    <s v="SIMVASTATIN"/>
    <n v="1"/>
    <m/>
    <m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6"/>
  </r>
  <r>
    <x v="11"/>
    <x v="1"/>
    <n v="8609"/>
    <x v="0"/>
    <x v="0"/>
    <s v="ATORVASTATIN CALC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1"/>
    <x v="1"/>
    <n v="9729"/>
    <x v="0"/>
    <x v="0"/>
    <s v="SIMVASTATIN"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1"/>
    <x v="1"/>
    <n v="10742"/>
    <x v="0"/>
    <x v="0"/>
    <s v="SIMVASTATIN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1"/>
    <x v="1"/>
    <n v="11669"/>
    <x v="0"/>
    <x v="1"/>
    <s v="RANITIDINE HCL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m/>
    <n v="6"/>
  </r>
  <r>
    <x v="11"/>
    <x v="1"/>
    <n v="13104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221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536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</r>
  <r>
    <x v="11"/>
    <x v="1"/>
    <n v="1389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910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1"/>
    <x v="1"/>
    <n v="14855"/>
    <x v="0"/>
    <x v="0"/>
    <s v="ROSUVASTATIN CALCIUM"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11"/>
    <x v="1"/>
    <n v="15269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5531"/>
    <x v="0"/>
    <x v="0"/>
    <s v="ROSUVASTATIN CALCIUM"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n v="2"/>
  </r>
  <r>
    <x v="11"/>
    <x v="1"/>
    <n v="1569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6059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6281"/>
    <x v="0"/>
    <x v="3"/>
    <s v="ESOMEPRAZOLE MAGNESIUM"/>
    <m/>
    <m/>
    <m/>
    <m/>
    <m/>
    <m/>
    <m/>
    <m/>
    <m/>
    <m/>
    <m/>
    <m/>
    <m/>
    <m/>
    <m/>
    <n v="2"/>
    <m/>
    <m/>
    <m/>
    <m/>
    <m/>
    <m/>
    <m/>
    <m/>
    <m/>
    <m/>
    <m/>
    <n v="1"/>
    <m/>
    <n v="3"/>
  </r>
  <r>
    <x v="11"/>
    <x v="1"/>
    <n v="16498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1"/>
    <x v="1"/>
    <n v="17469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1"/>
    <x v="1"/>
    <n v="22019"/>
    <x v="0"/>
    <x v="3"/>
    <s v="RABEPRAZOLE SOD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1"/>
    <x v="1"/>
    <n v="25173"/>
    <x v="0"/>
    <x v="3"/>
    <s v="PANTOPRAZOLE MAGNESIUM"/>
    <m/>
    <m/>
    <m/>
    <m/>
    <m/>
    <m/>
    <m/>
    <m/>
    <m/>
    <m/>
    <m/>
    <m/>
    <m/>
    <m/>
    <m/>
    <m/>
    <m/>
    <m/>
    <m/>
    <m/>
    <m/>
    <m/>
    <n v="2"/>
    <n v="1"/>
    <m/>
    <m/>
    <m/>
    <m/>
    <n v="1"/>
    <n v="4"/>
  </r>
  <r>
    <x v="11"/>
    <x v="1"/>
    <n v="510"/>
    <x v="1"/>
    <x v="0"/>
    <s v="ROSU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1"/>
    <x v="1"/>
    <n v="510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1"/>
    <x v="1"/>
    <n v="552"/>
    <x v="1"/>
    <x v="0"/>
    <s v="ROSUVASTATIN CALCIUM"/>
    <m/>
    <m/>
    <n v="1"/>
    <m/>
    <m/>
    <m/>
    <m/>
    <m/>
    <m/>
    <m/>
    <m/>
    <n v="1"/>
    <m/>
    <m/>
    <m/>
    <m/>
    <m/>
    <m/>
    <n v="1"/>
    <m/>
    <m/>
    <m/>
    <m/>
    <m/>
    <m/>
    <n v="1"/>
    <m/>
    <m/>
    <m/>
    <n v="4"/>
  </r>
  <r>
    <x v="11"/>
    <x v="1"/>
    <n v="1486"/>
    <x v="1"/>
    <x v="0"/>
    <s v="ROSU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1"/>
    <x v="1"/>
    <n v="170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1"/>
    <x v="1"/>
    <n v="3738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1"/>
    <x v="1"/>
    <n v="4728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5730"/>
    <x v="1"/>
    <x v="0"/>
    <s v="SIMVASTATIN"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1"/>
    <x v="1"/>
    <n v="5774"/>
    <x v="1"/>
    <x v="0"/>
    <s v="ROSU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11"/>
    <x v="1"/>
    <n v="5815"/>
    <x v="1"/>
    <x v="0"/>
    <s v="ROSUVASTATIN CALCIUM"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n v="2"/>
  </r>
  <r>
    <x v="11"/>
    <x v="1"/>
    <n v="6412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n v="2"/>
  </r>
  <r>
    <x v="11"/>
    <x v="1"/>
    <n v="6414"/>
    <x v="1"/>
    <x v="0"/>
    <s v="ATORVASTATIN CALCIUM"/>
    <m/>
    <m/>
    <n v="1"/>
    <m/>
    <m/>
    <m/>
    <m/>
    <m/>
    <m/>
    <m/>
    <m/>
    <m/>
    <m/>
    <m/>
    <m/>
    <m/>
    <m/>
    <n v="2"/>
    <m/>
    <m/>
    <m/>
    <m/>
    <m/>
    <m/>
    <m/>
    <m/>
    <m/>
    <m/>
    <m/>
    <n v="3"/>
  </r>
  <r>
    <x v="11"/>
    <x v="1"/>
    <n v="7278"/>
    <x v="1"/>
    <x v="0"/>
    <s v="ATORVASTATIN CALCIUM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n v="2"/>
  </r>
  <r>
    <x v="11"/>
    <x v="1"/>
    <n v="9650"/>
    <x v="1"/>
    <x v="0"/>
    <s v="ATORVASTATIN CALCIUM"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n v="2"/>
  </r>
  <r>
    <x v="11"/>
    <x v="1"/>
    <n v="9730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1"/>
    <x v="1"/>
    <n v="10152"/>
    <x v="1"/>
    <x v="0"/>
    <s v="ROSUVASTATIN CALCIUM"/>
    <m/>
    <m/>
    <n v="1"/>
    <m/>
    <m/>
    <m/>
    <m/>
    <m/>
    <m/>
    <m/>
    <m/>
    <m/>
    <m/>
    <m/>
    <m/>
    <m/>
    <n v="1"/>
    <m/>
    <m/>
    <m/>
    <m/>
    <m/>
    <n v="1"/>
    <m/>
    <m/>
    <m/>
    <n v="1"/>
    <m/>
    <m/>
    <n v="4"/>
  </r>
  <r>
    <x v="11"/>
    <x v="1"/>
    <n v="13775"/>
    <x v="1"/>
    <x v="0"/>
    <s v="ATOR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11"/>
    <x v="1"/>
    <n v="13909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909"/>
    <x v="1"/>
    <x v="0"/>
    <s v="SIMVASTATIN"/>
    <m/>
    <m/>
    <n v="1"/>
    <m/>
    <m/>
    <m/>
    <m/>
    <m/>
    <n v="2"/>
    <m/>
    <m/>
    <n v="1"/>
    <m/>
    <m/>
    <m/>
    <m/>
    <n v="1"/>
    <m/>
    <m/>
    <m/>
    <n v="1"/>
    <m/>
    <m/>
    <m/>
    <m/>
    <n v="1"/>
    <m/>
    <m/>
    <m/>
    <n v="7"/>
  </r>
  <r>
    <x v="11"/>
    <x v="1"/>
    <n v="14948"/>
    <x v="1"/>
    <x v="1"/>
    <s v="RANITIDINE HCL"/>
    <m/>
    <n v="1"/>
    <m/>
    <m/>
    <m/>
    <m/>
    <m/>
    <n v="1"/>
    <m/>
    <m/>
    <m/>
    <m/>
    <n v="1"/>
    <m/>
    <m/>
    <m/>
    <m/>
    <m/>
    <m/>
    <m/>
    <m/>
    <m/>
    <n v="1"/>
    <m/>
    <m/>
    <m/>
    <m/>
    <m/>
    <m/>
    <n v="4"/>
  </r>
  <r>
    <x v="11"/>
    <x v="1"/>
    <n v="15360"/>
    <x v="1"/>
    <x v="0"/>
    <s v="SIMVASTATIN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1"/>
    <x v="1"/>
    <n v="15707"/>
    <x v="1"/>
    <x v="0"/>
    <s v="ROSUVASTATIN CALCIUM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n v="2"/>
  </r>
  <r>
    <x v="11"/>
    <x v="1"/>
    <n v="16300"/>
    <x v="1"/>
    <x v="0"/>
    <s v="ATORVASTATIN CALCIUM"/>
    <m/>
    <m/>
    <m/>
    <n v="1"/>
    <m/>
    <m/>
    <m/>
    <m/>
    <m/>
    <m/>
    <m/>
    <m/>
    <m/>
    <m/>
    <m/>
    <n v="1"/>
    <m/>
    <m/>
    <m/>
    <m/>
    <m/>
    <m/>
    <n v="1"/>
    <m/>
    <m/>
    <m/>
    <m/>
    <m/>
    <m/>
    <n v="3"/>
  </r>
  <r>
    <x v="11"/>
    <x v="1"/>
    <n v="16452"/>
    <x v="1"/>
    <x v="3"/>
    <s v="PANTOPRAZOLE MAGNES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1"/>
    <x v="1"/>
    <n v="16546"/>
    <x v="1"/>
    <x v="1"/>
    <s v="RANITIDINE HCL"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n v="2"/>
  </r>
  <r>
    <x v="11"/>
    <x v="1"/>
    <n v="16714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1"/>
    <x v="1"/>
    <n v="18686"/>
    <x v="1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1"/>
    <x v="1"/>
    <n v="2116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532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7561"/>
    <x v="1"/>
    <x v="8"/>
    <s v="FENOFIBRATE, MICRONIZED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1"/>
    <x v="1"/>
    <n v="2964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342"/>
    <x v="0"/>
    <x v="3"/>
    <s v="RABEPRAZOLE SODIUM"/>
    <m/>
    <m/>
    <m/>
    <n v="1"/>
    <m/>
    <m/>
    <m/>
    <m/>
    <m/>
    <m/>
    <m/>
    <m/>
    <m/>
    <m/>
    <m/>
    <m/>
    <m/>
    <n v="1"/>
    <m/>
    <m/>
    <m/>
    <m/>
    <n v="1"/>
    <m/>
    <m/>
    <m/>
    <n v="1"/>
    <m/>
    <m/>
    <n v="4"/>
  </r>
  <r>
    <x v="11"/>
    <x v="1"/>
    <n v="397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573"/>
    <x v="0"/>
    <x v="0"/>
    <s v="ATOR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11"/>
    <x v="1"/>
    <n v="573"/>
    <x v="0"/>
    <x v="3"/>
    <s v="RABEPRAZOLE SOD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11"/>
    <x v="1"/>
    <n v="667"/>
    <x v="0"/>
    <x v="0"/>
    <s v="ROSUVASTATIN CALCIUM"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n v="2"/>
  </r>
  <r>
    <x v="11"/>
    <x v="1"/>
    <n v="667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1"/>
    <x v="1"/>
    <n v="667"/>
    <x v="0"/>
    <x v="3"/>
    <s v="ESOMEPRAZOLE MAGNESIUM"/>
    <m/>
    <m/>
    <m/>
    <m/>
    <m/>
    <n v="1"/>
    <m/>
    <m/>
    <m/>
    <m/>
    <m/>
    <m/>
    <m/>
    <m/>
    <m/>
    <m/>
    <m/>
    <m/>
    <m/>
    <m/>
    <n v="2"/>
    <m/>
    <m/>
    <m/>
    <m/>
    <m/>
    <m/>
    <m/>
    <m/>
    <n v="3"/>
  </r>
  <r>
    <x v="11"/>
    <x v="1"/>
    <n v="1936"/>
    <x v="0"/>
    <x v="3"/>
    <s v="ESOMEPRAZOLE MAGNES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1"/>
    <x v="1"/>
    <n v="2814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884"/>
    <x v="0"/>
    <x v="3"/>
    <s v="ESOMEPRAZOLE MAGNES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11"/>
    <x v="1"/>
    <n v="3282"/>
    <x v="0"/>
    <x v="3"/>
    <s v="ESOMEPRAZOLE MAGNESIUM"/>
    <m/>
    <m/>
    <m/>
    <m/>
    <m/>
    <m/>
    <m/>
    <m/>
    <m/>
    <m/>
    <n v="3"/>
    <m/>
    <m/>
    <n v="1"/>
    <m/>
    <m/>
    <m/>
    <n v="1"/>
    <m/>
    <n v="1"/>
    <m/>
    <n v="1"/>
    <n v="1"/>
    <m/>
    <m/>
    <m/>
    <m/>
    <m/>
    <m/>
    <n v="8"/>
  </r>
  <r>
    <x v="11"/>
    <x v="1"/>
    <n v="3384"/>
    <x v="0"/>
    <x v="0"/>
    <s v="SIMVASTATIN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11"/>
    <x v="1"/>
    <n v="3690"/>
    <x v="0"/>
    <x v="0"/>
    <s v="SIMVASTATIN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1"/>
    <x v="1"/>
    <n v="3874"/>
    <x v="0"/>
    <x v="3"/>
    <s v="RABEPRAZOLE SODIUM"/>
    <m/>
    <m/>
    <m/>
    <m/>
    <m/>
    <m/>
    <m/>
    <m/>
    <n v="2"/>
    <m/>
    <m/>
    <m/>
    <m/>
    <m/>
    <m/>
    <m/>
    <m/>
    <m/>
    <m/>
    <m/>
    <n v="1"/>
    <m/>
    <m/>
    <m/>
    <m/>
    <m/>
    <m/>
    <m/>
    <m/>
    <n v="3"/>
  </r>
  <r>
    <x v="11"/>
    <x v="1"/>
    <n v="3969"/>
    <x v="0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1"/>
    <x v="1"/>
    <n v="5749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m/>
    <n v="1"/>
    <n v="1"/>
    <m/>
    <m/>
    <n v="3"/>
  </r>
  <r>
    <x v="11"/>
    <x v="1"/>
    <n v="5749"/>
    <x v="0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n v="2"/>
  </r>
  <r>
    <x v="11"/>
    <x v="1"/>
    <n v="6436"/>
    <x v="0"/>
    <x v="3"/>
    <s v="RABE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1"/>
    <x v="1"/>
    <n v="6723"/>
    <x v="0"/>
    <x v="0"/>
    <s v="ROSU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6723"/>
    <x v="0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6838"/>
    <x v="0"/>
    <x v="0"/>
    <s v="ROSUVASTATIN CALCIUM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</r>
  <r>
    <x v="11"/>
    <x v="1"/>
    <n v="6838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7928"/>
    <x v="0"/>
    <x v="3"/>
    <s v="ESOMEPRAZOLE MAGNESIUM"/>
    <m/>
    <n v="1"/>
    <m/>
    <n v="1"/>
    <m/>
    <n v="2"/>
    <m/>
    <m/>
    <n v="1"/>
    <m/>
    <n v="1"/>
    <n v="1"/>
    <m/>
    <n v="1"/>
    <m/>
    <m/>
    <n v="1"/>
    <m/>
    <n v="1"/>
    <m/>
    <n v="1"/>
    <m/>
    <n v="1"/>
    <m/>
    <m/>
    <n v="2"/>
    <m/>
    <n v="1"/>
    <m/>
    <n v="15"/>
  </r>
  <r>
    <x v="11"/>
    <x v="1"/>
    <n v="7947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11"/>
    <x v="1"/>
    <n v="8010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8810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11"/>
    <x v="1"/>
    <n v="10127"/>
    <x v="0"/>
    <x v="3"/>
    <s v="PANTOPRAZOLE SODIUM"/>
    <m/>
    <m/>
    <m/>
    <m/>
    <m/>
    <m/>
    <m/>
    <m/>
    <m/>
    <m/>
    <m/>
    <m/>
    <m/>
    <m/>
    <n v="2"/>
    <m/>
    <m/>
    <m/>
    <m/>
    <n v="1"/>
    <m/>
    <m/>
    <m/>
    <m/>
    <m/>
    <m/>
    <m/>
    <m/>
    <m/>
    <n v="3"/>
  </r>
  <r>
    <x v="11"/>
    <x v="1"/>
    <n v="1063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0896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11"/>
    <x v="1"/>
    <n v="11399"/>
    <x v="0"/>
    <x v="3"/>
    <s v="RABEPRAZOLE SODIUM"/>
    <m/>
    <m/>
    <m/>
    <m/>
    <m/>
    <m/>
    <m/>
    <m/>
    <m/>
    <m/>
    <m/>
    <m/>
    <m/>
    <n v="2"/>
    <m/>
    <m/>
    <m/>
    <m/>
    <m/>
    <m/>
    <m/>
    <m/>
    <m/>
    <m/>
    <m/>
    <n v="1"/>
    <m/>
    <m/>
    <m/>
    <n v="3"/>
  </r>
  <r>
    <x v="11"/>
    <x v="1"/>
    <n v="11606"/>
    <x v="0"/>
    <x v="0"/>
    <s v="SIMVASTATIN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1"/>
    <x v="1"/>
    <n v="11853"/>
    <x v="0"/>
    <x v="3"/>
    <s v="ESOMEPRAZOLE MAGNESIUM"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n v="2"/>
  </r>
  <r>
    <x v="11"/>
    <x v="1"/>
    <n v="12082"/>
    <x v="0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11"/>
    <x v="1"/>
    <n v="12131"/>
    <x v="0"/>
    <x v="3"/>
    <s v="ESOME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2469"/>
    <x v="0"/>
    <x v="0"/>
    <s v="ROSUVASTATIN CALCIUM"/>
    <n v="1"/>
    <m/>
    <m/>
    <m/>
    <n v="1"/>
    <m/>
    <m/>
    <m/>
    <m/>
    <m/>
    <n v="1"/>
    <m/>
    <m/>
    <m/>
    <m/>
    <n v="1"/>
    <m/>
    <m/>
    <m/>
    <n v="1"/>
    <m/>
    <m/>
    <m/>
    <m/>
    <m/>
    <m/>
    <m/>
    <m/>
    <m/>
    <n v="5"/>
  </r>
  <r>
    <x v="11"/>
    <x v="1"/>
    <n v="12469"/>
    <x v="0"/>
    <x v="3"/>
    <s v="RABEPRAZOLE SODIUM"/>
    <m/>
    <m/>
    <m/>
    <n v="1"/>
    <m/>
    <m/>
    <m/>
    <m/>
    <m/>
    <m/>
    <m/>
    <n v="1"/>
    <m/>
    <m/>
    <m/>
    <m/>
    <m/>
    <m/>
    <m/>
    <m/>
    <m/>
    <m/>
    <n v="1"/>
    <m/>
    <m/>
    <m/>
    <m/>
    <m/>
    <m/>
    <n v="3"/>
  </r>
  <r>
    <x v="11"/>
    <x v="1"/>
    <n v="12703"/>
    <x v="0"/>
    <x v="3"/>
    <s v="ESOMEPRAZOLE MAGNESIUM"/>
    <n v="1"/>
    <m/>
    <m/>
    <m/>
    <m/>
    <m/>
    <m/>
    <n v="1"/>
    <m/>
    <m/>
    <m/>
    <m/>
    <n v="1"/>
    <m/>
    <m/>
    <m/>
    <n v="1"/>
    <m/>
    <m/>
    <m/>
    <n v="1"/>
    <m/>
    <m/>
    <m/>
    <m/>
    <n v="1"/>
    <m/>
    <m/>
    <m/>
    <n v="6"/>
  </r>
  <r>
    <x v="11"/>
    <x v="1"/>
    <n v="12913"/>
    <x v="0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2913"/>
    <x v="0"/>
    <x v="3"/>
    <s v="RABEPRAZOLE SOD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1"/>
    <x v="1"/>
    <n v="12979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4417"/>
    <x v="0"/>
    <x v="0"/>
    <s v="ROSU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1"/>
    <x v="1"/>
    <n v="14739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n v="2"/>
  </r>
  <r>
    <x v="11"/>
    <x v="1"/>
    <n v="15015"/>
    <x v="0"/>
    <x v="3"/>
    <s v="ESOMEPRAZOLE MAGNES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1"/>
    <x v="1"/>
    <n v="15403"/>
    <x v="0"/>
    <x v="3"/>
    <s v="PANTOPRAZOLE MAGNES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1"/>
    <x v="1"/>
    <n v="17618"/>
    <x v="0"/>
    <x v="3"/>
    <s v="RABEPRAZOLE SOD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</r>
  <r>
    <x v="11"/>
    <x v="1"/>
    <n v="19347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1"/>
    <x v="1"/>
    <n v="2082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0861"/>
    <x v="0"/>
    <x v="0"/>
    <s v="ROSU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11"/>
    <x v="1"/>
    <n v="21185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1"/>
    <x v="1"/>
    <n v="2338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3631"/>
    <x v="0"/>
    <x v="3"/>
    <s v="RABEPRAZOLE SODIUM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</r>
  <r>
    <x v="11"/>
    <x v="1"/>
    <n v="2459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3020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30638"/>
    <x v="0"/>
    <x v="3"/>
    <s v="ESOMEPRAZOLE MAGNESIUM"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</r>
  <r>
    <x v="11"/>
    <x v="1"/>
    <n v="485"/>
    <x v="1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1"/>
    <x v="1"/>
    <n v="485"/>
    <x v="1"/>
    <x v="3"/>
    <s v="RABEPRAZOLE SODIUM"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n v="2"/>
  </r>
  <r>
    <x v="11"/>
    <x v="1"/>
    <n v="1227"/>
    <x v="1"/>
    <x v="3"/>
    <s v="PANTOPRAZOLE MAGNES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1"/>
    <x v="1"/>
    <n v="1399"/>
    <x v="1"/>
    <x v="3"/>
    <s v="OMEPRAZOLE"/>
    <m/>
    <m/>
    <m/>
    <m/>
    <m/>
    <m/>
    <m/>
    <m/>
    <n v="1"/>
    <m/>
    <m/>
    <m/>
    <m/>
    <m/>
    <m/>
    <m/>
    <m/>
    <m/>
    <m/>
    <m/>
    <n v="1"/>
    <m/>
    <m/>
    <m/>
    <n v="1"/>
    <m/>
    <m/>
    <n v="1"/>
    <m/>
    <n v="4"/>
  </r>
  <r>
    <x v="11"/>
    <x v="1"/>
    <n v="1679"/>
    <x v="1"/>
    <x v="3"/>
    <s v="PANTO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976"/>
    <x v="1"/>
    <x v="3"/>
    <s v="ESOMEPRAZOLE MAGNESIUM"/>
    <n v="1"/>
    <m/>
    <m/>
    <m/>
    <m/>
    <m/>
    <m/>
    <n v="1"/>
    <m/>
    <m/>
    <m/>
    <m/>
    <m/>
    <m/>
    <m/>
    <n v="1"/>
    <m/>
    <m/>
    <m/>
    <m/>
    <m/>
    <m/>
    <m/>
    <m/>
    <m/>
    <m/>
    <m/>
    <m/>
    <m/>
    <n v="3"/>
  </r>
  <r>
    <x v="11"/>
    <x v="1"/>
    <n v="1976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97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05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389"/>
    <x v="1"/>
    <x v="0"/>
    <s v="ROSUVASTATIN CALCIUM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n v="2"/>
  </r>
  <r>
    <x v="11"/>
    <x v="1"/>
    <n v="2389"/>
    <x v="1"/>
    <x v="6"/>
    <s v="EZETIMIBE"/>
    <m/>
    <m/>
    <m/>
    <m/>
    <m/>
    <m/>
    <m/>
    <n v="1"/>
    <m/>
    <m/>
    <m/>
    <m/>
    <m/>
    <m/>
    <m/>
    <m/>
    <m/>
    <m/>
    <m/>
    <m/>
    <m/>
    <n v="1"/>
    <m/>
    <n v="1"/>
    <m/>
    <m/>
    <m/>
    <m/>
    <m/>
    <n v="3"/>
  </r>
  <r>
    <x v="11"/>
    <x v="1"/>
    <n v="2389"/>
    <x v="1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n v="2"/>
  </r>
  <r>
    <x v="11"/>
    <x v="1"/>
    <n v="2417"/>
    <x v="1"/>
    <x v="3"/>
    <s v="PANTOPRAZOLE MAGNES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1"/>
    <x v="1"/>
    <n v="2775"/>
    <x v="1"/>
    <x v="0"/>
    <s v="SIMVASTATIN"/>
    <n v="1"/>
    <m/>
    <n v="1"/>
    <m/>
    <m/>
    <m/>
    <m/>
    <m/>
    <m/>
    <m/>
    <m/>
    <m/>
    <m/>
    <m/>
    <m/>
    <m/>
    <m/>
    <m/>
    <m/>
    <m/>
    <n v="2"/>
    <n v="1"/>
    <n v="1"/>
    <n v="1"/>
    <n v="1"/>
    <n v="1"/>
    <n v="1"/>
    <n v="1"/>
    <m/>
    <n v="11"/>
  </r>
  <r>
    <x v="11"/>
    <x v="1"/>
    <n v="2793"/>
    <x v="1"/>
    <x v="3"/>
    <s v="RABEPRAZOLE SODIUM"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</r>
  <r>
    <x v="11"/>
    <x v="1"/>
    <n v="3908"/>
    <x v="1"/>
    <x v="3"/>
    <s v="RABEPRAZOLE SODIUM"/>
    <m/>
    <n v="1"/>
    <m/>
    <m/>
    <m/>
    <n v="1"/>
    <m/>
    <m/>
    <m/>
    <m/>
    <m/>
    <n v="1"/>
    <m/>
    <m/>
    <m/>
    <m/>
    <n v="1"/>
    <m/>
    <m/>
    <m/>
    <m/>
    <m/>
    <m/>
    <m/>
    <m/>
    <m/>
    <m/>
    <m/>
    <m/>
    <n v="4"/>
  </r>
  <r>
    <x v="11"/>
    <x v="1"/>
    <n v="3980"/>
    <x v="1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1"/>
    <x v="1"/>
    <n v="4153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4308"/>
    <x v="1"/>
    <x v="0"/>
    <s v="SIMVASTATIN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n v="2"/>
  </r>
  <r>
    <x v="11"/>
    <x v="1"/>
    <n v="4308"/>
    <x v="1"/>
    <x v="6"/>
    <s v="EZETIMIBE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11"/>
    <x v="1"/>
    <n v="5342"/>
    <x v="1"/>
    <x v="1"/>
    <s v="RANITIDINE HCL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5342"/>
    <x v="1"/>
    <x v="3"/>
    <s v="PANTOPRAZOLE MAGNES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11"/>
    <x v="1"/>
    <n v="5499"/>
    <x v="1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5499"/>
    <x v="1"/>
    <x v="3"/>
    <s v="ESOMEPRAZOLE MAGNESIUM"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</r>
  <r>
    <x v="11"/>
    <x v="1"/>
    <n v="550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6435"/>
    <x v="1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1"/>
    <x v="1"/>
    <n v="6777"/>
    <x v="1"/>
    <x v="3"/>
    <s v="RABEPRAZOLE SODIUM"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n v="2"/>
  </r>
  <r>
    <x v="11"/>
    <x v="1"/>
    <n v="7242"/>
    <x v="1"/>
    <x v="1"/>
    <s v="RANITIDINE HCL"/>
    <m/>
    <m/>
    <m/>
    <m/>
    <m/>
    <m/>
    <m/>
    <n v="1"/>
    <m/>
    <m/>
    <n v="1"/>
    <m/>
    <m/>
    <m/>
    <m/>
    <m/>
    <m/>
    <m/>
    <m/>
    <m/>
    <m/>
    <m/>
    <m/>
    <m/>
    <n v="1"/>
    <m/>
    <m/>
    <m/>
    <m/>
    <n v="3"/>
  </r>
  <r>
    <x v="11"/>
    <x v="1"/>
    <n v="7333"/>
    <x v="1"/>
    <x v="0"/>
    <s v="ATORVASTATIN CALC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1"/>
    <x v="1"/>
    <n v="7333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1"/>
    <x v="1"/>
    <n v="7398"/>
    <x v="1"/>
    <x v="3"/>
    <s v="PANTOPRAZOLE MAGNES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1"/>
    <x v="1"/>
    <n v="7691"/>
    <x v="1"/>
    <x v="3"/>
    <s v="OMEPRAZOLE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n v="2"/>
  </r>
  <r>
    <x v="11"/>
    <x v="1"/>
    <n v="7946"/>
    <x v="1"/>
    <x v="3"/>
    <s v="ESOMEPRAZOLE MAGNESIUM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</r>
  <r>
    <x v="11"/>
    <x v="1"/>
    <n v="7946"/>
    <x v="1"/>
    <x v="3"/>
    <s v="PANTO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794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797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8145"/>
    <x v="1"/>
    <x v="0"/>
    <s v="ATORVASTATIN CALCIUM"/>
    <m/>
    <m/>
    <m/>
    <m/>
    <m/>
    <m/>
    <m/>
    <m/>
    <m/>
    <m/>
    <m/>
    <m/>
    <m/>
    <m/>
    <m/>
    <m/>
    <n v="1"/>
    <m/>
    <n v="2"/>
    <n v="1"/>
    <n v="1"/>
    <n v="1"/>
    <n v="1"/>
    <n v="1"/>
    <n v="1"/>
    <n v="1"/>
    <n v="1"/>
    <n v="1"/>
    <n v="1"/>
    <n v="13"/>
  </r>
  <r>
    <x v="11"/>
    <x v="1"/>
    <n v="8145"/>
    <x v="1"/>
    <x v="0"/>
    <s v="LOVASTATIN"/>
    <n v="1"/>
    <n v="1"/>
    <m/>
    <n v="1"/>
    <n v="1"/>
    <m/>
    <m/>
    <n v="1"/>
    <n v="1"/>
    <m/>
    <m/>
    <n v="1"/>
    <m/>
    <m/>
    <m/>
    <m/>
    <m/>
    <m/>
    <m/>
    <m/>
    <m/>
    <m/>
    <m/>
    <m/>
    <m/>
    <m/>
    <m/>
    <m/>
    <m/>
    <n v="7"/>
  </r>
  <r>
    <x v="11"/>
    <x v="1"/>
    <n v="8303"/>
    <x v="1"/>
    <x v="0"/>
    <s v="PRAVASTATIN SOD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1"/>
    <x v="1"/>
    <n v="9007"/>
    <x v="1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11"/>
    <x v="1"/>
    <n v="901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9046"/>
    <x v="1"/>
    <x v="1"/>
    <s v="CIMETIDINE"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1"/>
    <x v="1"/>
    <n v="9046"/>
    <x v="1"/>
    <x v="0"/>
    <s v="ROSUVASTATIN CALCIUM"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1"/>
    <x v="1"/>
    <n v="9874"/>
    <x v="1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1"/>
    <x v="1"/>
    <n v="10782"/>
    <x v="1"/>
    <x v="3"/>
    <s v="PANTOPRAZOLE MAGNESIUM"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</r>
  <r>
    <x v="11"/>
    <x v="1"/>
    <n v="10969"/>
    <x v="1"/>
    <x v="0"/>
    <s v="ATORVASTATIN CALCIUM"/>
    <n v="1"/>
    <m/>
    <n v="1"/>
    <m/>
    <n v="1"/>
    <m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4"/>
  </r>
  <r>
    <x v="11"/>
    <x v="1"/>
    <n v="10969"/>
    <x v="1"/>
    <x v="3"/>
    <s v="RABEPRAZOLE SODIUM"/>
    <n v="1"/>
    <m/>
    <n v="1"/>
    <m/>
    <n v="1"/>
    <m/>
    <m/>
    <n v="1"/>
    <m/>
    <n v="1"/>
    <m/>
    <n v="1"/>
    <m/>
    <n v="1"/>
    <m/>
    <n v="1"/>
    <m/>
    <n v="1"/>
    <m/>
    <n v="1"/>
    <m/>
    <n v="1"/>
    <m/>
    <n v="1"/>
    <m/>
    <n v="1"/>
    <m/>
    <n v="1"/>
    <m/>
    <n v="14"/>
  </r>
  <r>
    <x v="11"/>
    <x v="1"/>
    <n v="11158"/>
    <x v="1"/>
    <x v="3"/>
    <s v="ESOMEPRAZOLE MAGNESIUM"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11"/>
    <x v="1"/>
    <n v="11158"/>
    <x v="1"/>
    <x v="3"/>
    <s v="PANTOPRAZOLE MAGNES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11"/>
    <x v="1"/>
    <n v="11348"/>
    <x v="1"/>
    <x v="3"/>
    <s v="ESOMEPRAZOLE MAGNESIUM"/>
    <n v="3"/>
    <m/>
    <m/>
    <m/>
    <m/>
    <n v="1"/>
    <m/>
    <m/>
    <m/>
    <n v="1"/>
    <n v="1"/>
    <m/>
    <m/>
    <m/>
    <n v="1"/>
    <m/>
    <m/>
    <m/>
    <n v="1"/>
    <m/>
    <m/>
    <n v="1"/>
    <m/>
    <m/>
    <m/>
    <m/>
    <n v="1"/>
    <m/>
    <m/>
    <n v="10"/>
  </r>
  <r>
    <x v="11"/>
    <x v="1"/>
    <n v="11377"/>
    <x v="1"/>
    <x v="3"/>
    <s v="RABEPRAZOLE SODIUM"/>
    <m/>
    <m/>
    <m/>
    <n v="1"/>
    <m/>
    <m/>
    <m/>
    <m/>
    <m/>
    <n v="1"/>
    <m/>
    <m/>
    <m/>
    <m/>
    <m/>
    <n v="1"/>
    <m/>
    <m/>
    <m/>
    <m/>
    <m/>
    <m/>
    <n v="1"/>
    <m/>
    <m/>
    <m/>
    <m/>
    <m/>
    <m/>
    <n v="4"/>
  </r>
  <r>
    <x v="11"/>
    <x v="1"/>
    <n v="11807"/>
    <x v="1"/>
    <x v="3"/>
    <s v="RABEPRAZOLE SODIUM"/>
    <m/>
    <m/>
    <m/>
    <m/>
    <n v="1"/>
    <m/>
    <m/>
    <m/>
    <m/>
    <m/>
    <m/>
    <m/>
    <m/>
    <m/>
    <n v="1"/>
    <m/>
    <m/>
    <m/>
    <m/>
    <m/>
    <m/>
    <m/>
    <n v="1"/>
    <m/>
    <m/>
    <m/>
    <m/>
    <n v="1"/>
    <m/>
    <n v="4"/>
  </r>
  <r>
    <x v="11"/>
    <x v="1"/>
    <n v="11852"/>
    <x v="1"/>
    <x v="3"/>
    <s v="RABEPRAZOLE SOD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1"/>
    <x v="1"/>
    <n v="12100"/>
    <x v="1"/>
    <x v="1"/>
    <s v="RANITIDINE HCL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11"/>
    <x v="1"/>
    <n v="12100"/>
    <x v="1"/>
    <x v="0"/>
    <s v="SIMVASTATIN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11"/>
    <x v="1"/>
    <n v="12102"/>
    <x v="1"/>
    <x v="3"/>
    <s v="RABEPRAZOLE SODIUM"/>
    <n v="1"/>
    <m/>
    <m/>
    <m/>
    <m/>
    <m/>
    <m/>
    <m/>
    <m/>
    <m/>
    <m/>
    <n v="1"/>
    <m/>
    <m/>
    <m/>
    <m/>
    <m/>
    <m/>
    <n v="1"/>
    <m/>
    <m/>
    <m/>
    <m/>
    <m/>
    <m/>
    <m/>
    <m/>
    <m/>
    <m/>
    <n v="3"/>
  </r>
  <r>
    <x v="11"/>
    <x v="1"/>
    <n v="13000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194"/>
    <x v="1"/>
    <x v="3"/>
    <s v="PANTOPRAZOLE MAGNESIUM"/>
    <m/>
    <m/>
    <m/>
    <m/>
    <m/>
    <n v="1"/>
    <m/>
    <m/>
    <n v="1"/>
    <n v="1"/>
    <m/>
    <m/>
    <n v="1"/>
    <n v="1"/>
    <m/>
    <m/>
    <m/>
    <m/>
    <n v="1"/>
    <m/>
    <n v="1"/>
    <m/>
    <m/>
    <m/>
    <m/>
    <m/>
    <m/>
    <m/>
    <m/>
    <n v="7"/>
  </r>
  <r>
    <x v="11"/>
    <x v="1"/>
    <n v="1319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652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652"/>
    <x v="1"/>
    <x v="0"/>
    <s v="ROSUVASTATIN CALCIUM"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n v="2"/>
  </r>
  <r>
    <x v="11"/>
    <x v="1"/>
    <n v="14198"/>
    <x v="1"/>
    <x v="3"/>
    <s v="RABEPRAZOLE SODIUM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2"/>
  </r>
  <r>
    <x v="11"/>
    <x v="1"/>
    <n v="14210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421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</r>
  <r>
    <x v="11"/>
    <x v="1"/>
    <n v="14416"/>
    <x v="1"/>
    <x v="3"/>
    <s v="RABEPRAZOLE SODIUM"/>
    <m/>
    <m/>
    <n v="1"/>
    <m/>
    <m/>
    <m/>
    <m/>
    <m/>
    <m/>
    <m/>
    <m/>
    <m/>
    <m/>
    <m/>
    <m/>
    <m/>
    <m/>
    <n v="1"/>
    <m/>
    <m/>
    <m/>
    <m/>
    <m/>
    <m/>
    <n v="1"/>
    <m/>
    <m/>
    <m/>
    <m/>
    <n v="3"/>
  </r>
  <r>
    <x v="11"/>
    <x v="1"/>
    <n v="14420"/>
    <x v="1"/>
    <x v="3"/>
    <s v="ESOMEPRAZOLE MAGNESIUM"/>
    <n v="1"/>
    <m/>
    <m/>
    <m/>
    <m/>
    <m/>
    <m/>
    <n v="1"/>
    <m/>
    <m/>
    <m/>
    <m/>
    <n v="1"/>
    <m/>
    <m/>
    <m/>
    <n v="1"/>
    <m/>
    <m/>
    <m/>
    <m/>
    <m/>
    <m/>
    <m/>
    <m/>
    <m/>
    <m/>
    <m/>
    <m/>
    <n v="4"/>
  </r>
  <r>
    <x v="11"/>
    <x v="1"/>
    <n v="14756"/>
    <x v="1"/>
    <x v="0"/>
    <s v="ROSU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1"/>
    <x v="1"/>
    <n v="15561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1"/>
    <x v="1"/>
    <n v="15561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1"/>
    <x v="1"/>
    <n v="1567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6127"/>
    <x v="1"/>
    <x v="0"/>
    <s v="PRAVASTATIN SODIUM"/>
    <m/>
    <m/>
    <m/>
    <m/>
    <n v="1"/>
    <m/>
    <m/>
    <m/>
    <m/>
    <n v="1"/>
    <m/>
    <m/>
    <m/>
    <n v="1"/>
    <m/>
    <m/>
    <m/>
    <n v="1"/>
    <m/>
    <m/>
    <m/>
    <m/>
    <n v="1"/>
    <m/>
    <m/>
    <n v="1"/>
    <m/>
    <m/>
    <m/>
    <n v="6"/>
  </r>
  <r>
    <x v="11"/>
    <x v="1"/>
    <n v="16420"/>
    <x v="1"/>
    <x v="3"/>
    <s v="LANSOPRAZOLE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1"/>
    <x v="1"/>
    <n v="18805"/>
    <x v="1"/>
    <x v="0"/>
    <s v="ROSUVASTATIN CALCIUM"/>
    <m/>
    <m/>
    <n v="1"/>
    <m/>
    <m/>
    <m/>
    <m/>
    <n v="1"/>
    <m/>
    <m/>
    <n v="1"/>
    <m/>
    <m/>
    <m/>
    <m/>
    <n v="1"/>
    <m/>
    <m/>
    <m/>
    <n v="1"/>
    <m/>
    <m/>
    <m/>
    <n v="1"/>
    <m/>
    <m/>
    <m/>
    <n v="1"/>
    <m/>
    <n v="7"/>
  </r>
  <r>
    <x v="11"/>
    <x v="1"/>
    <n v="1895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8958"/>
    <x v="1"/>
    <x v="3"/>
    <s v="PANTOPRAZOLE SODIUM"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n v="2"/>
  </r>
  <r>
    <x v="11"/>
    <x v="1"/>
    <n v="1970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0377"/>
    <x v="1"/>
    <x v="3"/>
    <s v="RABEPRAZOLE SODIUM"/>
    <m/>
    <n v="1"/>
    <m/>
    <m/>
    <m/>
    <m/>
    <m/>
    <m/>
    <m/>
    <m/>
    <m/>
    <m/>
    <n v="1"/>
    <m/>
    <m/>
    <m/>
    <m/>
    <m/>
    <n v="1"/>
    <m/>
    <m/>
    <m/>
    <m/>
    <m/>
    <m/>
    <m/>
    <m/>
    <m/>
    <m/>
    <n v="3"/>
  </r>
  <r>
    <x v="11"/>
    <x v="1"/>
    <n v="2350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4838"/>
    <x v="1"/>
    <x v="3"/>
    <s v="ESOMEPRAZOLE MAGNESIUM"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</r>
  <r>
    <x v="11"/>
    <x v="1"/>
    <n v="12003"/>
    <x v="0"/>
    <x v="3"/>
    <s v="RABEPRAZOLE SODIUM"/>
    <m/>
    <m/>
    <m/>
    <m/>
    <m/>
    <m/>
    <m/>
    <n v="2"/>
    <m/>
    <m/>
    <m/>
    <m/>
    <m/>
    <m/>
    <m/>
    <m/>
    <m/>
    <m/>
    <m/>
    <m/>
    <m/>
    <m/>
    <n v="1"/>
    <m/>
    <m/>
    <m/>
    <m/>
    <m/>
    <m/>
    <n v="3"/>
  </r>
  <r>
    <x v="11"/>
    <x v="1"/>
    <n v="12194"/>
    <x v="1"/>
    <x v="3"/>
    <s v="RABEPRAZOLE SODIUM"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</r>
  <r>
    <x v="11"/>
    <x v="1"/>
    <n v="2774"/>
    <x v="0"/>
    <x v="1"/>
    <s v="RANITIDINE HCL"/>
    <n v="1"/>
    <n v="1"/>
    <n v="1"/>
    <n v="1"/>
    <n v="1"/>
    <n v="1"/>
    <m/>
    <m/>
    <n v="1"/>
    <n v="2"/>
    <n v="1"/>
    <m/>
    <n v="2"/>
    <n v="1"/>
    <n v="1"/>
    <n v="1"/>
    <n v="1"/>
    <n v="1"/>
    <n v="1"/>
    <n v="1"/>
    <m/>
    <n v="2"/>
    <m/>
    <n v="2"/>
    <n v="1"/>
    <n v="1"/>
    <n v="3"/>
    <n v="1"/>
    <m/>
    <n v="29"/>
  </r>
  <r>
    <x v="11"/>
    <x v="1"/>
    <n v="762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7915"/>
    <x v="0"/>
    <x v="3"/>
    <s v="ESOMEPRAZOLE MAGNESIUM"/>
    <m/>
    <m/>
    <m/>
    <m/>
    <m/>
    <m/>
    <m/>
    <m/>
    <m/>
    <m/>
    <m/>
    <m/>
    <m/>
    <n v="1"/>
    <m/>
    <m/>
    <m/>
    <m/>
    <m/>
    <m/>
    <m/>
    <m/>
    <m/>
    <n v="1"/>
    <m/>
    <m/>
    <n v="1"/>
    <m/>
    <m/>
    <n v="3"/>
  </r>
  <r>
    <x v="11"/>
    <x v="1"/>
    <n v="801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8010"/>
    <x v="0"/>
    <x v="3"/>
    <s v="RABEPRAZOLE SODIUM"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n v="3"/>
  </r>
  <r>
    <x v="11"/>
    <x v="1"/>
    <n v="11098"/>
    <x v="0"/>
    <x v="1"/>
    <s v="CIMETIDINE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1"/>
    <x v="1"/>
    <n v="5"/>
    <x v="1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1"/>
    <x v="1"/>
    <n v="16842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1"/>
    <x v="1"/>
    <n v="3969"/>
    <x v="0"/>
    <x v="3"/>
    <s v="ESOMEPRAZOLE MAGNES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1"/>
    <x v="1"/>
    <n v="8810"/>
    <x v="0"/>
    <x v="3"/>
    <s v="ESOMEPRAZOLE MAGNES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2"/>
  </r>
  <r>
    <x v="11"/>
    <x v="1"/>
    <n v="19347"/>
    <x v="0"/>
    <x v="3"/>
    <s v="ESOME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2007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8145"/>
    <x v="1"/>
    <x v="1"/>
    <s v="RANITIDINE HCL"/>
    <n v="1"/>
    <n v="1"/>
    <m/>
    <n v="1"/>
    <n v="1"/>
    <m/>
    <m/>
    <n v="1"/>
    <n v="1"/>
    <m/>
    <m/>
    <n v="1"/>
    <m/>
    <m/>
    <m/>
    <m/>
    <m/>
    <m/>
    <m/>
    <m/>
    <m/>
    <m/>
    <m/>
    <m/>
    <m/>
    <m/>
    <m/>
    <m/>
    <m/>
    <n v="7"/>
  </r>
  <r>
    <x v="11"/>
    <x v="1"/>
    <n v="13652"/>
    <x v="1"/>
    <x v="3"/>
    <s v="PANTOPRAZOLE SODIUM"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n v="2"/>
  </r>
  <r>
    <x v="11"/>
    <x v="1"/>
    <n v="488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7947"/>
    <x v="0"/>
    <x v="3"/>
    <s v="ESOMEPRAZOLE MAGNES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11"/>
    <x v="1"/>
    <n v="14595"/>
    <x v="0"/>
    <x v="3"/>
    <s v="RABEPRAZOLE SODIUM"/>
    <m/>
    <m/>
    <n v="1"/>
    <m/>
    <m/>
    <n v="1"/>
    <m/>
    <m/>
    <m/>
    <m/>
    <m/>
    <m/>
    <m/>
    <m/>
    <m/>
    <m/>
    <m/>
    <m/>
    <m/>
    <m/>
    <m/>
    <n v="1"/>
    <m/>
    <m/>
    <m/>
    <m/>
    <m/>
    <m/>
    <m/>
    <n v="3"/>
  </r>
  <r>
    <x v="11"/>
    <x v="1"/>
    <n v="2775"/>
    <x v="1"/>
    <x v="1"/>
    <s v="RANITIDINE HCL"/>
    <n v="1"/>
    <m/>
    <n v="1"/>
    <m/>
    <m/>
    <m/>
    <m/>
    <m/>
    <m/>
    <m/>
    <m/>
    <m/>
    <m/>
    <m/>
    <m/>
    <m/>
    <m/>
    <m/>
    <m/>
    <m/>
    <n v="2"/>
    <n v="1"/>
    <n v="1"/>
    <n v="1"/>
    <n v="1"/>
    <n v="1"/>
    <n v="1"/>
    <n v="1"/>
    <m/>
    <n v="11"/>
  </r>
  <r>
    <x v="11"/>
    <x v="1"/>
    <n v="4308"/>
    <x v="1"/>
    <x v="3"/>
    <s v="RABEPRAZOLE SOD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1"/>
    <x v="1"/>
    <n v="449"/>
    <x v="0"/>
    <x v="0"/>
    <s v="LO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682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1"/>
    <x v="1"/>
    <n v="1655"/>
    <x v="0"/>
    <x v="0"/>
    <s v="ROSUVASTATIN CALCIUM"/>
    <n v="2"/>
    <m/>
    <m/>
    <m/>
    <m/>
    <m/>
    <m/>
    <m/>
    <n v="1"/>
    <m/>
    <m/>
    <m/>
    <m/>
    <n v="1"/>
    <m/>
    <m/>
    <m/>
    <m/>
    <m/>
    <m/>
    <m/>
    <n v="2"/>
    <m/>
    <m/>
    <m/>
    <m/>
    <m/>
    <m/>
    <m/>
    <n v="6"/>
  </r>
  <r>
    <x v="11"/>
    <x v="1"/>
    <n v="2622"/>
    <x v="0"/>
    <x v="0"/>
    <s v="ROSUVASTATIN CALCIUM"/>
    <m/>
    <m/>
    <m/>
    <n v="1"/>
    <m/>
    <m/>
    <m/>
    <m/>
    <m/>
    <m/>
    <m/>
    <m/>
    <m/>
    <m/>
    <m/>
    <m/>
    <m/>
    <m/>
    <m/>
    <m/>
    <m/>
    <n v="1"/>
    <m/>
    <m/>
    <m/>
    <m/>
    <m/>
    <n v="1"/>
    <m/>
    <n v="3"/>
  </r>
  <r>
    <x v="11"/>
    <x v="1"/>
    <n v="3722"/>
    <x v="0"/>
    <x v="0"/>
    <s v="ROSUVASTATIN CALCIUM"/>
    <m/>
    <n v="1"/>
    <m/>
    <m/>
    <m/>
    <m/>
    <m/>
    <m/>
    <m/>
    <m/>
    <m/>
    <m/>
    <m/>
    <m/>
    <m/>
    <m/>
    <m/>
    <n v="1"/>
    <m/>
    <m/>
    <m/>
    <m/>
    <n v="1"/>
    <m/>
    <m/>
    <m/>
    <m/>
    <m/>
    <m/>
    <n v="3"/>
  </r>
  <r>
    <x v="11"/>
    <x v="1"/>
    <n v="3789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11"/>
    <x v="1"/>
    <n v="3827"/>
    <x v="0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1"/>
    <x v="1"/>
    <n v="5500"/>
    <x v="0"/>
    <x v="0"/>
    <s v="ROSUVASTATIN CALCIUM"/>
    <m/>
    <n v="1"/>
    <m/>
    <n v="1"/>
    <m/>
    <n v="1"/>
    <m/>
    <m/>
    <n v="1"/>
    <m/>
    <n v="1"/>
    <m/>
    <n v="1"/>
    <m/>
    <n v="1"/>
    <m/>
    <m/>
    <n v="1"/>
    <m/>
    <n v="1"/>
    <m/>
    <n v="1"/>
    <m/>
    <n v="1"/>
    <m/>
    <n v="1"/>
    <m/>
    <n v="1"/>
    <m/>
    <n v="13"/>
  </r>
  <r>
    <x v="11"/>
    <x v="1"/>
    <n v="5876"/>
    <x v="0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1"/>
    <x v="1"/>
    <n v="6413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n v="2"/>
  </r>
  <r>
    <x v="11"/>
    <x v="1"/>
    <n v="7307"/>
    <x v="0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n v="3"/>
  </r>
  <r>
    <x v="11"/>
    <x v="1"/>
    <n v="8677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9382"/>
    <x v="0"/>
    <x v="0"/>
    <s v="SIMVASTATIN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11"/>
    <x v="1"/>
    <n v="11282"/>
    <x v="0"/>
    <x v="0"/>
    <s v="ROSU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1"/>
    <x v="1"/>
    <n v="11716"/>
    <x v="0"/>
    <x v="0"/>
    <s v="ROSUVASTATIN CALCIUM"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1"/>
    <x v="1"/>
    <n v="12214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1"/>
    <x v="1"/>
    <n v="12678"/>
    <x v="0"/>
    <x v="0"/>
    <s v="ROSUVASTATIN CALCIUM"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n v="2"/>
  </r>
  <r>
    <x v="11"/>
    <x v="1"/>
    <n v="12926"/>
    <x v="0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1"/>
    <x v="1"/>
    <n v="13145"/>
    <x v="0"/>
    <x v="0"/>
    <s v="ROSUVASTATIN CALC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</r>
  <r>
    <x v="11"/>
    <x v="1"/>
    <n v="13964"/>
    <x v="0"/>
    <x v="0"/>
    <s v="LO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30418"/>
    <x v="0"/>
    <x v="0"/>
    <s v="SIMVASTATIN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1"/>
    <x v="1"/>
    <n v="666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n v="2"/>
  </r>
  <r>
    <x v="11"/>
    <x v="1"/>
    <n v="3399"/>
    <x v="1"/>
    <x v="0"/>
    <s v="ROSUVASTATIN CALCIUM"/>
    <m/>
    <m/>
    <m/>
    <m/>
    <m/>
    <m/>
    <m/>
    <n v="1"/>
    <m/>
    <m/>
    <m/>
    <m/>
    <m/>
    <m/>
    <m/>
    <m/>
    <m/>
    <m/>
    <m/>
    <m/>
    <m/>
    <n v="2"/>
    <m/>
    <m/>
    <m/>
    <m/>
    <m/>
    <m/>
    <m/>
    <n v="3"/>
  </r>
  <r>
    <x v="11"/>
    <x v="1"/>
    <n v="3551"/>
    <x v="1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7958"/>
    <x v="1"/>
    <x v="0"/>
    <s v="ATORVASTATIN CALCIUM"/>
    <m/>
    <m/>
    <m/>
    <m/>
    <n v="2"/>
    <m/>
    <m/>
    <m/>
    <m/>
    <m/>
    <m/>
    <m/>
    <m/>
    <m/>
    <n v="1"/>
    <m/>
    <m/>
    <m/>
    <m/>
    <m/>
    <m/>
    <n v="1"/>
    <m/>
    <m/>
    <m/>
    <m/>
    <m/>
    <m/>
    <m/>
    <n v="4"/>
  </r>
  <r>
    <x v="11"/>
    <x v="1"/>
    <n v="9153"/>
    <x v="1"/>
    <x v="0"/>
    <s v="ROSUVASTATIN CALCIUM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n v="2"/>
  </r>
  <r>
    <x v="11"/>
    <x v="1"/>
    <n v="10237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1"/>
    <x v="1"/>
    <n v="12677"/>
    <x v="1"/>
    <x v="0"/>
    <s v="ROSUVASTATIN CALCIUM"/>
    <m/>
    <m/>
    <m/>
    <m/>
    <n v="1"/>
    <m/>
    <m/>
    <m/>
    <m/>
    <m/>
    <m/>
    <m/>
    <m/>
    <m/>
    <m/>
    <m/>
    <m/>
    <m/>
    <m/>
    <m/>
    <m/>
    <n v="2"/>
    <m/>
    <m/>
    <m/>
    <m/>
    <m/>
    <m/>
    <m/>
    <n v="3"/>
  </r>
  <r>
    <x v="11"/>
    <x v="1"/>
    <n v="13186"/>
    <x v="1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3416"/>
    <x v="1"/>
    <x v="6"/>
    <s v="EZETIMIBE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1"/>
    <x v="1"/>
    <n v="15016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1"/>
    <x v="1"/>
    <n v="15324"/>
    <x v="1"/>
    <x v="0"/>
    <s v="ATORVASTATIN CALCIUM"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m/>
    <n v="1"/>
    <n v="7"/>
  </r>
  <r>
    <x v="11"/>
    <x v="1"/>
    <n v="15910"/>
    <x v="1"/>
    <x v="0"/>
    <s v="ROSUVASTATIN CALCIUM"/>
    <m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m/>
    <n v="5"/>
  </r>
  <r>
    <x v="11"/>
    <x v="1"/>
    <n v="17099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1"/>
    <x v="1"/>
    <n v="19277"/>
    <x v="1"/>
    <x v="0"/>
    <s v="ROSUVASTATIN CALCIUM"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1"/>
    <x v="1"/>
    <n v="20808"/>
    <x v="1"/>
    <x v="0"/>
    <s v="ROSUVASTATIN CALCIUM"/>
    <m/>
    <n v="1"/>
    <m/>
    <m/>
    <m/>
    <n v="2"/>
    <m/>
    <m/>
    <m/>
    <m/>
    <m/>
    <n v="1"/>
    <m/>
    <m/>
    <m/>
    <n v="1"/>
    <m/>
    <m/>
    <m/>
    <m/>
    <n v="1"/>
    <m/>
    <m/>
    <m/>
    <m/>
    <n v="3"/>
    <m/>
    <m/>
    <n v="1"/>
    <n v="10"/>
  </r>
  <r>
    <x v="11"/>
    <x v="1"/>
    <n v="30522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1"/>
    <x v="1"/>
    <n v="33432"/>
    <x v="1"/>
    <x v="0"/>
    <s v="PRAVASTATIN SOD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33432"/>
    <x v="1"/>
    <x v="0"/>
    <s v="SIMVASTATIN"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n v="2"/>
  </r>
  <r>
    <x v="11"/>
    <x v="1"/>
    <n v="1680"/>
    <x v="0"/>
    <x v="0"/>
    <s v="ROSUVASTATIN CALCIUM"/>
    <m/>
    <m/>
    <m/>
    <m/>
    <m/>
    <m/>
    <m/>
    <m/>
    <n v="1"/>
    <m/>
    <m/>
    <m/>
    <m/>
    <m/>
    <m/>
    <m/>
    <m/>
    <m/>
    <m/>
    <m/>
    <m/>
    <n v="1"/>
    <m/>
    <m/>
    <m/>
    <m/>
    <n v="1"/>
    <m/>
    <m/>
    <n v="3"/>
  </r>
  <r>
    <x v="11"/>
    <x v="1"/>
    <n v="2774"/>
    <x v="0"/>
    <x v="0"/>
    <s v="SIMVASTATIN"/>
    <n v="1"/>
    <n v="1"/>
    <n v="1"/>
    <n v="1"/>
    <n v="1"/>
    <n v="1"/>
    <m/>
    <m/>
    <n v="1"/>
    <n v="2"/>
    <n v="1"/>
    <m/>
    <n v="2"/>
    <n v="1"/>
    <n v="1"/>
    <n v="1"/>
    <n v="1"/>
    <n v="1"/>
    <n v="1"/>
    <n v="1"/>
    <m/>
    <n v="2"/>
    <m/>
    <n v="2"/>
    <n v="1"/>
    <n v="1"/>
    <n v="2"/>
    <n v="1"/>
    <m/>
    <n v="28"/>
  </r>
  <r>
    <x v="11"/>
    <x v="1"/>
    <n v="7915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11"/>
    <x v="1"/>
    <n v="10238"/>
    <x v="0"/>
    <x v="0"/>
    <s v="ROSUVASTATIN CALCIUM"/>
    <m/>
    <n v="1"/>
    <m/>
    <m/>
    <m/>
    <m/>
    <m/>
    <m/>
    <m/>
    <m/>
    <m/>
    <m/>
    <m/>
    <m/>
    <n v="1"/>
    <m/>
    <m/>
    <m/>
    <m/>
    <m/>
    <m/>
    <m/>
    <m/>
    <m/>
    <m/>
    <n v="2"/>
    <m/>
    <m/>
    <m/>
    <n v="4"/>
  </r>
  <r>
    <x v="11"/>
    <x v="1"/>
    <n v="10736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</r>
  <r>
    <x v="11"/>
    <x v="1"/>
    <n v="11718"/>
    <x v="0"/>
    <x v="0"/>
    <s v="ROSU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1750"/>
    <x v="0"/>
    <x v="0"/>
    <s v="ROSUVASTATIN CALCIUM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n v="2"/>
  </r>
  <r>
    <x v="11"/>
    <x v="1"/>
    <n v="12131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11"/>
    <x v="1"/>
    <n v="12703"/>
    <x v="0"/>
    <x v="0"/>
    <s v="ROSUVASTATIN CALCIUM"/>
    <m/>
    <m/>
    <m/>
    <m/>
    <m/>
    <m/>
    <m/>
    <n v="1"/>
    <m/>
    <m/>
    <m/>
    <m/>
    <n v="1"/>
    <m/>
    <m/>
    <m/>
    <n v="1"/>
    <m/>
    <m/>
    <m/>
    <n v="1"/>
    <m/>
    <m/>
    <m/>
    <m/>
    <n v="1"/>
    <m/>
    <m/>
    <m/>
    <n v="5"/>
  </r>
  <r>
    <x v="11"/>
    <x v="1"/>
    <n v="14810"/>
    <x v="0"/>
    <x v="0"/>
    <s v="ROSUVASTATIN CALCIUM"/>
    <n v="1"/>
    <m/>
    <n v="1"/>
    <m/>
    <n v="1"/>
    <m/>
    <m/>
    <n v="1"/>
    <m/>
    <m/>
    <n v="1"/>
    <n v="1"/>
    <m/>
    <m/>
    <n v="1"/>
    <m/>
    <n v="1"/>
    <n v="1"/>
    <m/>
    <n v="1"/>
    <m/>
    <n v="1"/>
    <m/>
    <m/>
    <n v="3"/>
    <n v="1"/>
    <m/>
    <m/>
    <n v="1"/>
    <n v="16"/>
  </r>
  <r>
    <x v="11"/>
    <x v="1"/>
    <n v="20827"/>
    <x v="0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n v="2"/>
    <m/>
    <m/>
    <m/>
    <n v="3"/>
  </r>
  <r>
    <x v="11"/>
    <x v="1"/>
    <n v="293"/>
    <x v="1"/>
    <x v="0"/>
    <s v="ATORVASTATIN CALCIUM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1"/>
    <x v="1"/>
    <n v="1679"/>
    <x v="1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11"/>
    <x v="1"/>
    <n v="364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3908"/>
    <x v="1"/>
    <x v="0"/>
    <s v="ROSUVASTATIN CALCIUM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2"/>
  </r>
  <r>
    <x v="11"/>
    <x v="1"/>
    <n v="6409"/>
    <x v="1"/>
    <x v="0"/>
    <s v="ATORVASTATIN CALCIUM"/>
    <n v="2"/>
    <m/>
    <m/>
    <m/>
    <m/>
    <m/>
    <m/>
    <m/>
    <m/>
    <m/>
    <m/>
    <m/>
    <m/>
    <m/>
    <n v="1"/>
    <m/>
    <m/>
    <m/>
    <m/>
    <m/>
    <m/>
    <m/>
    <m/>
    <m/>
    <m/>
    <m/>
    <m/>
    <m/>
    <n v="2"/>
    <n v="5"/>
  </r>
  <r>
    <x v="11"/>
    <x v="1"/>
    <n v="6777"/>
    <x v="1"/>
    <x v="0"/>
    <s v="ATORVASTATIN CALCIUM"/>
    <m/>
    <m/>
    <m/>
    <m/>
    <n v="1"/>
    <m/>
    <m/>
    <m/>
    <m/>
    <m/>
    <m/>
    <m/>
    <m/>
    <m/>
    <m/>
    <m/>
    <m/>
    <m/>
    <m/>
    <n v="2"/>
    <m/>
    <m/>
    <m/>
    <m/>
    <m/>
    <m/>
    <m/>
    <m/>
    <m/>
    <n v="3"/>
  </r>
  <r>
    <x v="11"/>
    <x v="1"/>
    <n v="7398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1"/>
    <x v="1"/>
    <n v="7691"/>
    <x v="1"/>
    <x v="0"/>
    <s v="ROSUVASTATIN CALCIUM"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1"/>
    <x v="1"/>
    <n v="7946"/>
    <x v="1"/>
    <x v="0"/>
    <s v="ATORVASTATIN CALCIUM"/>
    <m/>
    <m/>
    <m/>
    <n v="1"/>
    <m/>
    <m/>
    <m/>
    <m/>
    <m/>
    <m/>
    <m/>
    <m/>
    <m/>
    <n v="1"/>
    <m/>
    <m/>
    <m/>
    <m/>
    <m/>
    <m/>
    <n v="2"/>
    <m/>
    <m/>
    <m/>
    <m/>
    <m/>
    <m/>
    <m/>
    <m/>
    <n v="4"/>
  </r>
  <r>
    <x v="11"/>
    <x v="1"/>
    <n v="11673"/>
    <x v="1"/>
    <x v="0"/>
    <s v="ROSUVASTATIN CALCIUM"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</r>
  <r>
    <x v="11"/>
    <x v="1"/>
    <n v="1171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1731"/>
    <x v="1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1"/>
    <x v="1"/>
    <n v="11731"/>
    <x v="1"/>
    <x v="0"/>
    <s v="LO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1731"/>
    <x v="1"/>
    <x v="6"/>
    <s v="EZETIMIBE"/>
    <m/>
    <m/>
    <m/>
    <m/>
    <m/>
    <m/>
    <m/>
    <m/>
    <m/>
    <n v="2"/>
    <m/>
    <m/>
    <m/>
    <m/>
    <m/>
    <m/>
    <m/>
    <n v="1"/>
    <m/>
    <m/>
    <m/>
    <m/>
    <m/>
    <m/>
    <m/>
    <m/>
    <n v="1"/>
    <m/>
    <m/>
    <n v="4"/>
  </r>
  <r>
    <x v="11"/>
    <x v="1"/>
    <n v="11749"/>
    <x v="1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n v="2"/>
  </r>
  <r>
    <x v="11"/>
    <x v="1"/>
    <n v="11852"/>
    <x v="1"/>
    <x v="0"/>
    <s v="ROSUVASTATIN CALCIUM"/>
    <m/>
    <m/>
    <m/>
    <m/>
    <m/>
    <m/>
    <m/>
    <m/>
    <n v="1"/>
    <m/>
    <m/>
    <m/>
    <m/>
    <m/>
    <m/>
    <m/>
    <m/>
    <m/>
    <m/>
    <m/>
    <m/>
    <m/>
    <m/>
    <n v="2"/>
    <m/>
    <m/>
    <m/>
    <m/>
    <m/>
    <n v="3"/>
  </r>
  <r>
    <x v="11"/>
    <x v="1"/>
    <n v="13194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194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13500"/>
    <x v="1"/>
    <x v="0"/>
    <s v="ROSU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1"/>
    <x v="1"/>
    <n v="14198"/>
    <x v="1"/>
    <x v="0"/>
    <s v="ROSUVASTATIN CALC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</r>
  <r>
    <x v="11"/>
    <x v="1"/>
    <n v="14198"/>
    <x v="1"/>
    <x v="6"/>
    <s v="EZETIMIBE"/>
    <n v="1"/>
    <m/>
    <m/>
    <m/>
    <m/>
    <m/>
    <m/>
    <m/>
    <m/>
    <m/>
    <m/>
    <m/>
    <m/>
    <n v="1"/>
    <m/>
    <m/>
    <m/>
    <m/>
    <m/>
    <m/>
    <m/>
    <m/>
    <m/>
    <m/>
    <m/>
    <m/>
    <n v="1"/>
    <m/>
    <m/>
    <n v="3"/>
  </r>
  <r>
    <x v="11"/>
    <x v="1"/>
    <n v="14210"/>
    <x v="1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1"/>
    <x v="1"/>
    <n v="14469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11"/>
    <x v="1"/>
    <n v="14469"/>
    <x v="1"/>
    <x v="6"/>
    <s v="EZETIMIBE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11"/>
    <x v="1"/>
    <n v="15676"/>
    <x v="1"/>
    <x v="0"/>
    <s v="ROSUVASTATIN CALCIUM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1"/>
    <x v="1"/>
    <n v="1642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1"/>
    <x v="1"/>
    <n v="1642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1"/>
    <x v="1"/>
    <n v="23021"/>
    <x v="1"/>
    <x v="0"/>
    <s v="ROSUVASTATIN CALC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</r>
  <r>
    <x v="11"/>
    <x v="1"/>
    <n v="30955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444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2"/>
  </r>
  <r>
    <x v="12"/>
    <x v="1"/>
    <n v="153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602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621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</r>
  <r>
    <x v="12"/>
    <x v="1"/>
    <n v="8134"/>
    <x v="0"/>
    <x v="0"/>
    <s v="ROSUVASTATIN CALCIUM"/>
    <m/>
    <m/>
    <m/>
    <m/>
    <m/>
    <m/>
    <m/>
    <m/>
    <n v="1"/>
    <m/>
    <m/>
    <m/>
    <m/>
    <m/>
    <m/>
    <m/>
    <m/>
    <m/>
    <m/>
    <m/>
    <m/>
    <n v="2"/>
    <m/>
    <m/>
    <m/>
    <m/>
    <m/>
    <m/>
    <m/>
    <n v="3"/>
  </r>
  <r>
    <x v="12"/>
    <x v="1"/>
    <n v="11328"/>
    <x v="0"/>
    <x v="0"/>
    <s v="ROSUVASTATIN CALCIUM"/>
    <m/>
    <m/>
    <m/>
    <m/>
    <m/>
    <m/>
    <m/>
    <m/>
    <m/>
    <m/>
    <m/>
    <m/>
    <m/>
    <m/>
    <m/>
    <n v="1"/>
    <n v="2"/>
    <m/>
    <m/>
    <m/>
    <m/>
    <n v="4"/>
    <m/>
    <m/>
    <m/>
    <m/>
    <m/>
    <m/>
    <m/>
    <n v="7"/>
  </r>
  <r>
    <x v="12"/>
    <x v="1"/>
    <n v="11328"/>
    <x v="0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2"/>
    <x v="1"/>
    <n v="11953"/>
    <x v="0"/>
    <x v="1"/>
    <s v="RANITIDINE HCL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2014"/>
    <x v="0"/>
    <x v="0"/>
    <s v="ROSUVASTATIN CALCIUM"/>
    <m/>
    <n v="1"/>
    <m/>
    <m/>
    <m/>
    <m/>
    <m/>
    <m/>
    <m/>
    <m/>
    <m/>
    <m/>
    <m/>
    <m/>
    <m/>
    <n v="2"/>
    <m/>
    <m/>
    <m/>
    <m/>
    <m/>
    <m/>
    <m/>
    <m/>
    <n v="2"/>
    <m/>
    <m/>
    <m/>
    <m/>
    <n v="5"/>
  </r>
  <r>
    <x v="12"/>
    <x v="1"/>
    <n v="13538"/>
    <x v="0"/>
    <x v="0"/>
    <s v="ROSUVASTATIN CALCIUM"/>
    <m/>
    <m/>
    <m/>
    <m/>
    <m/>
    <m/>
    <m/>
    <m/>
    <m/>
    <m/>
    <m/>
    <m/>
    <m/>
    <m/>
    <m/>
    <n v="1"/>
    <m/>
    <m/>
    <m/>
    <m/>
    <m/>
    <m/>
    <n v="1"/>
    <m/>
    <m/>
    <m/>
    <m/>
    <m/>
    <n v="3"/>
    <n v="5"/>
  </r>
  <r>
    <x v="12"/>
    <x v="1"/>
    <n v="14045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678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29236"/>
    <x v="0"/>
    <x v="0"/>
    <s v="FLUVASTATIN SOD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12"/>
    <x v="1"/>
    <n v="825"/>
    <x v="1"/>
    <x v="3"/>
    <s v="RABEPRAZOLE SODIUM"/>
    <n v="1"/>
    <n v="1"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8"/>
  </r>
  <r>
    <x v="12"/>
    <x v="1"/>
    <n v="4816"/>
    <x v="1"/>
    <x v="0"/>
    <s v="SIMVASTATIN"/>
    <m/>
    <m/>
    <m/>
    <n v="1"/>
    <m/>
    <n v="1"/>
    <m/>
    <m/>
    <m/>
    <m/>
    <m/>
    <m/>
    <m/>
    <m/>
    <m/>
    <n v="2"/>
    <n v="1"/>
    <n v="1"/>
    <n v="1"/>
    <n v="1"/>
    <n v="1"/>
    <n v="1"/>
    <n v="1"/>
    <n v="1"/>
    <n v="1"/>
    <n v="1"/>
    <n v="1"/>
    <m/>
    <m/>
    <n v="15"/>
  </r>
  <r>
    <x v="12"/>
    <x v="1"/>
    <n v="5361"/>
    <x v="1"/>
    <x v="0"/>
    <s v="ROSU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2"/>
  </r>
  <r>
    <x v="12"/>
    <x v="1"/>
    <n v="5361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5564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2"/>
    <x v="1"/>
    <n v="6321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n v="2"/>
  </r>
  <r>
    <x v="12"/>
    <x v="1"/>
    <n v="6359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2"/>
    <x v="1"/>
    <n v="6525"/>
    <x v="1"/>
    <x v="0"/>
    <s v="ROSUVASTATIN CALCIUM"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n v="2"/>
  </r>
  <r>
    <x v="12"/>
    <x v="1"/>
    <n v="7516"/>
    <x v="1"/>
    <x v="0"/>
    <s v="ATORVASTATIN CALCIUM"/>
    <m/>
    <m/>
    <n v="1"/>
    <m/>
    <m/>
    <m/>
    <m/>
    <m/>
    <m/>
    <m/>
    <m/>
    <m/>
    <m/>
    <m/>
    <m/>
    <n v="1"/>
    <m/>
    <m/>
    <m/>
    <m/>
    <n v="1"/>
    <m/>
    <m/>
    <m/>
    <n v="1"/>
    <m/>
    <m/>
    <m/>
    <m/>
    <n v="4"/>
  </r>
  <r>
    <x v="12"/>
    <x v="1"/>
    <n v="7696"/>
    <x v="1"/>
    <x v="0"/>
    <s v="ROSUVASTATIN CALCIUM"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n v="2"/>
  </r>
  <r>
    <x v="12"/>
    <x v="1"/>
    <n v="7696"/>
    <x v="1"/>
    <x v="6"/>
    <s v="EZETIMIBE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2"/>
    <x v="1"/>
    <n v="8029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</r>
  <r>
    <x v="12"/>
    <x v="1"/>
    <n v="8029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2"/>
    <x v="1"/>
    <n v="8029"/>
    <x v="1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2"/>
    <x v="1"/>
    <n v="8199"/>
    <x v="1"/>
    <x v="0"/>
    <s v="ROSUVASTATIN CALCIUM"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2"/>
    <x v="1"/>
    <n v="8669"/>
    <x v="1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2"/>
    <x v="1"/>
    <n v="8863"/>
    <x v="1"/>
    <x v="0"/>
    <s v="ROSUVASTATIN CALCIUM"/>
    <m/>
    <m/>
    <m/>
    <m/>
    <n v="1"/>
    <m/>
    <m/>
    <m/>
    <n v="1"/>
    <m/>
    <m/>
    <n v="1"/>
    <m/>
    <m/>
    <n v="1"/>
    <m/>
    <m/>
    <m/>
    <m/>
    <m/>
    <m/>
    <n v="1"/>
    <m/>
    <m/>
    <m/>
    <m/>
    <m/>
    <m/>
    <m/>
    <n v="5"/>
  </r>
  <r>
    <x v="12"/>
    <x v="1"/>
    <n v="10235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2"/>
    <x v="1"/>
    <n v="1091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1542"/>
    <x v="1"/>
    <x v="0"/>
    <s v="ATORVASTATIN CALC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</r>
  <r>
    <x v="12"/>
    <x v="1"/>
    <n v="13167"/>
    <x v="1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2"/>
    <x v="1"/>
    <n v="13789"/>
    <x v="1"/>
    <x v="3"/>
    <s v="RABEPRAZOLE SODIUM"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12"/>
    <x v="1"/>
    <n v="14139"/>
    <x v="1"/>
    <x v="3"/>
    <s v="ESOMEPRAZOLE MAGNES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2"/>
    <x v="1"/>
    <n v="15488"/>
    <x v="1"/>
    <x v="0"/>
    <s v="ATORVASTATIN CALCIUM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n v="2"/>
  </r>
  <r>
    <x v="12"/>
    <x v="1"/>
    <n v="16269"/>
    <x v="1"/>
    <x v="0"/>
    <s v="ATORVASTATIN CALC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8"/>
  </r>
  <r>
    <x v="12"/>
    <x v="1"/>
    <n v="2289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2"/>
    <x v="1"/>
    <n v="23517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0866"/>
    <x v="1"/>
    <x v="1"/>
    <s v="RANITIDINE HCL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32664"/>
    <x v="1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2664"/>
    <x v="1"/>
    <x v="7"/>
    <s v="PINAVERIUM BROMIDE"/>
    <m/>
    <m/>
    <m/>
    <m/>
    <m/>
    <m/>
    <m/>
    <n v="1"/>
    <m/>
    <m/>
    <m/>
    <m/>
    <m/>
    <m/>
    <m/>
    <m/>
    <m/>
    <n v="1"/>
    <m/>
    <m/>
    <m/>
    <m/>
    <m/>
    <m/>
    <n v="1"/>
    <m/>
    <m/>
    <m/>
    <m/>
    <n v="3"/>
  </r>
  <r>
    <x v="12"/>
    <x v="1"/>
    <n v="100"/>
    <x v="0"/>
    <x v="1"/>
    <s v="RANITIDINE HCL"/>
    <m/>
    <n v="1"/>
    <m/>
    <m/>
    <n v="1"/>
    <m/>
    <m/>
    <m/>
    <m/>
    <m/>
    <n v="1"/>
    <m/>
    <m/>
    <m/>
    <n v="2"/>
    <m/>
    <m/>
    <m/>
    <n v="1"/>
    <m/>
    <m/>
    <m/>
    <n v="1"/>
    <n v="1"/>
    <m/>
    <m/>
    <n v="1"/>
    <m/>
    <m/>
    <n v="9"/>
  </r>
  <r>
    <x v="12"/>
    <x v="1"/>
    <n v="123"/>
    <x v="0"/>
    <x v="0"/>
    <s v="ROSU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2"/>
    <x v="1"/>
    <n v="348"/>
    <x v="0"/>
    <x v="0"/>
    <s v="ROSUVASTATIN CALCIUM"/>
    <m/>
    <m/>
    <n v="2"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12"/>
    <x v="1"/>
    <n v="777"/>
    <x v="0"/>
    <x v="3"/>
    <s v="ESOMEPRAZOLE MAGNES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2"/>
    <x v="1"/>
    <n v="1880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n v="2"/>
  </r>
  <r>
    <x v="12"/>
    <x v="1"/>
    <n v="1896"/>
    <x v="0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12"/>
    <x v="1"/>
    <n v="1896"/>
    <x v="0"/>
    <x v="0"/>
    <s v="SIMVASTATIN"/>
    <m/>
    <n v="1"/>
    <m/>
    <n v="1"/>
    <m/>
    <m/>
    <m/>
    <m/>
    <n v="1"/>
    <m/>
    <n v="1"/>
    <n v="1"/>
    <m/>
    <m/>
    <n v="1"/>
    <m/>
    <m/>
    <n v="1"/>
    <m/>
    <m/>
    <m/>
    <m/>
    <m/>
    <m/>
    <n v="1"/>
    <m/>
    <m/>
    <m/>
    <n v="1"/>
    <n v="9"/>
  </r>
  <r>
    <x v="12"/>
    <x v="1"/>
    <n v="3449"/>
    <x v="0"/>
    <x v="3"/>
    <s v="ESOMEPRAZOLE MAGNESIUM"/>
    <m/>
    <m/>
    <n v="1"/>
    <m/>
    <m/>
    <m/>
    <m/>
    <n v="1"/>
    <m/>
    <m/>
    <m/>
    <m/>
    <m/>
    <m/>
    <m/>
    <m/>
    <m/>
    <m/>
    <m/>
    <m/>
    <n v="1"/>
    <m/>
    <m/>
    <m/>
    <m/>
    <m/>
    <n v="1"/>
    <m/>
    <m/>
    <n v="4"/>
  </r>
  <r>
    <x v="12"/>
    <x v="1"/>
    <n v="4566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4566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4566"/>
    <x v="0"/>
    <x v="3"/>
    <s v="ESOME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2"/>
    <x v="1"/>
    <n v="5513"/>
    <x v="0"/>
    <x v="0"/>
    <s v="ROSUVASTATIN CALCIUM"/>
    <n v="3"/>
    <n v="3"/>
    <n v="3"/>
    <n v="3"/>
    <n v="3"/>
    <n v="3"/>
    <m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5"/>
    <n v="3"/>
    <m/>
    <n v="84"/>
  </r>
  <r>
    <x v="12"/>
    <x v="1"/>
    <n v="5854"/>
    <x v="0"/>
    <x v="0"/>
    <s v="ATORVASTATIN CALCIUM"/>
    <n v="1"/>
    <m/>
    <n v="2"/>
    <m/>
    <m/>
    <m/>
    <m/>
    <n v="1"/>
    <m/>
    <n v="1"/>
    <m/>
    <n v="1"/>
    <m/>
    <n v="1"/>
    <n v="1"/>
    <m/>
    <m/>
    <n v="1"/>
    <m/>
    <n v="1"/>
    <m/>
    <n v="1"/>
    <m/>
    <n v="2"/>
    <m/>
    <m/>
    <m/>
    <m/>
    <n v="1"/>
    <n v="14"/>
  </r>
  <r>
    <x v="12"/>
    <x v="1"/>
    <n v="5856"/>
    <x v="0"/>
    <x v="0"/>
    <s v="ROSUVASTATIN CALCIUM"/>
    <n v="1"/>
    <m/>
    <m/>
    <m/>
    <m/>
    <m/>
    <m/>
    <m/>
    <m/>
    <m/>
    <m/>
    <m/>
    <m/>
    <m/>
    <n v="1"/>
    <n v="1"/>
    <m/>
    <m/>
    <m/>
    <m/>
    <m/>
    <m/>
    <m/>
    <m/>
    <m/>
    <m/>
    <m/>
    <n v="1"/>
    <m/>
    <n v="4"/>
  </r>
  <r>
    <x v="12"/>
    <x v="1"/>
    <n v="7370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7461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12"/>
    <x v="1"/>
    <n v="7684"/>
    <x v="0"/>
    <x v="0"/>
    <s v="ATORVASTATIN CALCIUM"/>
    <m/>
    <m/>
    <n v="1"/>
    <m/>
    <n v="1"/>
    <m/>
    <m/>
    <m/>
    <n v="1"/>
    <m/>
    <m/>
    <n v="1"/>
    <m/>
    <m/>
    <n v="1"/>
    <m/>
    <m/>
    <n v="1"/>
    <m/>
    <m/>
    <m/>
    <n v="1"/>
    <m/>
    <m/>
    <n v="1"/>
    <m/>
    <m/>
    <m/>
    <m/>
    <n v="8"/>
  </r>
  <r>
    <x v="12"/>
    <x v="1"/>
    <n v="7811"/>
    <x v="0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n v="2"/>
  </r>
  <r>
    <x v="12"/>
    <x v="1"/>
    <n v="8554"/>
    <x v="0"/>
    <x v="3"/>
    <s v="RABEPRAZOLE SODIUM"/>
    <m/>
    <m/>
    <m/>
    <n v="1"/>
    <m/>
    <m/>
    <m/>
    <m/>
    <n v="1"/>
    <m/>
    <m/>
    <m/>
    <n v="1"/>
    <m/>
    <m/>
    <m/>
    <n v="1"/>
    <m/>
    <m/>
    <n v="1"/>
    <m/>
    <m/>
    <n v="1"/>
    <n v="1"/>
    <n v="1"/>
    <n v="1"/>
    <n v="1"/>
    <n v="2"/>
    <m/>
    <n v="12"/>
  </r>
  <r>
    <x v="12"/>
    <x v="1"/>
    <n v="8973"/>
    <x v="0"/>
    <x v="0"/>
    <s v="ROSUVASTATIN CALCIUM"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n v="2"/>
  </r>
  <r>
    <x v="12"/>
    <x v="1"/>
    <n v="10294"/>
    <x v="0"/>
    <x v="0"/>
    <s v="ROSUVASTATIN CALCIUM"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</r>
  <r>
    <x v="12"/>
    <x v="1"/>
    <n v="11156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2"/>
  </r>
  <r>
    <x v="12"/>
    <x v="1"/>
    <n v="1189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254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448"/>
    <x v="0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54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578"/>
    <x v="0"/>
    <x v="3"/>
    <s v="RABEPRAZOLE SODIUM"/>
    <n v="1"/>
    <m/>
    <m/>
    <m/>
    <m/>
    <m/>
    <m/>
    <m/>
    <m/>
    <n v="1"/>
    <m/>
    <m/>
    <m/>
    <m/>
    <m/>
    <m/>
    <m/>
    <m/>
    <m/>
    <m/>
    <m/>
    <m/>
    <m/>
    <n v="1"/>
    <m/>
    <m/>
    <m/>
    <m/>
    <m/>
    <n v="3"/>
  </r>
  <r>
    <x v="12"/>
    <x v="1"/>
    <n v="13008"/>
    <x v="0"/>
    <x v="0"/>
    <s v="ATORVASTATIN CALCIUM"/>
    <m/>
    <m/>
    <m/>
    <n v="1"/>
    <m/>
    <m/>
    <m/>
    <m/>
    <m/>
    <m/>
    <m/>
    <m/>
    <m/>
    <m/>
    <m/>
    <m/>
    <m/>
    <m/>
    <n v="3"/>
    <m/>
    <m/>
    <m/>
    <m/>
    <m/>
    <m/>
    <m/>
    <m/>
    <m/>
    <m/>
    <n v="4"/>
  </r>
  <r>
    <x v="12"/>
    <x v="1"/>
    <n v="13522"/>
    <x v="0"/>
    <x v="0"/>
    <s v="ROSUVASTATIN CALCIUM"/>
    <m/>
    <n v="2"/>
    <m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12"/>
    <x v="1"/>
    <n v="13704"/>
    <x v="0"/>
    <x v="1"/>
    <s v="RANITIDINE HCL"/>
    <n v="1"/>
    <m/>
    <m/>
    <m/>
    <m/>
    <m/>
    <m/>
    <m/>
    <m/>
    <m/>
    <m/>
    <m/>
    <n v="1"/>
    <m/>
    <m/>
    <m/>
    <m/>
    <m/>
    <m/>
    <m/>
    <m/>
    <m/>
    <n v="1"/>
    <m/>
    <m/>
    <m/>
    <m/>
    <m/>
    <m/>
    <n v="3"/>
  </r>
  <r>
    <x v="12"/>
    <x v="1"/>
    <n v="13860"/>
    <x v="0"/>
    <x v="3"/>
    <s v="PANTOPRAZOLE MAGNESIUM"/>
    <m/>
    <n v="1"/>
    <m/>
    <m/>
    <n v="1"/>
    <m/>
    <m/>
    <m/>
    <m/>
    <m/>
    <n v="1"/>
    <m/>
    <m/>
    <m/>
    <m/>
    <m/>
    <n v="1"/>
    <m/>
    <m/>
    <m/>
    <m/>
    <m/>
    <m/>
    <m/>
    <m/>
    <m/>
    <m/>
    <m/>
    <m/>
    <n v="4"/>
  </r>
  <r>
    <x v="12"/>
    <x v="1"/>
    <n v="13960"/>
    <x v="0"/>
    <x v="9"/>
    <s v="CHOLESTYRAMINE/ASPARTAM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3960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4183"/>
    <x v="0"/>
    <x v="0"/>
    <s v="ROSUVASTATIN CALCIUM"/>
    <m/>
    <m/>
    <n v="1"/>
    <m/>
    <n v="1"/>
    <m/>
    <m/>
    <m/>
    <n v="1"/>
    <m/>
    <m/>
    <n v="1"/>
    <m/>
    <m/>
    <n v="1"/>
    <m/>
    <m/>
    <n v="1"/>
    <m/>
    <m/>
    <n v="1"/>
    <m/>
    <m/>
    <n v="1"/>
    <m/>
    <m/>
    <m/>
    <n v="2"/>
    <m/>
    <n v="10"/>
  </r>
  <r>
    <x v="12"/>
    <x v="1"/>
    <n v="14691"/>
    <x v="0"/>
    <x v="3"/>
    <s v="ESOMEPRAZOLE MAGNESIUM"/>
    <m/>
    <m/>
    <n v="1"/>
    <n v="1"/>
    <m/>
    <m/>
    <m/>
    <m/>
    <n v="1"/>
    <m/>
    <m/>
    <m/>
    <m/>
    <m/>
    <m/>
    <m/>
    <m/>
    <m/>
    <m/>
    <m/>
    <m/>
    <m/>
    <m/>
    <m/>
    <m/>
    <m/>
    <m/>
    <m/>
    <m/>
    <n v="3"/>
  </r>
  <r>
    <x v="12"/>
    <x v="1"/>
    <n v="14908"/>
    <x v="0"/>
    <x v="0"/>
    <s v="ROSUVASTATIN CALCIUM"/>
    <m/>
    <n v="1"/>
    <m/>
    <m/>
    <m/>
    <n v="1"/>
    <m/>
    <m/>
    <m/>
    <m/>
    <n v="1"/>
    <m/>
    <m/>
    <m/>
    <n v="1"/>
    <m/>
    <m/>
    <m/>
    <n v="1"/>
    <m/>
    <m/>
    <m/>
    <n v="1"/>
    <m/>
    <m/>
    <m/>
    <n v="2"/>
    <m/>
    <m/>
    <n v="8"/>
  </r>
  <r>
    <x v="12"/>
    <x v="1"/>
    <n v="15965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6984"/>
    <x v="0"/>
    <x v="3"/>
    <s v="PANTOPRAZOLE SODIUM"/>
    <m/>
    <m/>
    <m/>
    <m/>
    <m/>
    <m/>
    <m/>
    <m/>
    <m/>
    <m/>
    <m/>
    <m/>
    <m/>
    <m/>
    <m/>
    <m/>
    <m/>
    <n v="5"/>
    <m/>
    <m/>
    <m/>
    <m/>
    <m/>
    <m/>
    <m/>
    <m/>
    <m/>
    <m/>
    <m/>
    <n v="5"/>
  </r>
  <r>
    <x v="12"/>
    <x v="1"/>
    <n v="1752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7520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2"/>
    <x v="1"/>
    <n v="18295"/>
    <x v="0"/>
    <x v="0"/>
    <s v="ROSU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2"/>
    <x v="1"/>
    <n v="18884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8884"/>
    <x v="0"/>
    <x v="3"/>
    <s v="PANTOPRAZOLE MAGNES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2"/>
    <x v="1"/>
    <n v="18962"/>
    <x v="0"/>
    <x v="3"/>
    <s v="ESOMEPRAZOLE MAGNESIUM"/>
    <m/>
    <m/>
    <m/>
    <n v="1"/>
    <m/>
    <m/>
    <m/>
    <m/>
    <n v="1"/>
    <m/>
    <m/>
    <n v="1"/>
    <m/>
    <m/>
    <m/>
    <m/>
    <m/>
    <m/>
    <m/>
    <m/>
    <m/>
    <m/>
    <m/>
    <m/>
    <m/>
    <m/>
    <m/>
    <m/>
    <m/>
    <n v="3"/>
  </r>
  <r>
    <x v="12"/>
    <x v="1"/>
    <n v="21214"/>
    <x v="0"/>
    <x v="3"/>
    <s v="RABEPRAZOLE SODIUM"/>
    <m/>
    <m/>
    <n v="1"/>
    <m/>
    <m/>
    <m/>
    <m/>
    <m/>
    <n v="1"/>
    <m/>
    <m/>
    <m/>
    <n v="1"/>
    <m/>
    <m/>
    <m/>
    <m/>
    <n v="1"/>
    <m/>
    <m/>
    <n v="1"/>
    <m/>
    <m/>
    <n v="1"/>
    <m/>
    <m/>
    <n v="1"/>
    <m/>
    <m/>
    <n v="7"/>
  </r>
  <r>
    <x v="12"/>
    <x v="1"/>
    <n v="21303"/>
    <x v="0"/>
    <x v="3"/>
    <s v="ESOMEPRAZOLE MAGNESIUM"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</r>
  <r>
    <x v="12"/>
    <x v="1"/>
    <n v="22011"/>
    <x v="0"/>
    <x v="3"/>
    <s v="LANSOPRAZOLE"/>
    <m/>
    <m/>
    <n v="1"/>
    <m/>
    <n v="1"/>
    <m/>
    <m/>
    <m/>
    <m/>
    <m/>
    <m/>
    <m/>
    <m/>
    <m/>
    <m/>
    <m/>
    <n v="1"/>
    <m/>
    <m/>
    <m/>
    <m/>
    <m/>
    <m/>
    <m/>
    <m/>
    <m/>
    <m/>
    <n v="1"/>
    <m/>
    <n v="4"/>
  </r>
  <r>
    <x v="12"/>
    <x v="1"/>
    <n v="25831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1685"/>
    <x v="0"/>
    <x v="9"/>
    <s v="CHOLESTYRAMINE (WITH SUGAR)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2"/>
    <x v="1"/>
    <n v="31685"/>
    <x v="0"/>
    <x v="0"/>
    <s v="ROSU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n v="1"/>
    <m/>
    <n v="3"/>
  </r>
  <r>
    <x v="12"/>
    <x v="1"/>
    <n v="31685"/>
    <x v="0"/>
    <x v="3"/>
    <s v="OMEPRAZOLE"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n v="2"/>
  </r>
  <r>
    <x v="12"/>
    <x v="1"/>
    <n v="31800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9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355"/>
    <x v="1"/>
    <x v="9"/>
    <s v="CHOLESTYRAMINE (WITH SUGAR)"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</r>
  <r>
    <x v="12"/>
    <x v="1"/>
    <n v="1355"/>
    <x v="1"/>
    <x v="3"/>
    <s v="RABEPRAZOLE SODIUM"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1"/>
    <m/>
    <n v="7"/>
  </r>
  <r>
    <x v="12"/>
    <x v="1"/>
    <n v="3014"/>
    <x v="1"/>
    <x v="0"/>
    <s v="ATORVASTATIN CALCIUM"/>
    <n v="1"/>
    <m/>
    <n v="1"/>
    <m/>
    <n v="1"/>
    <m/>
    <m/>
    <n v="1"/>
    <m/>
    <n v="1"/>
    <m/>
    <n v="1"/>
    <m/>
    <n v="1"/>
    <m/>
    <n v="1"/>
    <n v="1"/>
    <m/>
    <n v="1"/>
    <m/>
    <n v="1"/>
    <n v="1"/>
    <n v="1"/>
    <m/>
    <n v="1"/>
    <m/>
    <n v="1"/>
    <m/>
    <m/>
    <n v="15"/>
  </r>
  <r>
    <x v="12"/>
    <x v="1"/>
    <n v="3208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6073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n v="2"/>
  </r>
  <r>
    <x v="12"/>
    <x v="1"/>
    <n v="7513"/>
    <x v="1"/>
    <x v="0"/>
    <s v="ROSU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2"/>
    <x v="1"/>
    <n v="7835"/>
    <x v="1"/>
    <x v="0"/>
    <s v="ROSUVASTATIN CALCIUM"/>
    <m/>
    <m/>
    <m/>
    <m/>
    <m/>
    <m/>
    <m/>
    <m/>
    <m/>
    <m/>
    <m/>
    <m/>
    <m/>
    <m/>
    <m/>
    <n v="1"/>
    <m/>
    <m/>
    <m/>
    <n v="1"/>
    <m/>
    <m/>
    <m/>
    <n v="1"/>
    <m/>
    <m/>
    <m/>
    <m/>
    <n v="1"/>
    <n v="4"/>
  </r>
  <r>
    <x v="12"/>
    <x v="1"/>
    <n v="783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8307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2"/>
    <x v="1"/>
    <n v="8544"/>
    <x v="1"/>
    <x v="0"/>
    <s v="ROSUVASTATIN CALCIUM"/>
    <m/>
    <m/>
    <n v="2"/>
    <m/>
    <m/>
    <m/>
    <m/>
    <m/>
    <m/>
    <m/>
    <m/>
    <m/>
    <m/>
    <m/>
    <n v="1"/>
    <m/>
    <m/>
    <m/>
    <m/>
    <m/>
    <m/>
    <m/>
    <m/>
    <n v="2"/>
    <m/>
    <m/>
    <m/>
    <m/>
    <m/>
    <n v="5"/>
  </r>
  <r>
    <x v="12"/>
    <x v="1"/>
    <n v="8552"/>
    <x v="1"/>
    <x v="9"/>
    <s v="CHOLESTYRAMINE (WITH SUGAR)"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</r>
  <r>
    <x v="12"/>
    <x v="1"/>
    <n v="8552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2"/>
    <x v="1"/>
    <n v="8865"/>
    <x v="1"/>
    <x v="3"/>
    <s v="PANTOPRAZOLE SODIUM"/>
    <m/>
    <m/>
    <m/>
    <n v="3"/>
    <m/>
    <m/>
    <m/>
    <m/>
    <n v="1"/>
    <n v="1"/>
    <m/>
    <m/>
    <m/>
    <m/>
    <m/>
    <m/>
    <m/>
    <m/>
    <m/>
    <m/>
    <m/>
    <m/>
    <m/>
    <m/>
    <m/>
    <m/>
    <m/>
    <m/>
    <m/>
    <n v="5"/>
  </r>
  <r>
    <x v="12"/>
    <x v="1"/>
    <n v="9158"/>
    <x v="1"/>
    <x v="0"/>
    <s v="ATORVASTATIN CALCIUM"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n v="3"/>
  </r>
  <r>
    <x v="12"/>
    <x v="1"/>
    <n v="11327"/>
    <x v="1"/>
    <x v="0"/>
    <s v="ROSUVASTATIN CALCIUM"/>
    <m/>
    <m/>
    <m/>
    <m/>
    <m/>
    <n v="1"/>
    <m/>
    <m/>
    <m/>
    <m/>
    <m/>
    <m/>
    <m/>
    <m/>
    <m/>
    <m/>
    <m/>
    <m/>
    <m/>
    <m/>
    <m/>
    <n v="2"/>
    <m/>
    <m/>
    <m/>
    <m/>
    <m/>
    <m/>
    <m/>
    <n v="3"/>
  </r>
  <r>
    <x v="12"/>
    <x v="1"/>
    <n v="11327"/>
    <x v="1"/>
    <x v="7"/>
    <s v="PINAVERIUM BROMIDE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</r>
  <r>
    <x v="12"/>
    <x v="1"/>
    <n v="11327"/>
    <x v="1"/>
    <x v="6"/>
    <s v="EZETIMIB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18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300"/>
    <x v="1"/>
    <x v="1"/>
    <s v="RANITIDINE HCL"/>
    <m/>
    <m/>
    <m/>
    <m/>
    <m/>
    <n v="1"/>
    <m/>
    <m/>
    <m/>
    <m/>
    <m/>
    <m/>
    <m/>
    <m/>
    <m/>
    <m/>
    <m/>
    <n v="1"/>
    <m/>
    <m/>
    <m/>
    <m/>
    <m/>
    <m/>
    <m/>
    <m/>
    <n v="1"/>
    <m/>
    <m/>
    <n v="3"/>
  </r>
  <r>
    <x v="12"/>
    <x v="1"/>
    <n v="12300"/>
    <x v="1"/>
    <x v="0"/>
    <s v="ROSUVASTATIN CALCIUM"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n v="2"/>
  </r>
  <r>
    <x v="12"/>
    <x v="1"/>
    <n v="12395"/>
    <x v="1"/>
    <x v="3"/>
    <s v="PANTO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2"/>
    <x v="1"/>
    <n v="1239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896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2896"/>
    <x v="1"/>
    <x v="3"/>
    <s v="LANSOPRAZOLE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12"/>
    <x v="1"/>
    <n v="14184"/>
    <x v="1"/>
    <x v="8"/>
    <s v="FENOFIBRATE, NANOCRYSTALLIZED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2"/>
    <x v="1"/>
    <n v="14900"/>
    <x v="1"/>
    <x v="0"/>
    <s v="ROSUVASTATIN CALCIUM"/>
    <m/>
    <m/>
    <m/>
    <m/>
    <n v="1"/>
    <m/>
    <m/>
    <m/>
    <m/>
    <m/>
    <m/>
    <m/>
    <m/>
    <m/>
    <m/>
    <n v="1"/>
    <m/>
    <m/>
    <m/>
    <m/>
    <m/>
    <n v="1"/>
    <m/>
    <m/>
    <m/>
    <m/>
    <m/>
    <m/>
    <m/>
    <n v="3"/>
  </r>
  <r>
    <x v="12"/>
    <x v="1"/>
    <n v="15928"/>
    <x v="1"/>
    <x v="3"/>
    <s v="PANTO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6482"/>
    <x v="1"/>
    <x v="3"/>
    <s v="RABEPRAZOLE SODIUM"/>
    <m/>
    <m/>
    <m/>
    <m/>
    <n v="2"/>
    <m/>
    <m/>
    <m/>
    <m/>
    <m/>
    <n v="2"/>
    <m/>
    <m/>
    <m/>
    <m/>
    <m/>
    <m/>
    <m/>
    <m/>
    <m/>
    <m/>
    <m/>
    <m/>
    <n v="1"/>
    <m/>
    <m/>
    <m/>
    <m/>
    <m/>
    <n v="5"/>
  </r>
  <r>
    <x v="12"/>
    <x v="1"/>
    <n v="20939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21954"/>
    <x v="1"/>
    <x v="3"/>
    <s v="RABEPRAZOLE SODIUM"/>
    <n v="1"/>
    <m/>
    <m/>
    <m/>
    <n v="1"/>
    <m/>
    <m/>
    <m/>
    <m/>
    <n v="1"/>
    <n v="1"/>
    <m/>
    <m/>
    <m/>
    <m/>
    <m/>
    <m/>
    <n v="1"/>
    <m/>
    <m/>
    <m/>
    <m/>
    <m/>
    <m/>
    <m/>
    <m/>
    <m/>
    <m/>
    <m/>
    <n v="5"/>
  </r>
  <r>
    <x v="12"/>
    <x v="1"/>
    <n v="22538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22945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n v="2"/>
  </r>
  <r>
    <x v="12"/>
    <x v="1"/>
    <n v="23817"/>
    <x v="1"/>
    <x v="0"/>
    <s v="ROSUVASTATIN CALCIUM"/>
    <m/>
    <n v="1"/>
    <m/>
    <m/>
    <n v="1"/>
    <m/>
    <m/>
    <m/>
    <n v="1"/>
    <m/>
    <m/>
    <m/>
    <n v="1"/>
    <m/>
    <m/>
    <m/>
    <n v="1"/>
    <m/>
    <m/>
    <n v="1"/>
    <m/>
    <m/>
    <m/>
    <n v="1"/>
    <m/>
    <m/>
    <m/>
    <m/>
    <n v="1"/>
    <n v="8"/>
  </r>
  <r>
    <x v="12"/>
    <x v="1"/>
    <n v="31273"/>
    <x v="1"/>
    <x v="3"/>
    <s v="LANSOPRAZOLE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12"/>
    <x v="1"/>
    <n v="31431"/>
    <x v="1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2"/>
    <x v="1"/>
    <n v="3840"/>
    <x v="0"/>
    <x v="3"/>
    <s v="PANTO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5983"/>
    <x v="0"/>
    <x v="1"/>
    <s v="RANITIDINE HCL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2"/>
    <x v="1"/>
    <n v="1598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2059"/>
    <x v="0"/>
    <x v="3"/>
    <s v="ESOMEPRAZOLE MAGNES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2"/>
    <x v="1"/>
    <n v="1969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1450"/>
    <x v="1"/>
    <x v="3"/>
    <s v="RABEPRAZOLE SODIUM"/>
    <m/>
    <m/>
    <n v="1"/>
    <n v="2"/>
    <m/>
    <n v="1"/>
    <m/>
    <m/>
    <m/>
    <m/>
    <m/>
    <m/>
    <m/>
    <m/>
    <m/>
    <m/>
    <m/>
    <n v="3"/>
    <m/>
    <m/>
    <m/>
    <m/>
    <m/>
    <m/>
    <n v="1"/>
    <m/>
    <m/>
    <m/>
    <m/>
    <n v="8"/>
  </r>
  <r>
    <x v="12"/>
    <x v="1"/>
    <n v="898"/>
    <x v="0"/>
    <x v="3"/>
    <s v="ESOMEPRAZOLE MAGNESIUM"/>
    <m/>
    <m/>
    <n v="2"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12"/>
    <x v="1"/>
    <n v="1896"/>
    <x v="0"/>
    <x v="3"/>
    <s v="ESOMEPRAZOLE MAGNESIUM"/>
    <m/>
    <n v="1"/>
    <m/>
    <n v="1"/>
    <m/>
    <m/>
    <m/>
    <m/>
    <m/>
    <m/>
    <m/>
    <n v="2"/>
    <m/>
    <m/>
    <n v="1"/>
    <m/>
    <m/>
    <n v="1"/>
    <m/>
    <m/>
    <m/>
    <m/>
    <m/>
    <m/>
    <n v="1"/>
    <m/>
    <m/>
    <m/>
    <n v="1"/>
    <n v="8"/>
  </r>
  <r>
    <x v="12"/>
    <x v="1"/>
    <n v="1947"/>
    <x v="0"/>
    <x v="3"/>
    <s v="RABEPRAZOLE SODIUM"/>
    <n v="1"/>
    <m/>
    <m/>
    <m/>
    <n v="1"/>
    <m/>
    <m/>
    <m/>
    <m/>
    <m/>
    <m/>
    <m/>
    <m/>
    <m/>
    <m/>
    <m/>
    <m/>
    <m/>
    <m/>
    <n v="1"/>
    <m/>
    <m/>
    <m/>
    <m/>
    <m/>
    <m/>
    <m/>
    <m/>
    <m/>
    <n v="3"/>
  </r>
  <r>
    <x v="12"/>
    <x v="1"/>
    <n v="6629"/>
    <x v="0"/>
    <x v="1"/>
    <s v="RANITIDINE HCL"/>
    <m/>
    <m/>
    <m/>
    <n v="1"/>
    <m/>
    <m/>
    <m/>
    <m/>
    <m/>
    <n v="1"/>
    <m/>
    <m/>
    <m/>
    <m/>
    <n v="1"/>
    <m/>
    <m/>
    <m/>
    <m/>
    <n v="1"/>
    <m/>
    <m/>
    <m/>
    <n v="1"/>
    <m/>
    <m/>
    <m/>
    <m/>
    <n v="1"/>
    <n v="6"/>
  </r>
  <r>
    <x v="12"/>
    <x v="1"/>
    <n v="6629"/>
    <x v="0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703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7684"/>
    <x v="0"/>
    <x v="3"/>
    <s v="RABEPRAZOLE SODIUM"/>
    <m/>
    <m/>
    <n v="1"/>
    <m/>
    <n v="1"/>
    <m/>
    <m/>
    <m/>
    <n v="1"/>
    <m/>
    <m/>
    <n v="1"/>
    <m/>
    <m/>
    <n v="1"/>
    <m/>
    <m/>
    <n v="1"/>
    <m/>
    <m/>
    <m/>
    <n v="1"/>
    <m/>
    <m/>
    <n v="1"/>
    <m/>
    <m/>
    <m/>
    <m/>
    <n v="8"/>
  </r>
  <r>
    <x v="12"/>
    <x v="1"/>
    <n v="11188"/>
    <x v="0"/>
    <x v="1"/>
    <s v="RANITIDINE HCL"/>
    <m/>
    <m/>
    <m/>
    <n v="1"/>
    <m/>
    <n v="1"/>
    <m/>
    <m/>
    <m/>
    <n v="1"/>
    <m/>
    <m/>
    <n v="1"/>
    <m/>
    <m/>
    <n v="1"/>
    <m/>
    <m/>
    <n v="1"/>
    <m/>
    <m/>
    <m/>
    <m/>
    <n v="1"/>
    <m/>
    <n v="1"/>
    <m/>
    <m/>
    <m/>
    <n v="8"/>
  </r>
  <r>
    <x v="12"/>
    <x v="1"/>
    <n v="1118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3838"/>
    <x v="0"/>
    <x v="3"/>
    <s v="PANTO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2"/>
    <x v="1"/>
    <n v="17092"/>
    <x v="0"/>
    <x v="3"/>
    <s v="ESOMEPRAZOLE MAGNESIUM"/>
    <n v="1"/>
    <m/>
    <m/>
    <m/>
    <m/>
    <m/>
    <m/>
    <n v="1"/>
    <m/>
    <m/>
    <m/>
    <m/>
    <m/>
    <n v="1"/>
    <m/>
    <m/>
    <m/>
    <m/>
    <n v="1"/>
    <m/>
    <m/>
    <m/>
    <m/>
    <m/>
    <m/>
    <m/>
    <m/>
    <m/>
    <m/>
    <n v="4"/>
  </r>
  <r>
    <x v="12"/>
    <x v="1"/>
    <n v="17092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8775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2"/>
    <x v="1"/>
    <n v="9353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9353"/>
    <x v="1"/>
    <x v="3"/>
    <s v="PANTO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414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</r>
  <r>
    <x v="12"/>
    <x v="1"/>
    <n v="17725"/>
    <x v="1"/>
    <x v="3"/>
    <s v="ESOMEPRAZOLE MAGNES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2"/>
    <x v="1"/>
    <n v="6217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621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2"/>
    <x v="1"/>
    <n v="8464"/>
    <x v="0"/>
    <x v="3"/>
    <s v="ESOMEPRAZOLE MAGNES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12"/>
    <x v="1"/>
    <n v="348"/>
    <x v="0"/>
    <x v="1"/>
    <s v="RANITIDINE HCL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2"/>
    <x v="1"/>
    <n v="5856"/>
    <x v="0"/>
    <x v="3"/>
    <s v="LANSOPRAZOLE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2"/>
    <x v="1"/>
    <n v="7811"/>
    <x v="0"/>
    <x v="3"/>
    <s v="ESOMEPRAZOLE MAGNESIUM"/>
    <m/>
    <m/>
    <n v="1"/>
    <m/>
    <m/>
    <m/>
    <m/>
    <m/>
    <m/>
    <m/>
    <m/>
    <m/>
    <m/>
    <m/>
    <m/>
    <m/>
    <m/>
    <m/>
    <m/>
    <n v="1"/>
    <m/>
    <m/>
    <m/>
    <m/>
    <m/>
    <m/>
    <m/>
    <n v="1"/>
    <m/>
    <n v="3"/>
  </r>
  <r>
    <x v="12"/>
    <x v="1"/>
    <n v="8279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9122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2"/>
    <x v="1"/>
    <n v="14183"/>
    <x v="0"/>
    <x v="3"/>
    <s v="PANTOPRAZOLE MAGNESIUM"/>
    <m/>
    <m/>
    <n v="1"/>
    <m/>
    <n v="1"/>
    <m/>
    <m/>
    <m/>
    <n v="1"/>
    <m/>
    <m/>
    <n v="1"/>
    <m/>
    <m/>
    <n v="1"/>
    <m/>
    <m/>
    <n v="1"/>
    <m/>
    <m/>
    <n v="2"/>
    <m/>
    <m/>
    <n v="1"/>
    <m/>
    <m/>
    <m/>
    <n v="1"/>
    <m/>
    <n v="10"/>
  </r>
  <r>
    <x v="12"/>
    <x v="1"/>
    <n v="14908"/>
    <x v="0"/>
    <x v="3"/>
    <s v="ESOMEPRAZOLE MAGNESIUM"/>
    <m/>
    <n v="1"/>
    <m/>
    <m/>
    <m/>
    <n v="1"/>
    <m/>
    <m/>
    <m/>
    <m/>
    <n v="1"/>
    <m/>
    <m/>
    <m/>
    <n v="1"/>
    <m/>
    <m/>
    <m/>
    <n v="1"/>
    <m/>
    <m/>
    <m/>
    <m/>
    <m/>
    <m/>
    <m/>
    <m/>
    <m/>
    <m/>
    <n v="5"/>
  </r>
  <r>
    <x v="12"/>
    <x v="1"/>
    <n v="18295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21068"/>
    <x v="0"/>
    <x v="1"/>
    <s v="RANITIDINE HCL"/>
    <m/>
    <m/>
    <m/>
    <m/>
    <m/>
    <m/>
    <m/>
    <m/>
    <m/>
    <m/>
    <m/>
    <n v="1"/>
    <m/>
    <m/>
    <m/>
    <m/>
    <n v="1"/>
    <m/>
    <m/>
    <m/>
    <m/>
    <m/>
    <n v="1"/>
    <m/>
    <m/>
    <n v="1"/>
    <m/>
    <n v="1"/>
    <m/>
    <n v="5"/>
  </r>
  <r>
    <x v="12"/>
    <x v="1"/>
    <n v="21068"/>
    <x v="0"/>
    <x v="3"/>
    <s v="ESOMEPRAZOLE MAGNESIUM"/>
    <m/>
    <n v="1"/>
    <m/>
    <m/>
    <m/>
    <m/>
    <m/>
    <m/>
    <m/>
    <m/>
    <n v="1"/>
    <m/>
    <m/>
    <n v="1"/>
    <m/>
    <m/>
    <n v="1"/>
    <m/>
    <m/>
    <m/>
    <m/>
    <m/>
    <n v="1"/>
    <m/>
    <m/>
    <n v="1"/>
    <m/>
    <n v="1"/>
    <m/>
    <n v="7"/>
  </r>
  <r>
    <x v="12"/>
    <x v="1"/>
    <n v="8307"/>
    <x v="1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2"/>
    <x v="1"/>
    <n v="7687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5513"/>
    <x v="0"/>
    <x v="4"/>
    <s v="SUCRALFATE"/>
    <m/>
    <m/>
    <m/>
    <m/>
    <m/>
    <m/>
    <m/>
    <m/>
    <m/>
    <m/>
    <m/>
    <m/>
    <m/>
    <m/>
    <m/>
    <m/>
    <m/>
    <m/>
    <m/>
    <m/>
    <m/>
    <m/>
    <n v="2"/>
    <n v="3"/>
    <n v="3"/>
    <n v="3"/>
    <n v="3"/>
    <n v="3"/>
    <m/>
    <n v="17"/>
  </r>
  <r>
    <x v="12"/>
    <x v="1"/>
    <n v="5513"/>
    <x v="0"/>
    <x v="2"/>
    <s v="MISOPROSTOL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"/>
    <n v="1"/>
    <m/>
    <n v="27"/>
  </r>
  <r>
    <x v="12"/>
    <x v="1"/>
    <n v="551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</r>
  <r>
    <x v="12"/>
    <x v="1"/>
    <n v="5513"/>
    <x v="0"/>
    <x v="3"/>
    <s v="PANTOPRAZOLE SODIUM"/>
    <n v="3"/>
    <n v="3"/>
    <n v="3"/>
    <n v="3"/>
    <n v="3"/>
    <n v="3"/>
    <m/>
    <n v="3"/>
    <n v="3"/>
    <n v="3"/>
    <n v="3"/>
    <n v="3"/>
    <n v="3"/>
    <n v="3"/>
    <n v="3"/>
    <n v="3"/>
    <n v="3"/>
    <n v="3"/>
    <n v="3"/>
    <n v="3"/>
    <n v="3"/>
    <n v="3"/>
    <n v="1"/>
    <m/>
    <m/>
    <m/>
    <m/>
    <m/>
    <m/>
    <n v="64"/>
  </r>
  <r>
    <x v="12"/>
    <x v="1"/>
    <n v="5513"/>
    <x v="0"/>
    <x v="3"/>
    <s v="RABEPRAZOLE SODIUM"/>
    <m/>
    <m/>
    <m/>
    <m/>
    <m/>
    <m/>
    <m/>
    <m/>
    <m/>
    <m/>
    <m/>
    <m/>
    <m/>
    <m/>
    <m/>
    <m/>
    <m/>
    <m/>
    <m/>
    <m/>
    <m/>
    <m/>
    <n v="2"/>
    <n v="3"/>
    <n v="3"/>
    <n v="3"/>
    <n v="3"/>
    <m/>
    <m/>
    <n v="14"/>
  </r>
  <r>
    <x v="12"/>
    <x v="1"/>
    <n v="5854"/>
    <x v="0"/>
    <x v="3"/>
    <s v="RABEPRAZOLE SODIUM"/>
    <n v="1"/>
    <m/>
    <n v="1"/>
    <m/>
    <m/>
    <m/>
    <m/>
    <n v="1"/>
    <m/>
    <n v="1"/>
    <m/>
    <n v="1"/>
    <m/>
    <n v="1"/>
    <n v="1"/>
    <m/>
    <m/>
    <n v="1"/>
    <m/>
    <n v="1"/>
    <m/>
    <n v="1"/>
    <m/>
    <n v="2"/>
    <m/>
    <m/>
    <m/>
    <m/>
    <n v="1"/>
    <n v="13"/>
  </r>
  <r>
    <x v="12"/>
    <x v="1"/>
    <n v="897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23817"/>
    <x v="1"/>
    <x v="3"/>
    <s v="RABEPRAZOLE SODIUM"/>
    <m/>
    <n v="1"/>
    <m/>
    <m/>
    <n v="1"/>
    <m/>
    <m/>
    <m/>
    <n v="1"/>
    <m/>
    <m/>
    <m/>
    <n v="1"/>
    <m/>
    <m/>
    <m/>
    <n v="1"/>
    <m/>
    <m/>
    <n v="1"/>
    <m/>
    <m/>
    <m/>
    <n v="1"/>
    <m/>
    <m/>
    <m/>
    <m/>
    <n v="1"/>
    <n v="8"/>
  </r>
  <r>
    <x v="12"/>
    <x v="1"/>
    <n v="1659"/>
    <x v="0"/>
    <x v="0"/>
    <s v="ATOR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12"/>
    <x v="1"/>
    <n v="2188"/>
    <x v="0"/>
    <x v="0"/>
    <s v="ROSU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12"/>
    <x v="1"/>
    <n v="5263"/>
    <x v="0"/>
    <x v="0"/>
    <s v="SIMVASTATIN"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n v="2"/>
  </r>
  <r>
    <x v="12"/>
    <x v="1"/>
    <n v="5985"/>
    <x v="0"/>
    <x v="0"/>
    <s v="SIMVASTATIN"/>
    <m/>
    <m/>
    <n v="1"/>
    <m/>
    <m/>
    <m/>
    <m/>
    <m/>
    <m/>
    <m/>
    <m/>
    <m/>
    <m/>
    <m/>
    <m/>
    <m/>
    <m/>
    <n v="2"/>
    <m/>
    <m/>
    <m/>
    <m/>
    <m/>
    <m/>
    <m/>
    <m/>
    <m/>
    <n v="1"/>
    <m/>
    <n v="4"/>
  </r>
  <r>
    <x v="12"/>
    <x v="1"/>
    <n v="6023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632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n v="2"/>
  </r>
  <r>
    <x v="12"/>
    <x v="1"/>
    <n v="6478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8038"/>
    <x v="0"/>
    <x v="0"/>
    <s v="ROSU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2"/>
    <x v="1"/>
    <n v="9218"/>
    <x v="0"/>
    <x v="0"/>
    <s v="ROSUVASTATIN CALCIUM"/>
    <m/>
    <m/>
    <n v="1"/>
    <m/>
    <m/>
    <m/>
    <m/>
    <m/>
    <m/>
    <n v="2"/>
    <m/>
    <m/>
    <m/>
    <m/>
    <n v="1"/>
    <m/>
    <m/>
    <m/>
    <n v="1"/>
    <m/>
    <m/>
    <m/>
    <m/>
    <m/>
    <n v="1"/>
    <m/>
    <m/>
    <m/>
    <m/>
    <n v="6"/>
  </r>
  <r>
    <x v="12"/>
    <x v="1"/>
    <n v="10236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31244"/>
    <x v="0"/>
    <x v="0"/>
    <s v="ATORVASTATIN CALCIUM"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n v="2"/>
  </r>
  <r>
    <x v="12"/>
    <x v="1"/>
    <n v="473"/>
    <x v="1"/>
    <x v="0"/>
    <s v="ATORVASTATIN CALCIUM"/>
    <m/>
    <m/>
    <m/>
    <m/>
    <n v="1"/>
    <m/>
    <m/>
    <m/>
    <m/>
    <m/>
    <m/>
    <m/>
    <m/>
    <n v="1"/>
    <m/>
    <n v="2"/>
    <n v="1"/>
    <m/>
    <m/>
    <m/>
    <m/>
    <m/>
    <m/>
    <m/>
    <m/>
    <m/>
    <n v="1"/>
    <m/>
    <m/>
    <n v="6"/>
  </r>
  <r>
    <x v="12"/>
    <x v="1"/>
    <n v="825"/>
    <x v="1"/>
    <x v="0"/>
    <s v="ROSUVASTATIN CALCIUM"/>
    <m/>
    <n v="1"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7"/>
  </r>
  <r>
    <x v="12"/>
    <x v="1"/>
    <n v="897"/>
    <x v="1"/>
    <x v="0"/>
    <s v="ROSUVASTATIN CALCIUM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2"/>
    <x v="1"/>
    <n v="1658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n v="2"/>
  </r>
  <r>
    <x v="12"/>
    <x v="1"/>
    <n v="5139"/>
    <x v="1"/>
    <x v="0"/>
    <s v="ROSU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12"/>
    <x v="1"/>
    <n v="7371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7624"/>
    <x v="1"/>
    <x v="0"/>
    <s v="ROSUVASTATIN CALCIUM"/>
    <m/>
    <m/>
    <n v="1"/>
    <m/>
    <m/>
    <n v="1"/>
    <m/>
    <m/>
    <m/>
    <m/>
    <m/>
    <m/>
    <m/>
    <m/>
    <m/>
    <m/>
    <m/>
    <n v="1"/>
    <m/>
    <m/>
    <m/>
    <m/>
    <m/>
    <m/>
    <m/>
    <m/>
    <m/>
    <m/>
    <m/>
    <n v="3"/>
  </r>
  <r>
    <x v="12"/>
    <x v="1"/>
    <n v="8029"/>
    <x v="1"/>
    <x v="0"/>
    <s v="ROSUVASTATIN CALCIUM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</r>
  <r>
    <x v="12"/>
    <x v="1"/>
    <n v="8513"/>
    <x v="1"/>
    <x v="0"/>
    <s v="ROSUVASTATIN CALCIUM"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n v="2"/>
  </r>
  <r>
    <x v="12"/>
    <x v="1"/>
    <n v="8744"/>
    <x v="1"/>
    <x v="0"/>
    <s v="ROSU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2"/>
  </r>
  <r>
    <x v="12"/>
    <x v="1"/>
    <n v="9286"/>
    <x v="1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2"/>
    <x v="1"/>
    <n v="10093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2"/>
    <x v="1"/>
    <n v="11659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2"/>
    <x v="1"/>
    <n v="11896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2"/>
    <x v="1"/>
    <n v="12542"/>
    <x v="1"/>
    <x v="0"/>
    <s v="ROSUVASTATIN CALCIUM"/>
    <m/>
    <m/>
    <m/>
    <m/>
    <m/>
    <m/>
    <m/>
    <m/>
    <m/>
    <n v="1"/>
    <m/>
    <m/>
    <m/>
    <m/>
    <m/>
    <m/>
    <m/>
    <m/>
    <m/>
    <m/>
    <m/>
    <m/>
    <n v="2"/>
    <m/>
    <m/>
    <m/>
    <m/>
    <m/>
    <m/>
    <n v="3"/>
  </r>
  <r>
    <x v="12"/>
    <x v="1"/>
    <n v="12654"/>
    <x v="1"/>
    <x v="0"/>
    <s v="SIMVASTATIN"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n v="2"/>
  </r>
  <r>
    <x v="12"/>
    <x v="1"/>
    <n v="14139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2"/>
  </r>
  <r>
    <x v="12"/>
    <x v="1"/>
    <n v="14907"/>
    <x v="1"/>
    <x v="0"/>
    <s v="ROSUVASTATIN CALCIUM"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n v="2"/>
  </r>
  <r>
    <x v="12"/>
    <x v="1"/>
    <n v="16360"/>
    <x v="1"/>
    <x v="0"/>
    <s v="ROSUVASTATIN CALCIUM"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</r>
  <r>
    <x v="12"/>
    <x v="1"/>
    <n v="16962"/>
    <x v="1"/>
    <x v="0"/>
    <s v="ROSUVASTATIN CALCIUM"/>
    <m/>
    <m/>
    <m/>
    <m/>
    <m/>
    <m/>
    <m/>
    <m/>
    <m/>
    <m/>
    <n v="1"/>
    <m/>
    <m/>
    <m/>
    <m/>
    <m/>
    <m/>
    <m/>
    <m/>
    <m/>
    <m/>
    <m/>
    <n v="1"/>
    <m/>
    <n v="1"/>
    <m/>
    <m/>
    <m/>
    <m/>
    <n v="3"/>
  </r>
  <r>
    <x v="12"/>
    <x v="1"/>
    <n v="19644"/>
    <x v="1"/>
    <x v="0"/>
    <s v="ROSUVASTATIN CALCIUM"/>
    <m/>
    <n v="2"/>
    <m/>
    <m/>
    <n v="1"/>
    <m/>
    <m/>
    <m/>
    <m/>
    <m/>
    <m/>
    <m/>
    <m/>
    <m/>
    <m/>
    <m/>
    <m/>
    <m/>
    <m/>
    <m/>
    <n v="1"/>
    <m/>
    <m/>
    <m/>
    <m/>
    <m/>
    <m/>
    <m/>
    <m/>
    <n v="4"/>
  </r>
  <r>
    <x v="12"/>
    <x v="1"/>
    <n v="25415"/>
    <x v="1"/>
    <x v="0"/>
    <s v="ROSUVASTATIN CALC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12"/>
    <x v="1"/>
    <n v="29369"/>
    <x v="1"/>
    <x v="0"/>
    <s v="ROSUVASTATIN CALCIUM"/>
    <m/>
    <m/>
    <m/>
    <n v="1"/>
    <m/>
    <n v="1"/>
    <m/>
    <m/>
    <m/>
    <m/>
    <m/>
    <n v="1"/>
    <m/>
    <m/>
    <m/>
    <m/>
    <n v="1"/>
    <m/>
    <m/>
    <n v="1"/>
    <m/>
    <m/>
    <m/>
    <n v="1"/>
    <m/>
    <m/>
    <n v="1"/>
    <m/>
    <m/>
    <n v="7"/>
  </r>
  <r>
    <x v="12"/>
    <x v="1"/>
    <n v="1880"/>
    <x v="0"/>
    <x v="8"/>
    <s v="FENOFIBRATE, NANOCRYSTALLIZED"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n v="2"/>
  </r>
  <r>
    <x v="12"/>
    <x v="1"/>
    <n v="1880"/>
    <x v="0"/>
    <x v="6"/>
    <s v="EZETIMIBE"/>
    <m/>
    <m/>
    <m/>
    <m/>
    <m/>
    <m/>
    <m/>
    <m/>
    <m/>
    <m/>
    <m/>
    <m/>
    <m/>
    <m/>
    <m/>
    <n v="1"/>
    <m/>
    <m/>
    <m/>
    <m/>
    <n v="1"/>
    <m/>
    <m/>
    <m/>
    <m/>
    <n v="1"/>
    <m/>
    <m/>
    <m/>
    <n v="3"/>
  </r>
  <r>
    <x v="12"/>
    <x v="1"/>
    <n v="1947"/>
    <x v="0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2"/>
  </r>
  <r>
    <x v="12"/>
    <x v="1"/>
    <n v="2392"/>
    <x v="0"/>
    <x v="8"/>
    <s v="FENOFIBRATE, NANOCRYSTALLIZED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2"/>
    <x v="1"/>
    <n v="3449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7863"/>
    <x v="0"/>
    <x v="0"/>
    <s v="ROSUVASTATIN CALCIUM"/>
    <n v="1"/>
    <m/>
    <m/>
    <m/>
    <m/>
    <m/>
    <m/>
    <m/>
    <m/>
    <m/>
    <m/>
    <m/>
    <m/>
    <m/>
    <m/>
    <m/>
    <n v="1"/>
    <m/>
    <m/>
    <m/>
    <m/>
    <m/>
    <m/>
    <m/>
    <m/>
    <n v="1"/>
    <m/>
    <m/>
    <m/>
    <n v="3"/>
  </r>
  <r>
    <x v="12"/>
    <x v="1"/>
    <n v="11188"/>
    <x v="0"/>
    <x v="0"/>
    <s v="ROSUVASTATIN CALCIUM"/>
    <m/>
    <m/>
    <m/>
    <n v="1"/>
    <m/>
    <n v="1"/>
    <m/>
    <m/>
    <m/>
    <n v="1"/>
    <m/>
    <m/>
    <n v="1"/>
    <m/>
    <m/>
    <n v="1"/>
    <m/>
    <m/>
    <n v="1"/>
    <m/>
    <m/>
    <m/>
    <m/>
    <n v="1"/>
    <m/>
    <n v="1"/>
    <m/>
    <m/>
    <m/>
    <n v="8"/>
  </r>
  <r>
    <x v="12"/>
    <x v="1"/>
    <n v="11535"/>
    <x v="0"/>
    <x v="8"/>
    <s v="FENOFIBRATE, NANOCRYSTALLIZED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n v="2"/>
  </r>
  <r>
    <x v="12"/>
    <x v="1"/>
    <n v="11897"/>
    <x v="0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2"/>
    <x v="1"/>
    <n v="12540"/>
    <x v="0"/>
    <x v="0"/>
    <s v="ATOR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2"/>
    <x v="1"/>
    <n v="13860"/>
    <x v="0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3860"/>
    <x v="0"/>
    <x v="0"/>
    <s v="ROSU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2"/>
    <x v="1"/>
    <n v="14536"/>
    <x v="0"/>
    <x v="0"/>
    <s v="PRAVASTATIN SOD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2"/>
  </r>
  <r>
    <x v="12"/>
    <x v="1"/>
    <n v="21179"/>
    <x v="0"/>
    <x v="0"/>
    <s v="ROSU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2"/>
    <x v="1"/>
    <n v="1475"/>
    <x v="1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n v="2"/>
  </r>
  <r>
    <x v="12"/>
    <x v="1"/>
    <n v="5669"/>
    <x v="1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2"/>
    <x v="1"/>
    <n v="5867"/>
    <x v="1"/>
    <x v="0"/>
    <s v="SIMVASTATIN"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n v="3"/>
  </r>
  <r>
    <x v="12"/>
    <x v="1"/>
    <n v="6678"/>
    <x v="1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2"/>
    <x v="1"/>
    <n v="6791"/>
    <x v="1"/>
    <x v="0"/>
    <s v="SIMVASTATIN"/>
    <m/>
    <m/>
    <m/>
    <m/>
    <n v="1"/>
    <m/>
    <m/>
    <m/>
    <n v="1"/>
    <m/>
    <n v="1"/>
    <m/>
    <m/>
    <n v="1"/>
    <m/>
    <m/>
    <n v="1"/>
    <m/>
    <m/>
    <n v="1"/>
    <m/>
    <m/>
    <m/>
    <n v="1"/>
    <m/>
    <m/>
    <n v="1"/>
    <m/>
    <m/>
    <n v="8"/>
  </r>
  <r>
    <x v="12"/>
    <x v="1"/>
    <n v="9147"/>
    <x v="1"/>
    <x v="0"/>
    <s v="ROSUVASTATIN CALC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2"/>
    <x v="1"/>
    <n v="935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0357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11802"/>
    <x v="1"/>
    <x v="0"/>
    <s v="ROSUVASTATIN CALCIUM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2"/>
    <x v="1"/>
    <n v="12128"/>
    <x v="1"/>
    <x v="0"/>
    <s v="ATORVASTATIN CALCIUM"/>
    <m/>
    <m/>
    <m/>
    <m/>
    <m/>
    <m/>
    <m/>
    <m/>
    <m/>
    <m/>
    <m/>
    <n v="1"/>
    <n v="1"/>
    <m/>
    <m/>
    <m/>
    <m/>
    <m/>
    <m/>
    <m/>
    <m/>
    <m/>
    <n v="1"/>
    <m/>
    <m/>
    <m/>
    <m/>
    <m/>
    <m/>
    <n v="3"/>
  </r>
  <r>
    <x v="12"/>
    <x v="1"/>
    <n v="17161"/>
    <x v="1"/>
    <x v="0"/>
    <s v="ATORVASTATIN CALCIUM"/>
    <m/>
    <m/>
    <m/>
    <m/>
    <m/>
    <m/>
    <m/>
    <m/>
    <m/>
    <m/>
    <m/>
    <n v="1"/>
    <m/>
    <m/>
    <m/>
    <m/>
    <m/>
    <n v="4"/>
    <n v="2"/>
    <m/>
    <m/>
    <m/>
    <m/>
    <n v="1"/>
    <m/>
    <m/>
    <m/>
    <m/>
    <n v="1"/>
    <n v="9"/>
  </r>
  <r>
    <x v="12"/>
    <x v="1"/>
    <n v="20251"/>
    <x v="1"/>
    <x v="0"/>
    <s v="ROSUVASTATIN CALCIUM"/>
    <m/>
    <n v="1"/>
    <m/>
    <m/>
    <m/>
    <m/>
    <m/>
    <m/>
    <m/>
    <m/>
    <m/>
    <n v="2"/>
    <m/>
    <n v="2"/>
    <m/>
    <n v="1"/>
    <m/>
    <m/>
    <m/>
    <m/>
    <m/>
    <m/>
    <n v="1"/>
    <m/>
    <m/>
    <m/>
    <m/>
    <m/>
    <m/>
    <n v="7"/>
  </r>
  <r>
    <x v="12"/>
    <x v="1"/>
    <n v="20588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2"/>
    <x v="1"/>
    <n v="22538"/>
    <x v="1"/>
    <x v="0"/>
    <s v="SIMVASTATIN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12"/>
    <x v="1"/>
    <n v="31273"/>
    <x v="1"/>
    <x v="0"/>
    <s v="ROSU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12"/>
    <x v="1"/>
    <n v="33633"/>
    <x v="1"/>
    <x v="0"/>
    <s v="SIMVASTATIN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3"/>
    <x v="1"/>
    <n v="950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256"/>
    <x v="0"/>
    <x v="0"/>
    <s v="ROSUVASTATIN CALCIUM"/>
    <m/>
    <m/>
    <m/>
    <m/>
    <m/>
    <n v="1"/>
    <m/>
    <m/>
    <m/>
    <m/>
    <m/>
    <m/>
    <m/>
    <n v="1"/>
    <m/>
    <m/>
    <m/>
    <m/>
    <m/>
    <m/>
    <m/>
    <m/>
    <m/>
    <m/>
    <m/>
    <m/>
    <n v="1"/>
    <m/>
    <m/>
    <n v="3"/>
  </r>
  <r>
    <x v="13"/>
    <x v="1"/>
    <n v="1389"/>
    <x v="0"/>
    <x v="1"/>
    <s v="RANITIDINE HCL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3"/>
    <x v="1"/>
    <n v="2184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4714"/>
    <x v="0"/>
    <x v="3"/>
    <s v="ESOMEPRAZOLE MAGNES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5037"/>
    <x v="0"/>
    <x v="0"/>
    <s v="ATORVASTATIN CALCIUM"/>
    <m/>
    <m/>
    <m/>
    <m/>
    <m/>
    <m/>
    <m/>
    <m/>
    <m/>
    <m/>
    <m/>
    <n v="1"/>
    <m/>
    <n v="1"/>
    <m/>
    <m/>
    <m/>
    <m/>
    <m/>
    <m/>
    <m/>
    <m/>
    <m/>
    <m/>
    <m/>
    <m/>
    <m/>
    <n v="1"/>
    <m/>
    <n v="3"/>
  </r>
  <r>
    <x v="13"/>
    <x v="1"/>
    <n v="6251"/>
    <x v="0"/>
    <x v="3"/>
    <s v="PANTOPRAZOLE MAGNES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3"/>
    <x v="1"/>
    <n v="7137"/>
    <x v="0"/>
    <x v="0"/>
    <s v="LOVASTATIN"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n v="2"/>
  </r>
  <r>
    <x v="13"/>
    <x v="1"/>
    <n v="7880"/>
    <x v="0"/>
    <x v="3"/>
    <s v="ESOMEPRAZOLE MAGNESIUM"/>
    <m/>
    <m/>
    <n v="1"/>
    <m/>
    <n v="1"/>
    <m/>
    <m/>
    <m/>
    <m/>
    <m/>
    <m/>
    <m/>
    <m/>
    <m/>
    <m/>
    <n v="1"/>
    <m/>
    <m/>
    <m/>
    <m/>
    <m/>
    <m/>
    <m/>
    <m/>
    <m/>
    <m/>
    <n v="1"/>
    <m/>
    <m/>
    <n v="4"/>
  </r>
  <r>
    <x v="13"/>
    <x v="1"/>
    <n v="8553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8553"/>
    <x v="0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n v="2"/>
    <m/>
    <m/>
    <n v="3"/>
  </r>
  <r>
    <x v="13"/>
    <x v="1"/>
    <n v="8553"/>
    <x v="0"/>
    <x v="3"/>
    <s v="PANTOPRAZOLE SOD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13"/>
    <x v="1"/>
    <n v="955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3"/>
    <x v="1"/>
    <n v="10861"/>
    <x v="0"/>
    <x v="3"/>
    <s v="OMEPRAZOLE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11641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n v="2"/>
    <m/>
    <m/>
    <m/>
    <m/>
    <m/>
    <n v="3"/>
  </r>
  <r>
    <x v="13"/>
    <x v="1"/>
    <n v="12099"/>
    <x v="0"/>
    <x v="3"/>
    <s v="LANSOPRAZOLE"/>
    <n v="1"/>
    <m/>
    <n v="1"/>
    <m/>
    <n v="1"/>
    <n v="1"/>
    <m/>
    <n v="2"/>
    <n v="1"/>
    <n v="1"/>
    <m/>
    <n v="1"/>
    <m/>
    <n v="1"/>
    <m/>
    <m/>
    <n v="1"/>
    <n v="1"/>
    <m/>
    <n v="1"/>
    <m/>
    <m/>
    <m/>
    <n v="1"/>
    <m/>
    <n v="1"/>
    <m/>
    <n v="1"/>
    <m/>
    <n v="16"/>
  </r>
  <r>
    <x v="13"/>
    <x v="1"/>
    <n v="13331"/>
    <x v="0"/>
    <x v="0"/>
    <s v="ATORVASTATIN CALCIUM"/>
    <m/>
    <m/>
    <n v="1"/>
    <m/>
    <m/>
    <m/>
    <m/>
    <n v="1"/>
    <m/>
    <m/>
    <n v="1"/>
    <m/>
    <m/>
    <m/>
    <m/>
    <n v="1"/>
    <m/>
    <m/>
    <m/>
    <n v="1"/>
    <m/>
    <m/>
    <m/>
    <n v="1"/>
    <m/>
    <m/>
    <m/>
    <m/>
    <n v="1"/>
    <n v="7"/>
  </r>
  <r>
    <x v="13"/>
    <x v="1"/>
    <n v="13331"/>
    <x v="0"/>
    <x v="6"/>
    <s v="EZETIMIBE"/>
    <m/>
    <m/>
    <n v="1"/>
    <m/>
    <m/>
    <m/>
    <m/>
    <n v="1"/>
    <m/>
    <m/>
    <n v="1"/>
    <m/>
    <m/>
    <m/>
    <m/>
    <n v="1"/>
    <m/>
    <m/>
    <m/>
    <n v="1"/>
    <m/>
    <m/>
    <m/>
    <n v="1"/>
    <m/>
    <m/>
    <m/>
    <m/>
    <n v="1"/>
    <n v="7"/>
  </r>
  <r>
    <x v="13"/>
    <x v="1"/>
    <n v="14717"/>
    <x v="0"/>
    <x v="3"/>
    <s v="PANTOPRAZOLE MAGNESIUM"/>
    <n v="1"/>
    <m/>
    <m/>
    <n v="1"/>
    <m/>
    <m/>
    <m/>
    <m/>
    <n v="1"/>
    <m/>
    <m/>
    <m/>
    <m/>
    <n v="1"/>
    <m/>
    <m/>
    <m/>
    <n v="3"/>
    <m/>
    <m/>
    <m/>
    <m/>
    <m/>
    <m/>
    <m/>
    <m/>
    <m/>
    <m/>
    <m/>
    <n v="7"/>
  </r>
  <r>
    <x v="13"/>
    <x v="1"/>
    <n v="16864"/>
    <x v="0"/>
    <x v="0"/>
    <s v="ATORVASTATIN CALCIUM"/>
    <m/>
    <m/>
    <m/>
    <n v="1"/>
    <m/>
    <n v="2"/>
    <m/>
    <m/>
    <m/>
    <m/>
    <m/>
    <m/>
    <m/>
    <m/>
    <m/>
    <m/>
    <m/>
    <m/>
    <m/>
    <m/>
    <m/>
    <m/>
    <n v="1"/>
    <m/>
    <m/>
    <m/>
    <m/>
    <m/>
    <m/>
    <n v="4"/>
  </r>
  <r>
    <x v="13"/>
    <x v="1"/>
    <n v="18103"/>
    <x v="0"/>
    <x v="4"/>
    <s v="SUCRALFATE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3"/>
    <x v="1"/>
    <n v="18103"/>
    <x v="0"/>
    <x v="3"/>
    <s v="ESOMEPRAZOLE MAGNES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13"/>
    <x v="1"/>
    <n v="20179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20697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3308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631"/>
    <x v="1"/>
    <x v="6"/>
    <s v="EZETIMIBE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13"/>
    <x v="1"/>
    <n v="453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8520"/>
    <x v="1"/>
    <x v="0"/>
    <s v="ROSUVASTATIN CALCIUM"/>
    <n v="1"/>
    <m/>
    <m/>
    <m/>
    <m/>
    <m/>
    <m/>
    <m/>
    <m/>
    <m/>
    <m/>
    <m/>
    <m/>
    <n v="1"/>
    <m/>
    <m/>
    <m/>
    <m/>
    <m/>
    <m/>
    <m/>
    <n v="1"/>
    <m/>
    <m/>
    <m/>
    <m/>
    <m/>
    <m/>
    <m/>
    <n v="3"/>
  </r>
  <r>
    <x v="13"/>
    <x v="1"/>
    <n v="12333"/>
    <x v="1"/>
    <x v="0"/>
    <s v="ATORVASTATIN CALCIUM"/>
    <n v="1"/>
    <m/>
    <m/>
    <m/>
    <n v="1"/>
    <m/>
    <m/>
    <m/>
    <m/>
    <n v="1"/>
    <m/>
    <m/>
    <m/>
    <n v="1"/>
    <m/>
    <m/>
    <m/>
    <n v="1"/>
    <m/>
    <m/>
    <m/>
    <n v="1"/>
    <m/>
    <m/>
    <m/>
    <n v="1"/>
    <m/>
    <m/>
    <m/>
    <n v="7"/>
  </r>
  <r>
    <x v="13"/>
    <x v="1"/>
    <n v="14461"/>
    <x v="1"/>
    <x v="3"/>
    <s v="RABEPRAZOLE SODIUM"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</r>
  <r>
    <x v="13"/>
    <x v="1"/>
    <n v="23731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n v="2"/>
  </r>
  <r>
    <x v="13"/>
    <x v="1"/>
    <n v="67"/>
    <x v="0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3"/>
    <x v="1"/>
    <n v="6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57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57"/>
    <x v="0"/>
    <x v="3"/>
    <s v="PANTOPRAZOLE MAGNESIUM"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n v="2"/>
  </r>
  <r>
    <x v="13"/>
    <x v="1"/>
    <n v="157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351"/>
    <x v="0"/>
    <x v="3"/>
    <s v="ESOMEPRAZOLE MAGNESIUM"/>
    <m/>
    <m/>
    <m/>
    <m/>
    <m/>
    <m/>
    <m/>
    <m/>
    <m/>
    <m/>
    <n v="2"/>
    <m/>
    <n v="1"/>
    <n v="1"/>
    <m/>
    <m/>
    <m/>
    <m/>
    <m/>
    <m/>
    <m/>
    <m/>
    <m/>
    <m/>
    <m/>
    <m/>
    <m/>
    <m/>
    <m/>
    <n v="4"/>
  </r>
  <r>
    <x v="13"/>
    <x v="1"/>
    <n v="412"/>
    <x v="0"/>
    <x v="3"/>
    <s v="ESOMEPRAZOLE MAGNES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412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4535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4535"/>
    <x v="0"/>
    <x v="3"/>
    <s v="PANTOPRAZOLE MAGNESIUM"/>
    <n v="1"/>
    <m/>
    <m/>
    <m/>
    <n v="1"/>
    <m/>
    <m/>
    <m/>
    <n v="1"/>
    <m/>
    <m/>
    <m/>
    <m/>
    <m/>
    <m/>
    <n v="1"/>
    <m/>
    <m/>
    <m/>
    <m/>
    <m/>
    <m/>
    <m/>
    <m/>
    <m/>
    <m/>
    <m/>
    <m/>
    <m/>
    <n v="4"/>
  </r>
  <r>
    <x v="13"/>
    <x v="1"/>
    <n v="4535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4807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n v="2"/>
  </r>
  <r>
    <x v="13"/>
    <x v="1"/>
    <n v="5881"/>
    <x v="0"/>
    <x v="3"/>
    <s v="RABE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3"/>
    <x v="1"/>
    <n v="6156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13"/>
    <x v="1"/>
    <n v="8096"/>
    <x v="0"/>
    <x v="3"/>
    <s v="PANTOPRAZOLE SOD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13"/>
    <x v="1"/>
    <n v="8946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n v="2"/>
  </r>
  <r>
    <x v="13"/>
    <x v="1"/>
    <n v="949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0939"/>
    <x v="0"/>
    <x v="1"/>
    <s v="RANITIDINE HCL"/>
    <m/>
    <n v="1"/>
    <n v="1"/>
    <m/>
    <m/>
    <m/>
    <m/>
    <m/>
    <m/>
    <m/>
    <m/>
    <m/>
    <n v="1"/>
    <m/>
    <m/>
    <m/>
    <m/>
    <m/>
    <m/>
    <m/>
    <n v="1"/>
    <m/>
    <n v="1"/>
    <m/>
    <m/>
    <m/>
    <n v="1"/>
    <m/>
    <n v="1"/>
    <n v="7"/>
  </r>
  <r>
    <x v="13"/>
    <x v="1"/>
    <n v="1155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241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2413"/>
    <x v="0"/>
    <x v="3"/>
    <s v="PANTOPRAZOLE MAGNES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13"/>
    <x v="1"/>
    <n v="1241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514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5345"/>
    <x v="0"/>
    <x v="3"/>
    <s v="LANSOPRAZOLE"/>
    <m/>
    <m/>
    <m/>
    <n v="1"/>
    <m/>
    <m/>
    <m/>
    <m/>
    <m/>
    <m/>
    <n v="1"/>
    <m/>
    <m/>
    <m/>
    <m/>
    <m/>
    <m/>
    <m/>
    <m/>
    <m/>
    <m/>
    <m/>
    <m/>
    <m/>
    <n v="1"/>
    <m/>
    <m/>
    <m/>
    <m/>
    <n v="3"/>
  </r>
  <r>
    <x v="13"/>
    <x v="1"/>
    <n v="15789"/>
    <x v="0"/>
    <x v="3"/>
    <s v="PANTO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3"/>
    <x v="1"/>
    <n v="15888"/>
    <x v="0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3"/>
    <x v="1"/>
    <n v="17904"/>
    <x v="0"/>
    <x v="3"/>
    <s v="RABEPRAZOLE SODIUM"/>
    <m/>
    <m/>
    <m/>
    <m/>
    <m/>
    <m/>
    <m/>
    <m/>
    <m/>
    <n v="1"/>
    <m/>
    <m/>
    <m/>
    <m/>
    <m/>
    <m/>
    <m/>
    <n v="1"/>
    <m/>
    <m/>
    <m/>
    <m/>
    <m/>
    <m/>
    <n v="1"/>
    <m/>
    <m/>
    <m/>
    <m/>
    <n v="3"/>
  </r>
  <r>
    <x v="13"/>
    <x v="1"/>
    <n v="1858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3"/>
    <x v="1"/>
    <n v="18582"/>
    <x v="0"/>
    <x v="3"/>
    <s v="ESOMEPRAZOLE MAGNESIUM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13"/>
    <x v="1"/>
    <n v="1901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20470"/>
    <x v="0"/>
    <x v="0"/>
    <s v="SIMVASTATIN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2"/>
  </r>
  <r>
    <x v="13"/>
    <x v="1"/>
    <n v="20602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23737"/>
    <x v="0"/>
    <x v="3"/>
    <s v="OMEPRAZOLE"/>
    <m/>
    <n v="1"/>
    <m/>
    <m/>
    <m/>
    <m/>
    <m/>
    <m/>
    <n v="1"/>
    <m/>
    <m/>
    <m/>
    <m/>
    <m/>
    <m/>
    <n v="1"/>
    <m/>
    <m/>
    <m/>
    <m/>
    <n v="2"/>
    <m/>
    <m/>
    <m/>
    <m/>
    <n v="1"/>
    <m/>
    <m/>
    <m/>
    <n v="6"/>
  </r>
  <r>
    <x v="13"/>
    <x v="1"/>
    <n v="3006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1622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n v="2"/>
  </r>
  <r>
    <x v="13"/>
    <x v="1"/>
    <n v="13551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4559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5387"/>
    <x v="1"/>
    <x v="0"/>
    <s v="ATORVASTATIN CALCIUM"/>
    <m/>
    <m/>
    <m/>
    <n v="1"/>
    <m/>
    <m/>
    <m/>
    <m/>
    <m/>
    <m/>
    <m/>
    <m/>
    <n v="1"/>
    <m/>
    <m/>
    <m/>
    <m/>
    <m/>
    <n v="1"/>
    <m/>
    <m/>
    <m/>
    <m/>
    <m/>
    <m/>
    <m/>
    <n v="2"/>
    <m/>
    <m/>
    <n v="5"/>
  </r>
  <r>
    <x v="13"/>
    <x v="1"/>
    <n v="29354"/>
    <x v="1"/>
    <x v="8"/>
    <s v="FENOFIBRATE, MICROCOATED"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n v="2"/>
  </r>
  <r>
    <x v="13"/>
    <x v="1"/>
    <n v="29354"/>
    <x v="1"/>
    <x v="8"/>
    <s v="FENOFIBRATE, MICRONIZED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0573"/>
    <x v="0"/>
    <x v="3"/>
    <s v="RABEPRAZOLE SOD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13"/>
    <x v="1"/>
    <n v="12630"/>
    <x v="0"/>
    <x v="1"/>
    <s v="RANITIDINE HCL"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n v="4"/>
  </r>
  <r>
    <x v="13"/>
    <x v="1"/>
    <n v="12630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3"/>
    <x v="1"/>
    <n v="33179"/>
    <x v="0"/>
    <x v="3"/>
    <s v="RABEPRAZOLE SOD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3"/>
    <x v="1"/>
    <n v="32437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1975"/>
    <x v="0"/>
    <x v="3"/>
    <s v="LANSOPRAZOLE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3"/>
    <x v="1"/>
    <n v="6156"/>
    <x v="0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m/>
    <m/>
    <n v="1"/>
    <m/>
    <m/>
    <n v="3"/>
  </r>
  <r>
    <x v="13"/>
    <x v="1"/>
    <n v="894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1166"/>
    <x v="0"/>
    <x v="3"/>
    <s v="ESOMEPRAZOLE MAGNES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3"/>
    <x v="1"/>
    <n v="11166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23749"/>
    <x v="0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3"/>
    <x v="1"/>
    <n v="6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66"/>
    <x v="1"/>
    <x v="3"/>
    <s v="ESOMEPRAZOLE MAGNESIUM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3"/>
    <x v="1"/>
    <n v="66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1165"/>
    <x v="1"/>
    <x v="7"/>
    <s v="PINAVERIUM BROMIDE"/>
    <n v="1"/>
    <m/>
    <m/>
    <m/>
    <n v="1"/>
    <m/>
    <m/>
    <m/>
    <m/>
    <m/>
    <n v="2"/>
    <m/>
    <m/>
    <m/>
    <n v="1"/>
    <m/>
    <m/>
    <m/>
    <m/>
    <n v="1"/>
    <m/>
    <m/>
    <m/>
    <m/>
    <m/>
    <m/>
    <n v="1"/>
    <m/>
    <m/>
    <n v="7"/>
  </r>
  <r>
    <x v="13"/>
    <x v="1"/>
    <n v="11165"/>
    <x v="1"/>
    <x v="3"/>
    <s v="ESOMEPRAZOLE MAGNESIUM"/>
    <n v="1"/>
    <m/>
    <m/>
    <m/>
    <n v="1"/>
    <m/>
    <m/>
    <m/>
    <m/>
    <m/>
    <n v="2"/>
    <m/>
    <m/>
    <m/>
    <n v="1"/>
    <m/>
    <m/>
    <m/>
    <m/>
    <n v="1"/>
    <m/>
    <m/>
    <m/>
    <m/>
    <m/>
    <m/>
    <n v="1"/>
    <m/>
    <m/>
    <n v="7"/>
  </r>
  <r>
    <x v="13"/>
    <x v="1"/>
    <n v="2025"/>
    <x v="0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13"/>
    <x v="1"/>
    <n v="2025"/>
    <x v="0"/>
    <x v="6"/>
    <s v="EZETIMIBE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3"/>
    <x v="1"/>
    <n v="3525"/>
    <x v="0"/>
    <x v="0"/>
    <s v="ATORVASTATIN CALC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n v="1"/>
    <m/>
    <n v="26"/>
  </r>
  <r>
    <x v="13"/>
    <x v="1"/>
    <n v="4607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n v="2"/>
  </r>
  <r>
    <x v="13"/>
    <x v="1"/>
    <n v="4692"/>
    <x v="0"/>
    <x v="0"/>
    <s v="ATORVASTATIN CALCIUM"/>
    <m/>
    <m/>
    <m/>
    <m/>
    <n v="1"/>
    <m/>
    <m/>
    <m/>
    <m/>
    <m/>
    <m/>
    <m/>
    <m/>
    <m/>
    <m/>
    <m/>
    <m/>
    <m/>
    <m/>
    <n v="1"/>
    <n v="1"/>
    <m/>
    <m/>
    <m/>
    <m/>
    <m/>
    <m/>
    <m/>
    <m/>
    <n v="3"/>
  </r>
  <r>
    <x v="13"/>
    <x v="1"/>
    <n v="6513"/>
    <x v="0"/>
    <x v="8"/>
    <s v="FENOFIBRATE, NANOCRYSTALLIZED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6513"/>
    <x v="0"/>
    <x v="8"/>
    <s v="FENOFIBRATE, MICROCOATED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13"/>
    <x v="1"/>
    <n v="7880"/>
    <x v="0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3"/>
    <x v="1"/>
    <n v="7979"/>
    <x v="0"/>
    <x v="0"/>
    <s v="LOVASTATIN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3"/>
    <x v="1"/>
    <n v="8846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n v="2"/>
  </r>
  <r>
    <x v="13"/>
    <x v="1"/>
    <n v="8846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9363"/>
    <x v="0"/>
    <x v="0"/>
    <s v="ATORVASTATIN CALCIUM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3"/>
    <x v="1"/>
    <n v="10544"/>
    <x v="0"/>
    <x v="0"/>
    <s v="ATORVASTATIN CALCIUM"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n v="2"/>
  </r>
  <r>
    <x v="13"/>
    <x v="1"/>
    <n v="10573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13"/>
    <x v="1"/>
    <n v="10783"/>
    <x v="0"/>
    <x v="0"/>
    <s v="ATORVASTATIN CALCIUM"/>
    <m/>
    <m/>
    <m/>
    <n v="1"/>
    <m/>
    <m/>
    <m/>
    <m/>
    <m/>
    <m/>
    <m/>
    <m/>
    <m/>
    <n v="1"/>
    <m/>
    <m/>
    <m/>
    <m/>
    <m/>
    <m/>
    <n v="1"/>
    <m/>
    <m/>
    <m/>
    <m/>
    <m/>
    <m/>
    <m/>
    <m/>
    <n v="3"/>
  </r>
  <r>
    <x v="13"/>
    <x v="1"/>
    <n v="12099"/>
    <x v="0"/>
    <x v="6"/>
    <s v="EZETIMIBE"/>
    <n v="1"/>
    <m/>
    <n v="1"/>
    <m/>
    <n v="1"/>
    <n v="1"/>
    <m/>
    <n v="2"/>
    <n v="1"/>
    <n v="1"/>
    <m/>
    <n v="1"/>
    <m/>
    <n v="1"/>
    <m/>
    <m/>
    <n v="1"/>
    <n v="1"/>
    <m/>
    <n v="1"/>
    <m/>
    <m/>
    <m/>
    <n v="1"/>
    <m/>
    <n v="1"/>
    <m/>
    <n v="1"/>
    <m/>
    <n v="16"/>
  </r>
  <r>
    <x v="13"/>
    <x v="1"/>
    <n v="13232"/>
    <x v="0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13"/>
    <x v="1"/>
    <n v="16942"/>
    <x v="0"/>
    <x v="0"/>
    <s v="ROSUVASTATIN CALCIUM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3"/>
    <x v="1"/>
    <n v="18252"/>
    <x v="0"/>
    <x v="0"/>
    <s v="ATORVASTATIN CALCIUM"/>
    <m/>
    <n v="1"/>
    <m/>
    <m/>
    <n v="1"/>
    <m/>
    <m/>
    <m/>
    <m/>
    <m/>
    <m/>
    <m/>
    <m/>
    <m/>
    <m/>
    <m/>
    <m/>
    <m/>
    <m/>
    <m/>
    <m/>
    <m/>
    <n v="1"/>
    <m/>
    <m/>
    <m/>
    <m/>
    <m/>
    <m/>
    <n v="3"/>
  </r>
  <r>
    <x v="13"/>
    <x v="1"/>
    <n v="21703"/>
    <x v="0"/>
    <x v="0"/>
    <s v="SIMVASTATIN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3"/>
    <x v="1"/>
    <n v="30756"/>
    <x v="0"/>
    <x v="0"/>
    <s v="ATORVASTATIN CALCIUM"/>
    <m/>
    <m/>
    <n v="1"/>
    <m/>
    <m/>
    <m/>
    <m/>
    <m/>
    <m/>
    <m/>
    <m/>
    <m/>
    <m/>
    <m/>
    <m/>
    <n v="1"/>
    <m/>
    <m/>
    <n v="1"/>
    <m/>
    <m/>
    <m/>
    <m/>
    <m/>
    <m/>
    <m/>
    <m/>
    <m/>
    <m/>
    <n v="3"/>
  </r>
  <r>
    <x v="13"/>
    <x v="1"/>
    <n v="33179"/>
    <x v="0"/>
    <x v="0"/>
    <s v="ATORVASTATIN CALCIUM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2"/>
  </r>
  <r>
    <x v="13"/>
    <x v="1"/>
    <n v="842"/>
    <x v="1"/>
    <x v="0"/>
    <s v="ATORVASTATIN CALCIUM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2"/>
  </r>
  <r>
    <x v="13"/>
    <x v="1"/>
    <n v="5751"/>
    <x v="1"/>
    <x v="0"/>
    <s v="ATORVASTATIN CALC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3"/>
    <x v="1"/>
    <n v="7251"/>
    <x v="1"/>
    <x v="0"/>
    <s v="ATORVASTATIN CALCIUM"/>
    <m/>
    <m/>
    <n v="1"/>
    <m/>
    <m/>
    <m/>
    <m/>
    <n v="1"/>
    <m/>
    <m/>
    <m/>
    <n v="1"/>
    <m/>
    <m/>
    <m/>
    <m/>
    <n v="1"/>
    <m/>
    <m/>
    <m/>
    <n v="1"/>
    <m/>
    <m/>
    <m/>
    <m/>
    <n v="1"/>
    <m/>
    <m/>
    <m/>
    <n v="6"/>
  </r>
  <r>
    <x v="13"/>
    <x v="1"/>
    <n v="13714"/>
    <x v="1"/>
    <x v="0"/>
    <s v="ROSU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13"/>
    <x v="1"/>
    <n v="18940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3"/>
    <x v="1"/>
    <n v="120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10939"/>
    <x v="0"/>
    <x v="0"/>
    <s v="LOVASTATIN"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n v="2"/>
  </r>
  <r>
    <x v="13"/>
    <x v="1"/>
    <n v="17928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3"/>
    <x v="1"/>
    <n v="30068"/>
    <x v="0"/>
    <x v="0"/>
    <s v="SIMVASTATIN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3"/>
    <x v="1"/>
    <n v="791"/>
    <x v="1"/>
    <x v="0"/>
    <s v="ROSUVASTATIN CALC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4"/>
    <x v="1"/>
    <n v="222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224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24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342"/>
    <x v="0"/>
    <x v="1"/>
    <s v="RANITIDINE HCL"/>
    <m/>
    <m/>
    <n v="1"/>
    <m/>
    <m/>
    <m/>
    <m/>
    <n v="1"/>
    <m/>
    <m/>
    <m/>
    <n v="1"/>
    <n v="2"/>
    <m/>
    <m/>
    <n v="1"/>
    <m/>
    <m/>
    <m/>
    <m/>
    <n v="1"/>
    <m/>
    <m/>
    <m/>
    <n v="1"/>
    <m/>
    <m/>
    <m/>
    <m/>
    <n v="8"/>
  </r>
  <r>
    <x v="14"/>
    <x v="1"/>
    <n v="3342"/>
    <x v="0"/>
    <x v="0"/>
    <s v="PRAVASTATIN SODIUM"/>
    <m/>
    <m/>
    <n v="1"/>
    <m/>
    <m/>
    <m/>
    <m/>
    <n v="1"/>
    <m/>
    <m/>
    <m/>
    <n v="2"/>
    <n v="2"/>
    <m/>
    <m/>
    <n v="1"/>
    <m/>
    <m/>
    <m/>
    <m/>
    <n v="1"/>
    <m/>
    <m/>
    <m/>
    <n v="1"/>
    <m/>
    <m/>
    <m/>
    <m/>
    <n v="9"/>
  </r>
  <r>
    <x v="14"/>
    <x v="1"/>
    <n v="6168"/>
    <x v="0"/>
    <x v="0"/>
    <s v="ATORVASTATIN CALCIUM"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n v="2"/>
  </r>
  <r>
    <x v="14"/>
    <x v="1"/>
    <n v="1043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2113"/>
    <x v="0"/>
    <x v="0"/>
    <s v="ROSUVASTATIN CALCIUM"/>
    <m/>
    <m/>
    <n v="2"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14"/>
    <x v="1"/>
    <n v="15806"/>
    <x v="0"/>
    <x v="0"/>
    <s v="ATOR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4"/>
    <x v="1"/>
    <n v="1677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6946"/>
    <x v="0"/>
    <x v="0"/>
    <s v="ROSUVASTATIN CALC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973"/>
    <x v="1"/>
    <x v="0"/>
    <s v="ATORVASTATIN CALCIUM"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4"/>
    <x v="1"/>
    <n v="6572"/>
    <x v="1"/>
    <x v="1"/>
    <s v="RANITIDINE HCL"/>
    <m/>
    <m/>
    <m/>
    <m/>
    <n v="1"/>
    <m/>
    <m/>
    <m/>
    <m/>
    <n v="1"/>
    <m/>
    <m/>
    <m/>
    <m/>
    <m/>
    <m/>
    <m/>
    <n v="1"/>
    <m/>
    <m/>
    <m/>
    <m/>
    <m/>
    <m/>
    <m/>
    <m/>
    <m/>
    <m/>
    <m/>
    <n v="3"/>
  </r>
  <r>
    <x v="14"/>
    <x v="1"/>
    <n v="6572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14"/>
    <x v="1"/>
    <n v="6964"/>
    <x v="1"/>
    <x v="0"/>
    <s v="ATORVASTATIN CALCIUM"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n v="2"/>
  </r>
  <r>
    <x v="14"/>
    <x v="1"/>
    <n v="7069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x v="14"/>
    <x v="1"/>
    <n v="7642"/>
    <x v="1"/>
    <x v="3"/>
    <s v="PANTOPRAZOLE SODIUM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</r>
  <r>
    <x v="14"/>
    <x v="1"/>
    <n v="7972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14"/>
    <x v="1"/>
    <n v="7972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8430"/>
    <x v="1"/>
    <x v="0"/>
    <s v="SIMVASTATIN"/>
    <m/>
    <m/>
    <m/>
    <m/>
    <n v="1"/>
    <m/>
    <m/>
    <m/>
    <m/>
    <m/>
    <m/>
    <m/>
    <m/>
    <m/>
    <m/>
    <m/>
    <m/>
    <m/>
    <m/>
    <m/>
    <n v="1"/>
    <m/>
    <m/>
    <m/>
    <n v="1"/>
    <m/>
    <m/>
    <m/>
    <m/>
    <n v="3"/>
  </r>
  <r>
    <x v="14"/>
    <x v="1"/>
    <n v="8799"/>
    <x v="1"/>
    <x v="0"/>
    <s v="ATORVASTATIN CALCIUM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n v="2"/>
  </r>
  <r>
    <x v="14"/>
    <x v="1"/>
    <n v="9357"/>
    <x v="1"/>
    <x v="0"/>
    <s v="ATORVASTATIN CALCIUM"/>
    <m/>
    <m/>
    <m/>
    <n v="1"/>
    <m/>
    <m/>
    <m/>
    <m/>
    <m/>
    <m/>
    <n v="1"/>
    <m/>
    <m/>
    <m/>
    <m/>
    <n v="1"/>
    <m/>
    <m/>
    <m/>
    <m/>
    <n v="1"/>
    <m/>
    <m/>
    <m/>
    <n v="1"/>
    <n v="1"/>
    <m/>
    <m/>
    <m/>
    <n v="6"/>
  </r>
  <r>
    <x v="14"/>
    <x v="1"/>
    <n v="9767"/>
    <x v="1"/>
    <x v="0"/>
    <s v="ATORVASTATIN CALCIUM"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n v="2"/>
  </r>
  <r>
    <x v="14"/>
    <x v="1"/>
    <n v="12112"/>
    <x v="1"/>
    <x v="0"/>
    <s v="ROSUVASTATIN CALCIUM"/>
    <m/>
    <m/>
    <n v="2"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14"/>
    <x v="1"/>
    <n v="12209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4"/>
    <x v="1"/>
    <n v="13027"/>
    <x v="1"/>
    <x v="0"/>
    <s v="ATORVASTATIN CALCIUM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4"/>
    <x v="1"/>
    <n v="13823"/>
    <x v="1"/>
    <x v="0"/>
    <s v="ATORVASTATIN CALCIUM"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4"/>
    <x v="1"/>
    <n v="13823"/>
    <x v="1"/>
    <x v="0"/>
    <s v="PRAVASTATIN SODIUM"/>
    <m/>
    <m/>
    <m/>
    <m/>
    <m/>
    <m/>
    <m/>
    <m/>
    <n v="1"/>
    <m/>
    <m/>
    <n v="1"/>
    <m/>
    <m/>
    <m/>
    <m/>
    <n v="2"/>
    <n v="1"/>
    <n v="2"/>
    <n v="1"/>
    <n v="1"/>
    <n v="1"/>
    <m/>
    <n v="1"/>
    <n v="1"/>
    <n v="2"/>
    <n v="1"/>
    <n v="1"/>
    <n v="1"/>
    <n v="17"/>
  </r>
  <r>
    <x v="14"/>
    <x v="1"/>
    <n v="13823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3965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4834"/>
    <x v="1"/>
    <x v="0"/>
    <s v="SIMVASTATIN"/>
    <m/>
    <m/>
    <m/>
    <m/>
    <n v="2"/>
    <m/>
    <m/>
    <m/>
    <m/>
    <m/>
    <m/>
    <n v="1"/>
    <m/>
    <m/>
    <m/>
    <m/>
    <m/>
    <m/>
    <m/>
    <m/>
    <m/>
    <m/>
    <m/>
    <m/>
    <m/>
    <m/>
    <m/>
    <m/>
    <m/>
    <n v="3"/>
  </r>
  <r>
    <x v="14"/>
    <x v="1"/>
    <n v="16780"/>
    <x v="1"/>
    <x v="1"/>
    <s v="RANITIDINE HCL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4"/>
    <x v="1"/>
    <n v="32776"/>
    <x v="1"/>
    <x v="0"/>
    <s v="ROSUVASTATIN CALCIUM"/>
    <n v="1"/>
    <m/>
    <m/>
    <m/>
    <n v="1"/>
    <m/>
    <m/>
    <m/>
    <m/>
    <n v="1"/>
    <m/>
    <m/>
    <m/>
    <m/>
    <n v="1"/>
    <m/>
    <m/>
    <m/>
    <m/>
    <n v="1"/>
    <m/>
    <m/>
    <m/>
    <m/>
    <n v="1"/>
    <m/>
    <m/>
    <m/>
    <n v="1"/>
    <n v="7"/>
  </r>
  <r>
    <x v="14"/>
    <x v="1"/>
    <n v="239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4"/>
    <x v="1"/>
    <n v="2776"/>
    <x v="0"/>
    <x v="0"/>
    <s v="ATORVASTATIN CALCIUM"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14"/>
    <x v="1"/>
    <n v="2817"/>
    <x v="0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4"/>
    <x v="1"/>
    <n v="3278"/>
    <x v="0"/>
    <x v="0"/>
    <s v="ATORVASTATIN CALCIUM"/>
    <n v="1"/>
    <m/>
    <m/>
    <m/>
    <n v="1"/>
    <m/>
    <m/>
    <m/>
    <m/>
    <m/>
    <n v="1"/>
    <m/>
    <m/>
    <m/>
    <m/>
    <n v="1"/>
    <m/>
    <m/>
    <n v="1"/>
    <m/>
    <m/>
    <m/>
    <m/>
    <n v="1"/>
    <m/>
    <m/>
    <m/>
    <n v="1"/>
    <m/>
    <n v="7"/>
  </r>
  <r>
    <x v="14"/>
    <x v="1"/>
    <n v="3682"/>
    <x v="0"/>
    <x v="3"/>
    <s v="ESOMEPRAZOLE MAGNESIUM"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4"/>
    <x v="1"/>
    <n v="3995"/>
    <x v="0"/>
    <x v="2"/>
    <s v="MISOPROSTOL"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</r>
  <r>
    <x v="14"/>
    <x v="1"/>
    <n v="4048"/>
    <x v="0"/>
    <x v="0"/>
    <s v="ATORVASTATIN CALCIUM"/>
    <m/>
    <m/>
    <m/>
    <m/>
    <m/>
    <m/>
    <m/>
    <m/>
    <m/>
    <m/>
    <n v="1"/>
    <m/>
    <m/>
    <m/>
    <m/>
    <m/>
    <m/>
    <m/>
    <m/>
    <m/>
    <m/>
    <m/>
    <n v="1"/>
    <m/>
    <m/>
    <m/>
    <n v="1"/>
    <m/>
    <m/>
    <n v="3"/>
  </r>
  <r>
    <x v="14"/>
    <x v="1"/>
    <n v="5375"/>
    <x v="0"/>
    <x v="3"/>
    <s v="RABEPRAZOLE SODIUM"/>
    <m/>
    <m/>
    <m/>
    <n v="2"/>
    <m/>
    <m/>
    <m/>
    <m/>
    <m/>
    <m/>
    <m/>
    <m/>
    <m/>
    <m/>
    <m/>
    <m/>
    <m/>
    <n v="1"/>
    <m/>
    <m/>
    <m/>
    <m/>
    <m/>
    <m/>
    <m/>
    <m/>
    <m/>
    <m/>
    <m/>
    <n v="3"/>
  </r>
  <r>
    <x v="14"/>
    <x v="1"/>
    <n v="5583"/>
    <x v="0"/>
    <x v="1"/>
    <s v="RANITIDINE HCL"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</r>
  <r>
    <x v="14"/>
    <x v="1"/>
    <n v="558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6164"/>
    <x v="0"/>
    <x v="0"/>
    <s v="ATORVASTATIN CALCIUM"/>
    <m/>
    <m/>
    <m/>
    <m/>
    <m/>
    <m/>
    <m/>
    <m/>
    <n v="1"/>
    <m/>
    <m/>
    <m/>
    <m/>
    <m/>
    <m/>
    <n v="1"/>
    <m/>
    <m/>
    <m/>
    <m/>
    <m/>
    <m/>
    <m/>
    <m/>
    <n v="1"/>
    <m/>
    <m/>
    <m/>
    <m/>
    <n v="3"/>
  </r>
  <r>
    <x v="14"/>
    <x v="1"/>
    <n v="6353"/>
    <x v="0"/>
    <x v="3"/>
    <s v="ESOMEPRAZOLE MAGNESIUM"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n v="2"/>
  </r>
  <r>
    <x v="14"/>
    <x v="1"/>
    <n v="673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6737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2"/>
  </r>
  <r>
    <x v="14"/>
    <x v="1"/>
    <n v="6887"/>
    <x v="0"/>
    <x v="3"/>
    <s v="ESOMEPRAZOLE MAGNESIUM"/>
    <n v="1"/>
    <m/>
    <m/>
    <m/>
    <m/>
    <m/>
    <m/>
    <m/>
    <m/>
    <m/>
    <m/>
    <m/>
    <m/>
    <m/>
    <n v="1"/>
    <m/>
    <m/>
    <m/>
    <m/>
    <n v="1"/>
    <m/>
    <m/>
    <m/>
    <m/>
    <n v="1"/>
    <m/>
    <m/>
    <m/>
    <n v="1"/>
    <n v="5"/>
  </r>
  <r>
    <x v="14"/>
    <x v="1"/>
    <n v="6973"/>
    <x v="0"/>
    <x v="3"/>
    <s v="PANTOPRAZOLE SODIUM"/>
    <n v="1"/>
    <m/>
    <m/>
    <m/>
    <m/>
    <n v="1"/>
    <m/>
    <m/>
    <m/>
    <m/>
    <m/>
    <n v="1"/>
    <m/>
    <m/>
    <m/>
    <m/>
    <m/>
    <m/>
    <m/>
    <m/>
    <n v="1"/>
    <m/>
    <m/>
    <m/>
    <m/>
    <m/>
    <n v="1"/>
    <m/>
    <m/>
    <n v="5"/>
  </r>
  <r>
    <x v="14"/>
    <x v="1"/>
    <n v="7464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7617"/>
    <x v="0"/>
    <x v="1"/>
    <s v="RANITIDINE HCL"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n v="2"/>
  </r>
  <r>
    <x v="14"/>
    <x v="1"/>
    <n v="7617"/>
    <x v="0"/>
    <x v="3"/>
    <s v="LANSO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9768"/>
    <x v="0"/>
    <x v="1"/>
    <s v="RANITIDINE HCL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4"/>
    <x v="1"/>
    <n v="10601"/>
    <x v="0"/>
    <x v="0"/>
    <s v="ATORVASTATIN CALCIUM"/>
    <m/>
    <m/>
    <m/>
    <m/>
    <m/>
    <m/>
    <m/>
    <m/>
    <m/>
    <m/>
    <m/>
    <n v="1"/>
    <m/>
    <n v="1"/>
    <m/>
    <n v="1"/>
    <m/>
    <n v="1"/>
    <m/>
    <n v="1"/>
    <m/>
    <n v="1"/>
    <m/>
    <n v="1"/>
    <m/>
    <n v="1"/>
    <m/>
    <n v="1"/>
    <m/>
    <n v="9"/>
  </r>
  <r>
    <x v="14"/>
    <x v="1"/>
    <n v="10601"/>
    <x v="0"/>
    <x v="3"/>
    <s v="RABEPRAZOLE SODIUM"/>
    <m/>
    <m/>
    <m/>
    <m/>
    <m/>
    <m/>
    <m/>
    <m/>
    <m/>
    <m/>
    <n v="1"/>
    <m/>
    <m/>
    <n v="2"/>
    <m/>
    <n v="1"/>
    <m/>
    <n v="1"/>
    <m/>
    <n v="1"/>
    <m/>
    <n v="1"/>
    <m/>
    <n v="1"/>
    <m/>
    <n v="1"/>
    <m/>
    <n v="1"/>
    <m/>
    <n v="10"/>
  </r>
  <r>
    <x v="14"/>
    <x v="1"/>
    <n v="10831"/>
    <x v="0"/>
    <x v="0"/>
    <s v="ROSU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4"/>
    <x v="1"/>
    <n v="11780"/>
    <x v="0"/>
    <x v="3"/>
    <s v="ESOMEPRAZOLE MAGNES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2523"/>
    <x v="0"/>
    <x v="3"/>
    <s v="PANTOPRAZOLE MAGNESIUM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4"/>
    <x v="1"/>
    <n v="1252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2719"/>
    <x v="0"/>
    <x v="3"/>
    <s v="RABEPRAZOLE SODIUM"/>
    <m/>
    <m/>
    <m/>
    <m/>
    <m/>
    <m/>
    <m/>
    <m/>
    <m/>
    <m/>
    <m/>
    <n v="1"/>
    <m/>
    <n v="1"/>
    <m/>
    <m/>
    <n v="2"/>
    <m/>
    <m/>
    <m/>
    <n v="1"/>
    <m/>
    <n v="1"/>
    <m/>
    <m/>
    <m/>
    <m/>
    <n v="1"/>
    <m/>
    <n v="7"/>
  </r>
  <r>
    <x v="14"/>
    <x v="1"/>
    <n v="13280"/>
    <x v="0"/>
    <x v="3"/>
    <s v="ESOMEPRAZOLE MAGNESIUM"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n v="3"/>
  </r>
  <r>
    <x v="14"/>
    <x v="1"/>
    <n v="13713"/>
    <x v="0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14"/>
    <x v="1"/>
    <n v="13713"/>
    <x v="0"/>
    <x v="3"/>
    <s v="PANTOPRAZOLE MAGNESIUM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14"/>
    <x v="1"/>
    <n v="1371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4300"/>
    <x v="0"/>
    <x v="1"/>
    <s v="RANITIDINE HCL"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</r>
  <r>
    <x v="14"/>
    <x v="1"/>
    <n v="14300"/>
    <x v="0"/>
    <x v="4"/>
    <s v="SUCRALFATE"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n v="2"/>
  </r>
  <r>
    <x v="14"/>
    <x v="1"/>
    <n v="1430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6313"/>
    <x v="0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4"/>
    <x v="1"/>
    <n v="16570"/>
    <x v="0"/>
    <x v="3"/>
    <s v="ESOMEPRAZOLE MAGNESIUM"/>
    <m/>
    <m/>
    <m/>
    <m/>
    <m/>
    <m/>
    <m/>
    <m/>
    <n v="1"/>
    <m/>
    <m/>
    <m/>
    <m/>
    <m/>
    <n v="1"/>
    <m/>
    <m/>
    <m/>
    <m/>
    <m/>
    <m/>
    <m/>
    <m/>
    <m/>
    <n v="1"/>
    <m/>
    <m/>
    <m/>
    <m/>
    <n v="3"/>
  </r>
  <r>
    <x v="14"/>
    <x v="1"/>
    <n v="16759"/>
    <x v="0"/>
    <x v="0"/>
    <s v="ATORVASTATIN CALCIUM"/>
    <n v="1"/>
    <m/>
    <m/>
    <n v="1"/>
    <m/>
    <m/>
    <m/>
    <m/>
    <m/>
    <m/>
    <m/>
    <m/>
    <m/>
    <n v="1"/>
    <m/>
    <m/>
    <m/>
    <m/>
    <m/>
    <m/>
    <m/>
    <m/>
    <m/>
    <m/>
    <m/>
    <m/>
    <m/>
    <m/>
    <m/>
    <n v="3"/>
  </r>
  <r>
    <x v="14"/>
    <x v="1"/>
    <n v="16827"/>
    <x v="0"/>
    <x v="4"/>
    <s v="SUCRALFATE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</r>
  <r>
    <x v="14"/>
    <x v="1"/>
    <n v="16827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4"/>
    <x v="1"/>
    <n v="16924"/>
    <x v="0"/>
    <x v="3"/>
    <s v="RABEPRAZOLE SOD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4"/>
    <x v="1"/>
    <n v="1733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</r>
  <r>
    <x v="14"/>
    <x v="1"/>
    <n v="18696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4"/>
    <x v="1"/>
    <n v="20038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0038"/>
    <x v="0"/>
    <x v="0"/>
    <s v="ROSUVASTATIN CALCIUM"/>
    <n v="1"/>
    <m/>
    <m/>
    <m/>
    <m/>
    <m/>
    <m/>
    <m/>
    <m/>
    <m/>
    <m/>
    <m/>
    <m/>
    <m/>
    <m/>
    <n v="1"/>
    <m/>
    <m/>
    <n v="1"/>
    <m/>
    <m/>
    <m/>
    <m/>
    <m/>
    <m/>
    <m/>
    <m/>
    <m/>
    <m/>
    <n v="3"/>
  </r>
  <r>
    <x v="14"/>
    <x v="1"/>
    <n v="20038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0038"/>
    <x v="0"/>
    <x v="3"/>
    <s v="RABEPRAZOLE SODIUM"/>
    <m/>
    <m/>
    <m/>
    <m/>
    <n v="2"/>
    <m/>
    <m/>
    <m/>
    <m/>
    <m/>
    <n v="3"/>
    <m/>
    <m/>
    <m/>
    <m/>
    <n v="1"/>
    <m/>
    <m/>
    <n v="1"/>
    <m/>
    <m/>
    <m/>
    <m/>
    <n v="1"/>
    <m/>
    <m/>
    <m/>
    <m/>
    <m/>
    <n v="8"/>
  </r>
  <r>
    <x v="14"/>
    <x v="1"/>
    <n v="22088"/>
    <x v="0"/>
    <x v="2"/>
    <s v="MISOPROSTOL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4"/>
    <x v="1"/>
    <n v="29152"/>
    <x v="0"/>
    <x v="8"/>
    <s v="FENOFIBRAT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915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9152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9152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974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63"/>
    <x v="1"/>
    <x v="3"/>
    <s v="RABEPRAZOLE SODIUM"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n v="2"/>
  </r>
  <r>
    <x v="14"/>
    <x v="1"/>
    <n v="1022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924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924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160"/>
    <x v="1"/>
    <x v="8"/>
    <s v="FENOFIBRATE, MICRONIZED"/>
    <m/>
    <m/>
    <m/>
    <m/>
    <m/>
    <m/>
    <m/>
    <m/>
    <m/>
    <m/>
    <m/>
    <n v="1"/>
    <m/>
    <m/>
    <m/>
    <m/>
    <m/>
    <m/>
    <n v="1"/>
    <m/>
    <m/>
    <m/>
    <m/>
    <m/>
    <m/>
    <m/>
    <n v="1"/>
    <m/>
    <m/>
    <n v="3"/>
  </r>
  <r>
    <x v="14"/>
    <x v="1"/>
    <n v="2989"/>
    <x v="1"/>
    <x v="3"/>
    <s v="RABEPRAZOLE SODIUM"/>
    <m/>
    <m/>
    <m/>
    <m/>
    <m/>
    <m/>
    <m/>
    <m/>
    <m/>
    <n v="1"/>
    <m/>
    <m/>
    <n v="2"/>
    <m/>
    <m/>
    <m/>
    <m/>
    <m/>
    <m/>
    <m/>
    <m/>
    <m/>
    <m/>
    <m/>
    <m/>
    <m/>
    <m/>
    <m/>
    <m/>
    <n v="3"/>
  </r>
  <r>
    <x v="14"/>
    <x v="1"/>
    <n v="3345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683"/>
    <x v="1"/>
    <x v="0"/>
    <s v="ATORVASTATIN CALCIUM"/>
    <m/>
    <n v="1"/>
    <m/>
    <m/>
    <m/>
    <m/>
    <m/>
    <n v="1"/>
    <m/>
    <m/>
    <m/>
    <n v="1"/>
    <m/>
    <m/>
    <m/>
    <n v="1"/>
    <m/>
    <m/>
    <m/>
    <m/>
    <n v="1"/>
    <m/>
    <m/>
    <m/>
    <n v="1"/>
    <m/>
    <m/>
    <m/>
    <m/>
    <n v="6"/>
  </r>
  <r>
    <x v="14"/>
    <x v="1"/>
    <n v="3859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n v="2"/>
    <m/>
    <m/>
    <m/>
    <m/>
    <n v="3"/>
  </r>
  <r>
    <x v="14"/>
    <x v="1"/>
    <n v="3889"/>
    <x v="1"/>
    <x v="0"/>
    <s v="ROSUVASTATIN CALCIUM"/>
    <m/>
    <n v="1"/>
    <m/>
    <m/>
    <m/>
    <m/>
    <m/>
    <n v="1"/>
    <m/>
    <m/>
    <m/>
    <n v="1"/>
    <m/>
    <m/>
    <m/>
    <n v="1"/>
    <m/>
    <m/>
    <m/>
    <m/>
    <n v="1"/>
    <m/>
    <m/>
    <m/>
    <n v="1"/>
    <m/>
    <m/>
    <m/>
    <m/>
    <n v="6"/>
  </r>
  <r>
    <x v="14"/>
    <x v="1"/>
    <n v="4047"/>
    <x v="1"/>
    <x v="9"/>
    <s v="CHOLESTYRAMINE/ASPARTAME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4"/>
    <x v="1"/>
    <n v="4214"/>
    <x v="1"/>
    <x v="0"/>
    <s v="SIMVASTATIN"/>
    <m/>
    <m/>
    <m/>
    <m/>
    <n v="1"/>
    <m/>
    <m/>
    <m/>
    <m/>
    <m/>
    <m/>
    <m/>
    <m/>
    <m/>
    <m/>
    <m/>
    <m/>
    <m/>
    <m/>
    <m/>
    <m/>
    <m/>
    <n v="1"/>
    <m/>
    <m/>
    <n v="1"/>
    <m/>
    <m/>
    <m/>
    <n v="3"/>
  </r>
  <r>
    <x v="14"/>
    <x v="1"/>
    <n v="4584"/>
    <x v="1"/>
    <x v="0"/>
    <s v="ATOR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14"/>
    <x v="1"/>
    <n v="476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x v="14"/>
    <x v="1"/>
    <n v="4765"/>
    <x v="1"/>
    <x v="3"/>
    <s v="RABEPRAZOLE SODIUM"/>
    <m/>
    <n v="2"/>
    <m/>
    <m/>
    <m/>
    <m/>
    <m/>
    <m/>
    <m/>
    <m/>
    <m/>
    <m/>
    <m/>
    <m/>
    <n v="1"/>
    <m/>
    <m/>
    <m/>
    <m/>
    <m/>
    <m/>
    <m/>
    <m/>
    <m/>
    <m/>
    <m/>
    <m/>
    <m/>
    <m/>
    <n v="3"/>
  </r>
  <r>
    <x v="14"/>
    <x v="1"/>
    <n v="5083"/>
    <x v="1"/>
    <x v="3"/>
    <s v="RABEPRAZOLE SODIUM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</r>
  <r>
    <x v="14"/>
    <x v="1"/>
    <n v="5307"/>
    <x v="1"/>
    <x v="3"/>
    <s v="OMEPRAZOLE"/>
    <m/>
    <m/>
    <m/>
    <m/>
    <n v="1"/>
    <n v="1"/>
    <m/>
    <m/>
    <m/>
    <m/>
    <m/>
    <n v="1"/>
    <m/>
    <m/>
    <m/>
    <n v="2"/>
    <m/>
    <m/>
    <m/>
    <n v="1"/>
    <m/>
    <m/>
    <m/>
    <m/>
    <n v="1"/>
    <m/>
    <m/>
    <m/>
    <m/>
    <n v="7"/>
  </r>
  <r>
    <x v="14"/>
    <x v="1"/>
    <n v="5376"/>
    <x v="1"/>
    <x v="0"/>
    <s v="ROSUVASTATIN CALCIUM"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n v="2"/>
  </r>
  <r>
    <x v="14"/>
    <x v="1"/>
    <n v="5454"/>
    <x v="1"/>
    <x v="3"/>
    <s v="ESOMEPRAZOLE MAGNESIUM"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</r>
  <r>
    <x v="14"/>
    <x v="1"/>
    <n v="6041"/>
    <x v="1"/>
    <x v="3"/>
    <s v="RABEPRAZOLE SODIUM"/>
    <m/>
    <m/>
    <n v="1"/>
    <m/>
    <m/>
    <m/>
    <m/>
    <m/>
    <m/>
    <m/>
    <m/>
    <m/>
    <m/>
    <m/>
    <m/>
    <m/>
    <n v="2"/>
    <m/>
    <m/>
    <m/>
    <n v="1"/>
    <m/>
    <m/>
    <m/>
    <m/>
    <n v="1"/>
    <m/>
    <m/>
    <m/>
    <n v="5"/>
  </r>
  <r>
    <x v="14"/>
    <x v="1"/>
    <n v="6313"/>
    <x v="1"/>
    <x v="0"/>
    <s v="PRAVASTATIN SODIUM"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n v="2"/>
  </r>
  <r>
    <x v="14"/>
    <x v="1"/>
    <n v="6850"/>
    <x v="1"/>
    <x v="0"/>
    <s v="SIMVASTATIN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2"/>
  </r>
  <r>
    <x v="14"/>
    <x v="1"/>
    <n v="7463"/>
    <x v="1"/>
    <x v="0"/>
    <s v="ATORVASTATIN CALCIUM"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2"/>
  </r>
  <r>
    <x v="14"/>
    <x v="1"/>
    <n v="7723"/>
    <x v="1"/>
    <x v="0"/>
    <s v="ROSUVASTATIN CALCIUM"/>
    <m/>
    <m/>
    <m/>
    <m/>
    <m/>
    <m/>
    <m/>
    <m/>
    <n v="1"/>
    <m/>
    <m/>
    <m/>
    <m/>
    <m/>
    <m/>
    <m/>
    <m/>
    <m/>
    <m/>
    <n v="1"/>
    <n v="1"/>
    <m/>
    <m/>
    <m/>
    <m/>
    <m/>
    <m/>
    <m/>
    <m/>
    <n v="3"/>
  </r>
  <r>
    <x v="14"/>
    <x v="1"/>
    <n v="7723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7815"/>
    <x v="1"/>
    <x v="3"/>
    <s v="ESOMEPRAZOLE MAGNES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4"/>
    <x v="1"/>
    <n v="8053"/>
    <x v="1"/>
    <x v="0"/>
    <s v="ATORVASTATIN CALCIUM"/>
    <n v="1"/>
    <m/>
    <m/>
    <m/>
    <m/>
    <n v="2"/>
    <m/>
    <m/>
    <m/>
    <m/>
    <m/>
    <m/>
    <m/>
    <m/>
    <m/>
    <n v="1"/>
    <m/>
    <m/>
    <m/>
    <m/>
    <n v="1"/>
    <m/>
    <m/>
    <m/>
    <n v="1"/>
    <m/>
    <m/>
    <m/>
    <n v="1"/>
    <n v="7"/>
  </r>
  <r>
    <x v="14"/>
    <x v="1"/>
    <n v="8184"/>
    <x v="1"/>
    <x v="1"/>
    <s v="RANITIDINE HCL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4"/>
    <x v="1"/>
    <n v="8536"/>
    <x v="1"/>
    <x v="0"/>
    <s v="SIMVASTATIN"/>
    <n v="1"/>
    <m/>
    <m/>
    <m/>
    <n v="1"/>
    <m/>
    <m/>
    <m/>
    <m/>
    <m/>
    <n v="1"/>
    <m/>
    <m/>
    <m/>
    <n v="1"/>
    <m/>
    <m/>
    <m/>
    <m/>
    <n v="1"/>
    <m/>
    <m/>
    <m/>
    <m/>
    <n v="1"/>
    <m/>
    <m/>
    <m/>
    <m/>
    <n v="6"/>
  </r>
  <r>
    <x v="14"/>
    <x v="1"/>
    <n v="10208"/>
    <x v="1"/>
    <x v="3"/>
    <s v="ESOMEPRAZOLE MAGNESIUM"/>
    <n v="1"/>
    <m/>
    <m/>
    <m/>
    <m/>
    <m/>
    <m/>
    <m/>
    <n v="2"/>
    <m/>
    <m/>
    <n v="1"/>
    <m/>
    <m/>
    <m/>
    <m/>
    <m/>
    <m/>
    <m/>
    <m/>
    <m/>
    <m/>
    <m/>
    <m/>
    <m/>
    <m/>
    <m/>
    <m/>
    <m/>
    <n v="4"/>
  </r>
  <r>
    <x v="14"/>
    <x v="1"/>
    <n v="10208"/>
    <x v="1"/>
    <x v="3"/>
    <s v="RABEPRAZOLE SODIUM"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n v="2"/>
  </r>
  <r>
    <x v="14"/>
    <x v="1"/>
    <n v="11279"/>
    <x v="1"/>
    <x v="0"/>
    <s v="ATORVASTATIN CALCIUM"/>
    <m/>
    <m/>
    <m/>
    <n v="1"/>
    <m/>
    <m/>
    <m/>
    <m/>
    <n v="1"/>
    <m/>
    <m/>
    <m/>
    <m/>
    <n v="1"/>
    <m/>
    <m/>
    <m/>
    <m/>
    <n v="1"/>
    <m/>
    <m/>
    <m/>
    <n v="1"/>
    <m/>
    <m/>
    <m/>
    <m/>
    <n v="1"/>
    <m/>
    <n v="6"/>
  </r>
  <r>
    <x v="14"/>
    <x v="1"/>
    <n v="12061"/>
    <x v="1"/>
    <x v="0"/>
    <s v="ATORVASTATIN CALCIUM"/>
    <m/>
    <m/>
    <m/>
    <n v="1"/>
    <m/>
    <m/>
    <m/>
    <m/>
    <m/>
    <m/>
    <m/>
    <m/>
    <m/>
    <n v="1"/>
    <m/>
    <m/>
    <m/>
    <m/>
    <m/>
    <n v="1"/>
    <m/>
    <m/>
    <m/>
    <m/>
    <n v="1"/>
    <m/>
    <m/>
    <m/>
    <m/>
    <n v="4"/>
  </r>
  <r>
    <x v="14"/>
    <x v="1"/>
    <n v="12720"/>
    <x v="1"/>
    <x v="3"/>
    <s v="ESOMEPRAZOLE MAGNESIUM"/>
    <m/>
    <m/>
    <m/>
    <m/>
    <m/>
    <m/>
    <m/>
    <m/>
    <m/>
    <m/>
    <m/>
    <m/>
    <n v="1"/>
    <m/>
    <m/>
    <n v="1"/>
    <n v="1"/>
    <m/>
    <m/>
    <n v="1"/>
    <m/>
    <m/>
    <n v="1"/>
    <m/>
    <m/>
    <m/>
    <n v="1"/>
    <m/>
    <m/>
    <n v="6"/>
  </r>
  <r>
    <x v="14"/>
    <x v="1"/>
    <n v="12796"/>
    <x v="1"/>
    <x v="0"/>
    <s v="ATORVASTATIN CALCIUM"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n v="2"/>
  </r>
  <r>
    <x v="14"/>
    <x v="1"/>
    <n v="13117"/>
    <x v="1"/>
    <x v="1"/>
    <s v="RANITIDINE HCL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4"/>
    <x v="1"/>
    <n v="13619"/>
    <x v="1"/>
    <x v="3"/>
    <s v="RABEPRAZOLE SODIUM"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2"/>
  </r>
  <r>
    <x v="14"/>
    <x v="1"/>
    <n v="13622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3622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3979"/>
    <x v="1"/>
    <x v="0"/>
    <s v="ROSUVASTATIN CALC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4"/>
    <x v="1"/>
    <n v="13979"/>
    <x v="1"/>
    <x v="3"/>
    <s v="RABEPRAZOLE SOD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14"/>
    <x v="1"/>
    <n v="14172"/>
    <x v="1"/>
    <x v="1"/>
    <s v="RANITIDINE HCL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2"/>
  </r>
  <r>
    <x v="14"/>
    <x v="1"/>
    <n v="14256"/>
    <x v="1"/>
    <x v="3"/>
    <s v="PANTOPRAZOLE SOD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4"/>
    <x v="1"/>
    <n v="1433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</r>
  <r>
    <x v="14"/>
    <x v="1"/>
    <n v="14344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5013"/>
    <x v="1"/>
    <x v="0"/>
    <s v="ATORVASTATIN CALCIUM"/>
    <m/>
    <m/>
    <m/>
    <n v="1"/>
    <m/>
    <m/>
    <m/>
    <m/>
    <m/>
    <m/>
    <m/>
    <m/>
    <m/>
    <m/>
    <m/>
    <m/>
    <m/>
    <n v="4"/>
    <m/>
    <m/>
    <m/>
    <n v="2"/>
    <m/>
    <m/>
    <m/>
    <n v="1"/>
    <m/>
    <m/>
    <m/>
    <n v="8"/>
  </r>
  <r>
    <x v="14"/>
    <x v="1"/>
    <n v="15617"/>
    <x v="1"/>
    <x v="3"/>
    <s v="PANTOPRAZOLE SOD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4"/>
    <x v="1"/>
    <n v="15619"/>
    <x v="1"/>
    <x v="0"/>
    <s v="ATORVASTATIN CALCIUM"/>
    <m/>
    <m/>
    <n v="1"/>
    <m/>
    <m/>
    <m/>
    <m/>
    <m/>
    <n v="1"/>
    <m/>
    <m/>
    <m/>
    <m/>
    <n v="1"/>
    <m/>
    <m/>
    <m/>
    <m/>
    <n v="1"/>
    <m/>
    <m/>
    <m/>
    <n v="2"/>
    <m/>
    <m/>
    <m/>
    <m/>
    <m/>
    <m/>
    <n v="6"/>
  </r>
  <r>
    <x v="14"/>
    <x v="1"/>
    <n v="17006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7454"/>
    <x v="1"/>
    <x v="0"/>
    <s v="ATORVASTATIN CALCIUM"/>
    <n v="1"/>
    <m/>
    <m/>
    <m/>
    <m/>
    <m/>
    <m/>
    <m/>
    <m/>
    <m/>
    <n v="1"/>
    <m/>
    <m/>
    <m/>
    <m/>
    <m/>
    <m/>
    <m/>
    <m/>
    <m/>
    <m/>
    <m/>
    <m/>
    <m/>
    <m/>
    <m/>
    <m/>
    <n v="1"/>
    <m/>
    <n v="3"/>
  </r>
  <r>
    <x v="14"/>
    <x v="1"/>
    <n v="20538"/>
    <x v="1"/>
    <x v="9"/>
    <s v="CHOLESTYRAMINE/ASPARTAME"/>
    <m/>
    <m/>
    <m/>
    <m/>
    <m/>
    <m/>
    <m/>
    <n v="2"/>
    <m/>
    <m/>
    <m/>
    <m/>
    <m/>
    <m/>
    <m/>
    <m/>
    <m/>
    <m/>
    <m/>
    <m/>
    <m/>
    <m/>
    <m/>
    <n v="1"/>
    <m/>
    <m/>
    <m/>
    <m/>
    <m/>
    <n v="3"/>
  </r>
  <r>
    <x v="14"/>
    <x v="1"/>
    <n v="22649"/>
    <x v="1"/>
    <x v="3"/>
    <s v="PANTOPRAZOLE SOD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4"/>
    <x v="1"/>
    <n v="22817"/>
    <x v="1"/>
    <x v="0"/>
    <s v="ROSUVASTATIN CALC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4"/>
    <x v="1"/>
    <n v="23548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n v="2"/>
    <m/>
    <m/>
    <n v="1"/>
    <m/>
    <m/>
    <n v="3"/>
  </r>
  <r>
    <x v="14"/>
    <x v="1"/>
    <n v="23548"/>
    <x v="1"/>
    <x v="3"/>
    <s v="PANTOPRAZOLE SODIUM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4"/>
    <x v="1"/>
    <n v="2580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5801"/>
    <x v="1"/>
    <x v="3"/>
    <s v="RABEPRAZOLE SODIUM"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</r>
  <r>
    <x v="14"/>
    <x v="1"/>
    <n v="2655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7544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7684"/>
    <x v="1"/>
    <x v="3"/>
    <s v="ESOMEPRAZOLE MAGNESIUM"/>
    <m/>
    <m/>
    <m/>
    <m/>
    <m/>
    <n v="2"/>
    <m/>
    <m/>
    <m/>
    <m/>
    <m/>
    <m/>
    <m/>
    <m/>
    <m/>
    <m/>
    <m/>
    <m/>
    <m/>
    <m/>
    <m/>
    <m/>
    <m/>
    <m/>
    <m/>
    <m/>
    <m/>
    <n v="1"/>
    <m/>
    <n v="3"/>
  </r>
  <r>
    <x v="14"/>
    <x v="1"/>
    <n v="31644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1797"/>
    <x v="1"/>
    <x v="1"/>
    <s v="RANITIDINE HCL"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n v="2"/>
  </r>
  <r>
    <x v="14"/>
    <x v="1"/>
    <n v="3179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33475"/>
    <x v="1"/>
    <x v="3"/>
    <s v="ESOMEPRAZOLE MAGNESIUM"/>
    <n v="3"/>
    <m/>
    <m/>
    <m/>
    <m/>
    <m/>
    <m/>
    <n v="2"/>
    <m/>
    <m/>
    <m/>
    <m/>
    <m/>
    <m/>
    <m/>
    <m/>
    <m/>
    <n v="2"/>
    <m/>
    <m/>
    <m/>
    <m/>
    <m/>
    <m/>
    <m/>
    <m/>
    <m/>
    <m/>
    <m/>
    <n v="7"/>
  </r>
  <r>
    <x v="14"/>
    <x v="1"/>
    <n v="3388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776"/>
    <x v="0"/>
    <x v="1"/>
    <s v="RANITIDINE HCL"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n v="2"/>
  </r>
  <r>
    <x v="14"/>
    <x v="1"/>
    <n v="2776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5453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9362"/>
    <x v="0"/>
    <x v="3"/>
    <s v="ESOMEPRAZOLE MAGNESIUM"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n v="2"/>
  </r>
  <r>
    <x v="14"/>
    <x v="1"/>
    <n v="9726"/>
    <x v="0"/>
    <x v="3"/>
    <s v="ESOMEPRAZOLE MAGNESIUM"/>
    <m/>
    <n v="1"/>
    <m/>
    <m/>
    <n v="1"/>
    <m/>
    <m/>
    <m/>
    <m/>
    <n v="1"/>
    <m/>
    <m/>
    <m/>
    <m/>
    <m/>
    <m/>
    <m/>
    <m/>
    <m/>
    <m/>
    <m/>
    <m/>
    <m/>
    <m/>
    <m/>
    <m/>
    <m/>
    <m/>
    <m/>
    <n v="3"/>
  </r>
  <r>
    <x v="14"/>
    <x v="1"/>
    <n v="10806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16759"/>
    <x v="0"/>
    <x v="1"/>
    <s v="RANITIDINE HCL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6759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21131"/>
    <x v="0"/>
    <x v="1"/>
    <s v="RANITIDINE HCL"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n v="2"/>
  </r>
  <r>
    <x v="14"/>
    <x v="1"/>
    <n v="4184"/>
    <x v="1"/>
    <x v="3"/>
    <s v="ESOMEPRAZOLE MAGNES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5102"/>
    <x v="1"/>
    <x v="3"/>
    <s v="RABEPRAZOLE SODIUM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4"/>
    <x v="1"/>
    <n v="6850"/>
    <x v="1"/>
    <x v="3"/>
    <s v="RABEPRAZOLE SODIUM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2"/>
  </r>
  <r>
    <x v="14"/>
    <x v="1"/>
    <n v="11021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9618"/>
    <x v="1"/>
    <x v="3"/>
    <s v="RABEPRAZOLE SODIUM"/>
    <m/>
    <m/>
    <m/>
    <n v="1"/>
    <m/>
    <m/>
    <m/>
    <m/>
    <n v="1"/>
    <m/>
    <m/>
    <m/>
    <n v="1"/>
    <m/>
    <m/>
    <m/>
    <m/>
    <n v="1"/>
    <m/>
    <m/>
    <m/>
    <n v="1"/>
    <m/>
    <m/>
    <m/>
    <n v="1"/>
    <m/>
    <m/>
    <m/>
    <n v="6"/>
  </r>
  <r>
    <x v="14"/>
    <x v="1"/>
    <n v="9357"/>
    <x v="1"/>
    <x v="3"/>
    <s v="RABEPRAZOLE SODIUM"/>
    <m/>
    <m/>
    <m/>
    <n v="1"/>
    <m/>
    <m/>
    <m/>
    <m/>
    <m/>
    <m/>
    <n v="1"/>
    <m/>
    <m/>
    <m/>
    <m/>
    <n v="1"/>
    <m/>
    <m/>
    <m/>
    <m/>
    <n v="1"/>
    <m/>
    <m/>
    <m/>
    <n v="1"/>
    <n v="1"/>
    <m/>
    <m/>
    <m/>
    <n v="6"/>
  </r>
  <r>
    <x v="14"/>
    <x v="1"/>
    <n v="13823"/>
    <x v="1"/>
    <x v="1"/>
    <s v="RANITIDINE HCL"/>
    <m/>
    <m/>
    <n v="1"/>
    <m/>
    <m/>
    <m/>
    <m/>
    <n v="1"/>
    <n v="2"/>
    <m/>
    <m/>
    <n v="1"/>
    <m/>
    <m/>
    <m/>
    <m/>
    <n v="2"/>
    <n v="1"/>
    <n v="2"/>
    <n v="1"/>
    <n v="1"/>
    <n v="1"/>
    <m/>
    <n v="1"/>
    <n v="1"/>
    <n v="2"/>
    <n v="1"/>
    <n v="1"/>
    <n v="1"/>
    <n v="20"/>
  </r>
  <r>
    <x v="14"/>
    <x v="1"/>
    <n v="2566"/>
    <x v="0"/>
    <x v="7"/>
    <s v="PINAVERIUM BROMIDE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3278"/>
    <x v="0"/>
    <x v="3"/>
    <s v="ESOMEPRAZOLE MAGNESIUM"/>
    <n v="1"/>
    <m/>
    <m/>
    <m/>
    <n v="1"/>
    <m/>
    <m/>
    <m/>
    <m/>
    <m/>
    <n v="1"/>
    <m/>
    <m/>
    <m/>
    <m/>
    <n v="1"/>
    <m/>
    <m/>
    <n v="1"/>
    <m/>
    <m/>
    <m/>
    <m/>
    <n v="1"/>
    <m/>
    <m/>
    <m/>
    <n v="1"/>
    <m/>
    <n v="7"/>
  </r>
  <r>
    <x v="14"/>
    <x v="1"/>
    <n v="6164"/>
    <x v="0"/>
    <x v="3"/>
    <s v="RABEPRAZOLE SODIUM"/>
    <n v="1"/>
    <m/>
    <m/>
    <m/>
    <m/>
    <m/>
    <m/>
    <m/>
    <m/>
    <m/>
    <m/>
    <m/>
    <m/>
    <n v="1"/>
    <m/>
    <n v="1"/>
    <m/>
    <m/>
    <m/>
    <m/>
    <m/>
    <m/>
    <m/>
    <m/>
    <m/>
    <n v="1"/>
    <m/>
    <m/>
    <m/>
    <n v="4"/>
  </r>
  <r>
    <x v="14"/>
    <x v="1"/>
    <n v="13030"/>
    <x v="0"/>
    <x v="3"/>
    <s v="ESOMEPRAZOLE MAGNES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4"/>
    <x v="1"/>
    <n v="16313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4"/>
    <x v="1"/>
    <n v="16442"/>
    <x v="0"/>
    <x v="3"/>
    <s v="RABEPRAZOLE SODIUM"/>
    <m/>
    <m/>
    <m/>
    <n v="1"/>
    <m/>
    <m/>
    <m/>
    <m/>
    <m/>
    <m/>
    <m/>
    <m/>
    <m/>
    <m/>
    <m/>
    <m/>
    <n v="1"/>
    <m/>
    <m/>
    <n v="1"/>
    <m/>
    <m/>
    <m/>
    <m/>
    <n v="1"/>
    <m/>
    <m/>
    <m/>
    <m/>
    <n v="4"/>
  </r>
  <r>
    <x v="14"/>
    <x v="1"/>
    <n v="1171"/>
    <x v="1"/>
    <x v="3"/>
    <s v="ESOMEPRAZOLE MAGNESIUM"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n v="2"/>
  </r>
  <r>
    <x v="14"/>
    <x v="1"/>
    <n v="3683"/>
    <x v="1"/>
    <x v="3"/>
    <s v="ESOME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3889"/>
    <x v="1"/>
    <x v="3"/>
    <s v="PANTOPRAZOLE SODIUM"/>
    <m/>
    <n v="1"/>
    <m/>
    <m/>
    <m/>
    <m/>
    <m/>
    <n v="1"/>
    <m/>
    <m/>
    <m/>
    <n v="1"/>
    <m/>
    <m/>
    <m/>
    <n v="1"/>
    <m/>
    <m/>
    <m/>
    <m/>
    <n v="1"/>
    <m/>
    <m/>
    <m/>
    <n v="1"/>
    <m/>
    <m/>
    <m/>
    <m/>
    <n v="6"/>
  </r>
  <r>
    <x v="14"/>
    <x v="1"/>
    <n v="4214"/>
    <x v="1"/>
    <x v="3"/>
    <s v="PANTOPRAZOLE SODIUM"/>
    <m/>
    <m/>
    <m/>
    <m/>
    <m/>
    <m/>
    <m/>
    <m/>
    <m/>
    <n v="1"/>
    <m/>
    <m/>
    <m/>
    <m/>
    <m/>
    <m/>
    <m/>
    <m/>
    <n v="1"/>
    <m/>
    <m/>
    <m/>
    <m/>
    <n v="1"/>
    <m/>
    <n v="1"/>
    <m/>
    <m/>
    <m/>
    <n v="4"/>
  </r>
  <r>
    <x v="14"/>
    <x v="1"/>
    <n v="8053"/>
    <x v="1"/>
    <x v="3"/>
    <s v="RABEPRAZOLE SOD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5013"/>
    <x v="1"/>
    <x v="1"/>
    <s v="RANITIDINE HCL"/>
    <m/>
    <m/>
    <m/>
    <n v="1"/>
    <m/>
    <m/>
    <m/>
    <m/>
    <m/>
    <m/>
    <m/>
    <m/>
    <m/>
    <m/>
    <m/>
    <m/>
    <m/>
    <n v="1"/>
    <m/>
    <m/>
    <m/>
    <n v="1"/>
    <m/>
    <m/>
    <m/>
    <n v="1"/>
    <m/>
    <m/>
    <m/>
    <n v="4"/>
  </r>
  <r>
    <x v="14"/>
    <x v="1"/>
    <n v="4584"/>
    <x v="1"/>
    <x v="3"/>
    <s v="ESOMEPRAZOLE MAGNES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14"/>
    <x v="1"/>
    <n v="5376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450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6963"/>
    <x v="0"/>
    <x v="0"/>
    <s v="ROSUVASTATIN CALCIUM"/>
    <m/>
    <m/>
    <n v="1"/>
    <m/>
    <m/>
    <m/>
    <m/>
    <m/>
    <m/>
    <m/>
    <m/>
    <m/>
    <m/>
    <m/>
    <m/>
    <n v="2"/>
    <m/>
    <m/>
    <m/>
    <m/>
    <m/>
    <m/>
    <m/>
    <m/>
    <m/>
    <m/>
    <m/>
    <m/>
    <m/>
    <n v="3"/>
  </r>
  <r>
    <x v="14"/>
    <x v="1"/>
    <n v="8800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8800"/>
    <x v="0"/>
    <x v="0"/>
    <s v="ROSU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4"/>
    <x v="1"/>
    <n v="9727"/>
    <x v="0"/>
    <x v="0"/>
    <s v="ATORVASTATIN CALCIUM"/>
    <m/>
    <m/>
    <n v="1"/>
    <m/>
    <m/>
    <m/>
    <m/>
    <n v="1"/>
    <m/>
    <m/>
    <m/>
    <m/>
    <m/>
    <m/>
    <m/>
    <m/>
    <n v="1"/>
    <m/>
    <m/>
    <m/>
    <m/>
    <m/>
    <m/>
    <m/>
    <m/>
    <m/>
    <m/>
    <n v="1"/>
    <m/>
    <n v="4"/>
  </r>
  <r>
    <x v="14"/>
    <x v="1"/>
    <n v="16923"/>
    <x v="0"/>
    <x v="0"/>
    <s v="ATORVASTATIN CALCIUM"/>
    <m/>
    <m/>
    <m/>
    <m/>
    <n v="1"/>
    <m/>
    <m/>
    <m/>
    <m/>
    <m/>
    <m/>
    <m/>
    <m/>
    <m/>
    <m/>
    <m/>
    <m/>
    <m/>
    <m/>
    <n v="2"/>
    <m/>
    <m/>
    <m/>
    <n v="1"/>
    <m/>
    <m/>
    <m/>
    <n v="1"/>
    <m/>
    <n v="5"/>
  </r>
  <r>
    <x v="14"/>
    <x v="1"/>
    <n v="29048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n v="2"/>
  </r>
  <r>
    <x v="14"/>
    <x v="1"/>
    <n v="30336"/>
    <x v="0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4"/>
    <x v="1"/>
    <n v="33420"/>
    <x v="0"/>
    <x v="0"/>
    <s v="ATORVASTATIN CALCIUM"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n v="2"/>
  </r>
  <r>
    <x v="14"/>
    <x v="1"/>
    <n v="506"/>
    <x v="1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4"/>
    <x v="1"/>
    <n v="3627"/>
    <x v="1"/>
    <x v="0"/>
    <s v="ATORVASTATIN CALCIUM"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n v="2"/>
  </r>
  <r>
    <x v="14"/>
    <x v="1"/>
    <n v="5362"/>
    <x v="1"/>
    <x v="0"/>
    <s v="ROSUVASTATIN CALCIUM"/>
    <m/>
    <m/>
    <m/>
    <m/>
    <m/>
    <m/>
    <m/>
    <n v="1"/>
    <m/>
    <m/>
    <m/>
    <m/>
    <m/>
    <m/>
    <m/>
    <m/>
    <m/>
    <m/>
    <m/>
    <m/>
    <m/>
    <n v="3"/>
    <m/>
    <m/>
    <m/>
    <m/>
    <m/>
    <m/>
    <m/>
    <n v="4"/>
  </r>
  <r>
    <x v="14"/>
    <x v="1"/>
    <n v="5736"/>
    <x v="1"/>
    <x v="0"/>
    <s v="ROSUVASTATIN CALCIUM"/>
    <m/>
    <m/>
    <m/>
    <n v="1"/>
    <m/>
    <m/>
    <m/>
    <m/>
    <n v="1"/>
    <m/>
    <m/>
    <m/>
    <n v="1"/>
    <m/>
    <m/>
    <m/>
    <m/>
    <n v="1"/>
    <m/>
    <m/>
    <m/>
    <n v="1"/>
    <m/>
    <m/>
    <m/>
    <n v="2"/>
    <m/>
    <m/>
    <m/>
    <n v="7"/>
  </r>
  <r>
    <x v="14"/>
    <x v="1"/>
    <n v="10830"/>
    <x v="1"/>
    <x v="0"/>
    <s v="ATORVASTATIN CALCIUM"/>
    <m/>
    <m/>
    <n v="1"/>
    <m/>
    <m/>
    <m/>
    <m/>
    <m/>
    <n v="1"/>
    <m/>
    <m/>
    <m/>
    <n v="1"/>
    <m/>
    <m/>
    <m/>
    <m/>
    <m/>
    <n v="1"/>
    <m/>
    <m/>
    <m/>
    <m/>
    <m/>
    <m/>
    <m/>
    <n v="2"/>
    <m/>
    <m/>
    <n v="6"/>
  </r>
  <r>
    <x v="14"/>
    <x v="1"/>
    <n v="14654"/>
    <x v="1"/>
    <x v="0"/>
    <s v="ROSUVASTATIN CALCIUM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4"/>
    <x v="1"/>
    <n v="15115"/>
    <x v="1"/>
    <x v="0"/>
    <s v="ATORVASTATIN CALC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14"/>
    <x v="1"/>
    <n v="17082"/>
    <x v="1"/>
    <x v="0"/>
    <s v="ATORVASTATIN CALCIUM"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</r>
  <r>
    <x v="14"/>
    <x v="1"/>
    <n v="29026"/>
    <x v="1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4"/>
    <x v="1"/>
    <n v="3200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399"/>
    <x v="0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3149"/>
    <x v="0"/>
    <x v="0"/>
    <s v="ROSUVASTATIN CALCIUM"/>
    <n v="1"/>
    <m/>
    <m/>
    <n v="1"/>
    <m/>
    <m/>
    <m/>
    <m/>
    <m/>
    <n v="1"/>
    <m/>
    <n v="1"/>
    <m/>
    <m/>
    <n v="1"/>
    <m/>
    <m/>
    <m/>
    <n v="1"/>
    <n v="1"/>
    <n v="1"/>
    <n v="1"/>
    <m/>
    <n v="1"/>
    <n v="1"/>
    <n v="1"/>
    <n v="1"/>
    <n v="1"/>
    <n v="1"/>
    <n v="15"/>
  </r>
  <r>
    <x v="14"/>
    <x v="1"/>
    <n v="4124"/>
    <x v="0"/>
    <x v="0"/>
    <s v="ROSUVASTATIN CALCIUM"/>
    <m/>
    <n v="1"/>
    <m/>
    <m/>
    <m/>
    <m/>
    <m/>
    <m/>
    <m/>
    <m/>
    <m/>
    <m/>
    <m/>
    <m/>
    <m/>
    <n v="1"/>
    <m/>
    <m/>
    <m/>
    <m/>
    <m/>
    <m/>
    <m/>
    <m/>
    <m/>
    <m/>
    <m/>
    <m/>
    <n v="1"/>
    <n v="3"/>
  </r>
  <r>
    <x v="14"/>
    <x v="1"/>
    <n v="6353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8431"/>
    <x v="0"/>
    <x v="0"/>
    <s v="ATORVASTATIN CALCIUM"/>
    <m/>
    <n v="1"/>
    <m/>
    <m/>
    <n v="1"/>
    <m/>
    <m/>
    <m/>
    <m/>
    <m/>
    <m/>
    <m/>
    <m/>
    <m/>
    <m/>
    <m/>
    <m/>
    <m/>
    <m/>
    <m/>
    <n v="1"/>
    <m/>
    <m/>
    <m/>
    <n v="1"/>
    <m/>
    <m/>
    <m/>
    <n v="1"/>
    <n v="5"/>
  </r>
  <r>
    <x v="14"/>
    <x v="1"/>
    <n v="13280"/>
    <x v="0"/>
    <x v="0"/>
    <s v="ATORVASTATIN CALCIUM"/>
    <m/>
    <m/>
    <m/>
    <m/>
    <m/>
    <n v="2"/>
    <m/>
    <m/>
    <m/>
    <m/>
    <m/>
    <m/>
    <m/>
    <m/>
    <m/>
    <m/>
    <m/>
    <m/>
    <m/>
    <n v="1"/>
    <m/>
    <m/>
    <m/>
    <m/>
    <m/>
    <m/>
    <m/>
    <m/>
    <m/>
    <n v="3"/>
  </r>
  <r>
    <x v="14"/>
    <x v="1"/>
    <n v="25918"/>
    <x v="0"/>
    <x v="0"/>
    <s v="ATORVASTATIN CALCIUM"/>
    <m/>
    <m/>
    <m/>
    <m/>
    <m/>
    <m/>
    <m/>
    <m/>
    <n v="1"/>
    <n v="1"/>
    <m/>
    <m/>
    <m/>
    <m/>
    <m/>
    <m/>
    <m/>
    <m/>
    <m/>
    <m/>
    <m/>
    <m/>
    <n v="1"/>
    <m/>
    <m/>
    <m/>
    <m/>
    <m/>
    <m/>
    <n v="3"/>
  </r>
  <r>
    <x v="14"/>
    <x v="1"/>
    <n v="263"/>
    <x v="1"/>
    <x v="0"/>
    <s v="SIMVASTATIN"/>
    <m/>
    <m/>
    <m/>
    <m/>
    <m/>
    <m/>
    <m/>
    <m/>
    <m/>
    <m/>
    <n v="2"/>
    <m/>
    <m/>
    <m/>
    <m/>
    <m/>
    <m/>
    <m/>
    <m/>
    <m/>
    <m/>
    <m/>
    <m/>
    <m/>
    <m/>
    <m/>
    <n v="1"/>
    <m/>
    <m/>
    <n v="3"/>
  </r>
  <r>
    <x v="14"/>
    <x v="1"/>
    <n v="3480"/>
    <x v="1"/>
    <x v="0"/>
    <s v="ROSUVASTATIN CALCIUM"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n v="2"/>
  </r>
  <r>
    <x v="14"/>
    <x v="1"/>
    <n v="5307"/>
    <x v="1"/>
    <x v="0"/>
    <s v="ROSUVASTATIN CALCIUM"/>
    <m/>
    <m/>
    <m/>
    <m/>
    <n v="1"/>
    <m/>
    <m/>
    <m/>
    <m/>
    <m/>
    <m/>
    <m/>
    <m/>
    <m/>
    <m/>
    <n v="2"/>
    <m/>
    <m/>
    <m/>
    <m/>
    <m/>
    <m/>
    <m/>
    <m/>
    <m/>
    <m/>
    <m/>
    <m/>
    <m/>
    <n v="3"/>
  </r>
  <r>
    <x v="14"/>
    <x v="1"/>
    <n v="6041"/>
    <x v="1"/>
    <x v="0"/>
    <s v="ROSUVASTATIN CALCIUM"/>
    <m/>
    <m/>
    <n v="1"/>
    <m/>
    <m/>
    <m/>
    <m/>
    <m/>
    <m/>
    <m/>
    <m/>
    <m/>
    <m/>
    <m/>
    <m/>
    <m/>
    <n v="2"/>
    <m/>
    <m/>
    <m/>
    <n v="1"/>
    <m/>
    <n v="1"/>
    <m/>
    <n v="1"/>
    <m/>
    <m/>
    <m/>
    <m/>
    <n v="6"/>
  </r>
  <r>
    <x v="14"/>
    <x v="1"/>
    <n v="6354"/>
    <x v="1"/>
    <x v="0"/>
    <s v="ATORVASTATIN CALCIUM"/>
    <m/>
    <m/>
    <m/>
    <m/>
    <m/>
    <m/>
    <m/>
    <m/>
    <m/>
    <m/>
    <m/>
    <m/>
    <m/>
    <m/>
    <n v="1"/>
    <m/>
    <m/>
    <m/>
    <m/>
    <m/>
    <m/>
    <m/>
    <m/>
    <n v="1"/>
    <m/>
    <m/>
    <n v="1"/>
    <m/>
    <m/>
    <n v="3"/>
  </r>
  <r>
    <x v="14"/>
    <x v="1"/>
    <n v="6429"/>
    <x v="1"/>
    <x v="0"/>
    <s v="ATORVASTATIN CALCIUM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</r>
  <r>
    <x v="14"/>
    <x v="1"/>
    <n v="6759"/>
    <x v="1"/>
    <x v="0"/>
    <s v="ATORVASTATIN CALC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4"/>
    <x v="1"/>
    <n v="761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8650"/>
    <x v="1"/>
    <x v="0"/>
    <s v="ATORVASTATIN CALCIUM"/>
    <m/>
    <m/>
    <m/>
    <m/>
    <m/>
    <m/>
    <m/>
    <m/>
    <m/>
    <m/>
    <m/>
    <m/>
    <m/>
    <n v="1"/>
    <m/>
    <m/>
    <m/>
    <m/>
    <n v="1"/>
    <m/>
    <m/>
    <n v="1"/>
    <m/>
    <n v="2"/>
    <m/>
    <n v="1"/>
    <m/>
    <m/>
    <m/>
    <n v="6"/>
  </r>
  <r>
    <x v="14"/>
    <x v="1"/>
    <n v="12111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4"/>
    <x v="1"/>
    <n v="12313"/>
    <x v="1"/>
    <x v="0"/>
    <s v="ATORVASTATIN CALCIUM"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n v="2"/>
  </r>
  <r>
    <x v="14"/>
    <x v="1"/>
    <n v="13619"/>
    <x v="1"/>
    <x v="0"/>
    <s v="ROSU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4"/>
    <x v="1"/>
    <n v="14172"/>
    <x v="1"/>
    <x v="0"/>
    <s v="ATORVASTATIN CALCIUM"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n v="2"/>
  </r>
  <r>
    <x v="14"/>
    <x v="1"/>
    <n v="14330"/>
    <x v="1"/>
    <x v="0"/>
    <s v="ATORVASTATIN CALCIUM"/>
    <n v="1"/>
    <n v="1"/>
    <m/>
    <n v="1"/>
    <m/>
    <m/>
    <m/>
    <m/>
    <m/>
    <n v="1"/>
    <n v="1"/>
    <m/>
    <m/>
    <n v="1"/>
    <m/>
    <m/>
    <n v="1"/>
    <m/>
    <n v="1"/>
    <m/>
    <m/>
    <m/>
    <n v="1"/>
    <m/>
    <m/>
    <m/>
    <n v="1"/>
    <m/>
    <m/>
    <n v="10"/>
  </r>
  <r>
    <x v="14"/>
    <x v="1"/>
    <n v="14590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4"/>
    <x v="1"/>
    <n v="21758"/>
    <x v="1"/>
    <x v="0"/>
    <s v="ATORVASTATIN CALCIUM"/>
    <m/>
    <n v="1"/>
    <m/>
    <m/>
    <n v="2"/>
    <m/>
    <m/>
    <m/>
    <m/>
    <m/>
    <m/>
    <m/>
    <m/>
    <m/>
    <m/>
    <m/>
    <m/>
    <m/>
    <m/>
    <m/>
    <n v="1"/>
    <m/>
    <m/>
    <m/>
    <n v="1"/>
    <m/>
    <m/>
    <m/>
    <m/>
    <n v="5"/>
  </r>
  <r>
    <x v="14"/>
    <x v="1"/>
    <n v="23089"/>
    <x v="1"/>
    <x v="0"/>
    <s v="ATORVASTATIN CALCIUM"/>
    <m/>
    <n v="1"/>
    <m/>
    <m/>
    <n v="1"/>
    <m/>
    <m/>
    <m/>
    <m/>
    <m/>
    <m/>
    <m/>
    <n v="1"/>
    <n v="1"/>
    <m/>
    <m/>
    <m/>
    <m/>
    <n v="1"/>
    <m/>
    <m/>
    <m/>
    <m/>
    <n v="1"/>
    <m/>
    <m/>
    <m/>
    <n v="1"/>
    <m/>
    <n v="7"/>
  </r>
  <r>
    <x v="15"/>
    <x v="1"/>
    <n v="375"/>
    <x v="0"/>
    <x v="0"/>
    <s v="ATORVASTATIN CALCIUM"/>
    <m/>
    <m/>
    <n v="1"/>
    <m/>
    <m/>
    <n v="1"/>
    <m/>
    <m/>
    <m/>
    <m/>
    <n v="2"/>
    <m/>
    <m/>
    <m/>
    <m/>
    <n v="1"/>
    <m/>
    <m/>
    <n v="1"/>
    <m/>
    <m/>
    <n v="2"/>
    <n v="1"/>
    <m/>
    <m/>
    <m/>
    <n v="1"/>
    <m/>
    <m/>
    <n v="10"/>
  </r>
  <r>
    <x v="15"/>
    <x v="1"/>
    <n v="839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39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5"/>
    <x v="1"/>
    <n v="3573"/>
    <x v="0"/>
    <x v="0"/>
    <s v="SIMVASTATIN"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n v="2"/>
  </r>
  <r>
    <x v="15"/>
    <x v="1"/>
    <n v="4349"/>
    <x v="0"/>
    <x v="7"/>
    <s v="PINAVERIUM BROMIDE"/>
    <m/>
    <m/>
    <n v="3"/>
    <m/>
    <m/>
    <m/>
    <m/>
    <n v="1"/>
    <m/>
    <m/>
    <m/>
    <m/>
    <n v="1"/>
    <m/>
    <m/>
    <m/>
    <m/>
    <m/>
    <m/>
    <m/>
    <m/>
    <m/>
    <m/>
    <m/>
    <m/>
    <m/>
    <m/>
    <m/>
    <m/>
    <n v="5"/>
  </r>
  <r>
    <x v="15"/>
    <x v="1"/>
    <n v="4349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57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634"/>
    <x v="0"/>
    <x v="3"/>
    <s v="OMEPRAZOLE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8006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41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417"/>
    <x v="0"/>
    <x v="0"/>
    <s v="SIMVASTATIN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2"/>
  </r>
  <r>
    <x v="15"/>
    <x v="1"/>
    <n v="8572"/>
    <x v="0"/>
    <x v="0"/>
    <s v="SIMVASTATIN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15"/>
    <x v="1"/>
    <n v="8897"/>
    <x v="0"/>
    <x v="3"/>
    <s v="RABEPRAZOLE SODIUM"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n v="2"/>
  </r>
  <r>
    <x v="15"/>
    <x v="1"/>
    <n v="9660"/>
    <x v="0"/>
    <x v="0"/>
    <s v="ATORVASTATIN CALCIUM"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n v="2"/>
  </r>
  <r>
    <x v="15"/>
    <x v="1"/>
    <n v="10589"/>
    <x v="0"/>
    <x v="0"/>
    <s v="FLUVASTATIN SODIUM"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n v="2"/>
  </r>
  <r>
    <x v="15"/>
    <x v="1"/>
    <n v="11623"/>
    <x v="0"/>
    <x v="0"/>
    <s v="ATORVASTATIN CALCIUM"/>
    <m/>
    <m/>
    <m/>
    <m/>
    <m/>
    <m/>
    <m/>
    <m/>
    <m/>
    <m/>
    <m/>
    <n v="2"/>
    <m/>
    <m/>
    <m/>
    <m/>
    <m/>
    <m/>
    <m/>
    <m/>
    <m/>
    <m/>
    <n v="2"/>
    <n v="1"/>
    <m/>
    <m/>
    <m/>
    <m/>
    <m/>
    <n v="5"/>
  </r>
  <r>
    <x v="15"/>
    <x v="1"/>
    <n v="1361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</r>
  <r>
    <x v="15"/>
    <x v="1"/>
    <n v="16663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7188"/>
    <x v="0"/>
    <x v="0"/>
    <s v="ATORVASTATIN CALCIUM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15"/>
    <x v="1"/>
    <n v="23118"/>
    <x v="0"/>
    <x v="4"/>
    <s v="SUCRALFAT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510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5500"/>
    <x v="0"/>
    <x v="2"/>
    <s v="MISOPROSTO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83"/>
    <x v="1"/>
    <x v="1"/>
    <s v="RANITIDINE HCL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5"/>
    <x v="1"/>
    <n v="183"/>
    <x v="1"/>
    <x v="3"/>
    <s v="RABEPRAZOLE SODIUM"/>
    <m/>
    <m/>
    <m/>
    <m/>
    <m/>
    <m/>
    <m/>
    <m/>
    <m/>
    <m/>
    <m/>
    <m/>
    <m/>
    <m/>
    <m/>
    <m/>
    <m/>
    <m/>
    <m/>
    <m/>
    <m/>
    <m/>
    <m/>
    <n v="1"/>
    <n v="2"/>
    <n v="1"/>
    <n v="1"/>
    <n v="1"/>
    <n v="1"/>
    <n v="7"/>
  </r>
  <r>
    <x v="15"/>
    <x v="1"/>
    <n v="528"/>
    <x v="1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15"/>
    <x v="1"/>
    <n v="806"/>
    <x v="1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n v="2"/>
  </r>
  <r>
    <x v="15"/>
    <x v="1"/>
    <n v="851"/>
    <x v="1"/>
    <x v="1"/>
    <s v="RANITIDINE HCL"/>
    <m/>
    <m/>
    <m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1"/>
  </r>
  <r>
    <x v="15"/>
    <x v="1"/>
    <n v="851"/>
    <x v="1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  <n v="18"/>
  </r>
  <r>
    <x v="15"/>
    <x v="1"/>
    <n v="873"/>
    <x v="1"/>
    <x v="0"/>
    <s v="SIMVASTATIN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5"/>
    <x v="1"/>
    <n v="1348"/>
    <x v="1"/>
    <x v="0"/>
    <s v="ATORVASTATIN CALCIUM"/>
    <m/>
    <n v="1"/>
    <n v="1"/>
    <m/>
    <m/>
    <m/>
    <m/>
    <n v="2"/>
    <m/>
    <m/>
    <m/>
    <n v="2"/>
    <m/>
    <m/>
    <m/>
    <n v="1"/>
    <m/>
    <m/>
    <m/>
    <n v="1"/>
    <m/>
    <m/>
    <m/>
    <n v="1"/>
    <m/>
    <m/>
    <m/>
    <n v="1"/>
    <m/>
    <n v="10"/>
  </r>
  <r>
    <x v="15"/>
    <x v="1"/>
    <n v="1998"/>
    <x v="1"/>
    <x v="0"/>
    <s v="ATORVASTATIN CALCIUM"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n v="2"/>
  </r>
  <r>
    <x v="15"/>
    <x v="1"/>
    <n v="2194"/>
    <x v="1"/>
    <x v="0"/>
    <s v="ATORVASTATIN CALCIUM"/>
    <m/>
    <m/>
    <m/>
    <n v="1"/>
    <m/>
    <m/>
    <m/>
    <m/>
    <n v="1"/>
    <m/>
    <m/>
    <m/>
    <n v="1"/>
    <m/>
    <m/>
    <m/>
    <n v="1"/>
    <m/>
    <m/>
    <m/>
    <n v="1"/>
    <m/>
    <m/>
    <m/>
    <m/>
    <m/>
    <n v="1"/>
    <m/>
    <m/>
    <n v="6"/>
  </r>
  <r>
    <x v="15"/>
    <x v="1"/>
    <n v="3746"/>
    <x v="1"/>
    <x v="0"/>
    <s v="ATORVASTATIN CALCIUM"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</r>
  <r>
    <x v="15"/>
    <x v="1"/>
    <n v="4414"/>
    <x v="1"/>
    <x v="0"/>
    <s v="SIMVASTATIN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4723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4813"/>
    <x v="1"/>
    <x v="0"/>
    <s v="ATORVASTATIN CALCIUM"/>
    <m/>
    <m/>
    <m/>
    <n v="1"/>
    <m/>
    <m/>
    <m/>
    <m/>
    <m/>
    <m/>
    <m/>
    <n v="1"/>
    <m/>
    <m/>
    <m/>
    <m/>
    <m/>
    <m/>
    <m/>
    <m/>
    <m/>
    <m/>
    <m/>
    <m/>
    <m/>
    <m/>
    <n v="1"/>
    <m/>
    <m/>
    <n v="3"/>
  </r>
  <r>
    <x v="15"/>
    <x v="1"/>
    <n v="524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999"/>
    <x v="1"/>
    <x v="0"/>
    <s v="ATORVASTATIN CALCIUM"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n v="2"/>
  </r>
  <r>
    <x v="15"/>
    <x v="1"/>
    <n v="6181"/>
    <x v="1"/>
    <x v="3"/>
    <s v="RABEPRAZOLE SODIUM"/>
    <m/>
    <n v="1"/>
    <m/>
    <m/>
    <m/>
    <m/>
    <m/>
    <m/>
    <m/>
    <m/>
    <m/>
    <m/>
    <m/>
    <m/>
    <m/>
    <m/>
    <m/>
    <m/>
    <m/>
    <m/>
    <m/>
    <m/>
    <m/>
    <n v="1"/>
    <n v="2"/>
    <m/>
    <m/>
    <m/>
    <m/>
    <n v="4"/>
  </r>
  <r>
    <x v="15"/>
    <x v="1"/>
    <n v="6226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2"/>
  </r>
  <r>
    <x v="15"/>
    <x v="1"/>
    <n v="6303"/>
    <x v="1"/>
    <x v="0"/>
    <s v="SIMVASTATIN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n v="2"/>
  </r>
  <r>
    <x v="15"/>
    <x v="1"/>
    <n v="6549"/>
    <x v="1"/>
    <x v="0"/>
    <s v="ATORVASTATIN CALC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15"/>
    <x v="1"/>
    <n v="7346"/>
    <x v="1"/>
    <x v="1"/>
    <s v="FAMOTIDINE"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5"/>
    <x v="1"/>
    <n v="7415"/>
    <x v="1"/>
    <x v="0"/>
    <s v="SIMVASTATIN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7442"/>
    <x v="1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60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623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5"/>
    <x v="1"/>
    <n v="7633"/>
    <x v="1"/>
    <x v="0"/>
    <s v="ROSUVASTATIN CALCIUM"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n v="2"/>
  </r>
  <r>
    <x v="15"/>
    <x v="1"/>
    <n v="7771"/>
    <x v="1"/>
    <x v="0"/>
    <s v="ATORVASTATIN CALCIUM"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n v="2"/>
  </r>
  <r>
    <x v="15"/>
    <x v="1"/>
    <n v="7827"/>
    <x v="1"/>
    <x v="0"/>
    <s v="ATORVASTATIN CALCIUM"/>
    <m/>
    <n v="1"/>
    <m/>
    <m/>
    <m/>
    <n v="1"/>
    <m/>
    <m/>
    <m/>
    <m/>
    <n v="1"/>
    <m/>
    <m/>
    <m/>
    <n v="1"/>
    <m/>
    <m/>
    <m/>
    <n v="1"/>
    <m/>
    <m/>
    <m/>
    <n v="1"/>
    <m/>
    <m/>
    <n v="1"/>
    <m/>
    <m/>
    <m/>
    <n v="7"/>
  </r>
  <r>
    <x v="15"/>
    <x v="1"/>
    <n v="7852"/>
    <x v="1"/>
    <x v="0"/>
    <s v="ATORVASTATIN CALC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8041"/>
    <x v="1"/>
    <x v="0"/>
    <s v="SIMVASTATIN"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n v="2"/>
  </r>
  <r>
    <x v="15"/>
    <x v="1"/>
    <n v="8161"/>
    <x v="1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2"/>
  </r>
  <r>
    <x v="15"/>
    <x v="1"/>
    <n v="10301"/>
    <x v="1"/>
    <x v="0"/>
    <s v="ATORVASTATIN CALCIUM"/>
    <m/>
    <m/>
    <n v="1"/>
    <m/>
    <m/>
    <m/>
    <m/>
    <m/>
    <m/>
    <m/>
    <m/>
    <m/>
    <m/>
    <m/>
    <n v="1"/>
    <m/>
    <m/>
    <m/>
    <m/>
    <m/>
    <m/>
    <m/>
    <m/>
    <m/>
    <m/>
    <m/>
    <n v="1"/>
    <m/>
    <m/>
    <n v="3"/>
  </r>
  <r>
    <x v="15"/>
    <x v="1"/>
    <n v="11178"/>
    <x v="1"/>
    <x v="0"/>
    <s v="ATORVASTATIN CALCIUM"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n v="2"/>
  </r>
  <r>
    <x v="15"/>
    <x v="1"/>
    <n v="11179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1249"/>
    <x v="1"/>
    <x v="3"/>
    <s v="RABEPRAZOLE SODIUM"/>
    <m/>
    <m/>
    <m/>
    <m/>
    <m/>
    <m/>
    <m/>
    <m/>
    <n v="1"/>
    <m/>
    <m/>
    <m/>
    <m/>
    <n v="1"/>
    <m/>
    <m/>
    <m/>
    <m/>
    <n v="1"/>
    <m/>
    <m/>
    <m/>
    <m/>
    <n v="1"/>
    <m/>
    <m/>
    <m/>
    <m/>
    <n v="2"/>
    <n v="6"/>
  </r>
  <r>
    <x v="15"/>
    <x v="1"/>
    <n v="11652"/>
    <x v="1"/>
    <x v="0"/>
    <s v="ATORVASTATIN CALCIUM"/>
    <n v="1"/>
    <m/>
    <m/>
    <m/>
    <m/>
    <m/>
    <m/>
    <m/>
    <m/>
    <m/>
    <m/>
    <m/>
    <m/>
    <m/>
    <m/>
    <m/>
    <m/>
    <n v="1"/>
    <m/>
    <m/>
    <m/>
    <m/>
    <n v="1"/>
    <m/>
    <m/>
    <m/>
    <m/>
    <m/>
    <m/>
    <n v="3"/>
  </r>
  <r>
    <x v="15"/>
    <x v="1"/>
    <n v="13461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3646"/>
    <x v="1"/>
    <x v="0"/>
    <s v="ATORVASTATIN CALCIUM"/>
    <n v="1"/>
    <m/>
    <m/>
    <m/>
    <m/>
    <m/>
    <m/>
    <m/>
    <m/>
    <n v="1"/>
    <m/>
    <m/>
    <m/>
    <m/>
    <m/>
    <m/>
    <m/>
    <m/>
    <m/>
    <n v="1"/>
    <m/>
    <m/>
    <m/>
    <m/>
    <m/>
    <m/>
    <m/>
    <n v="1"/>
    <m/>
    <n v="4"/>
  </r>
  <r>
    <x v="15"/>
    <x v="1"/>
    <n v="14616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4647"/>
    <x v="1"/>
    <x v="0"/>
    <s v="ROSUVASTATIN CALCIUM"/>
    <m/>
    <m/>
    <n v="3"/>
    <m/>
    <m/>
    <m/>
    <m/>
    <m/>
    <m/>
    <m/>
    <m/>
    <m/>
    <m/>
    <m/>
    <m/>
    <n v="1"/>
    <m/>
    <m/>
    <m/>
    <m/>
    <m/>
    <m/>
    <m/>
    <m/>
    <m/>
    <m/>
    <m/>
    <m/>
    <n v="1"/>
    <n v="5"/>
  </r>
  <r>
    <x v="15"/>
    <x v="1"/>
    <n v="16468"/>
    <x v="1"/>
    <x v="0"/>
    <s v="ATORVASTATIN CALCIUM"/>
    <n v="1"/>
    <n v="1"/>
    <m/>
    <m/>
    <m/>
    <m/>
    <m/>
    <m/>
    <m/>
    <m/>
    <m/>
    <m/>
    <m/>
    <m/>
    <m/>
    <m/>
    <m/>
    <m/>
    <m/>
    <m/>
    <m/>
    <n v="1"/>
    <m/>
    <m/>
    <m/>
    <m/>
    <m/>
    <m/>
    <m/>
    <n v="3"/>
  </r>
  <r>
    <x v="15"/>
    <x v="1"/>
    <n v="17022"/>
    <x v="1"/>
    <x v="0"/>
    <s v="ATORVASTATIN CALCIUM"/>
    <m/>
    <n v="1"/>
    <m/>
    <m/>
    <m/>
    <m/>
    <m/>
    <n v="1"/>
    <m/>
    <m/>
    <m/>
    <n v="1"/>
    <m/>
    <m/>
    <m/>
    <n v="3"/>
    <m/>
    <m/>
    <m/>
    <n v="1"/>
    <m/>
    <m/>
    <m/>
    <m/>
    <n v="1"/>
    <m/>
    <m/>
    <m/>
    <m/>
    <n v="8"/>
  </r>
  <r>
    <x v="15"/>
    <x v="1"/>
    <n v="1827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9073"/>
    <x v="1"/>
    <x v="0"/>
    <s v="FLU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9659"/>
    <x v="1"/>
    <x v="0"/>
    <s v="SIMVASTATIN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27386"/>
    <x v="1"/>
    <x v="3"/>
    <s v="OMEPRAZOLE"/>
    <m/>
    <m/>
    <m/>
    <n v="2"/>
    <m/>
    <m/>
    <m/>
    <m/>
    <m/>
    <m/>
    <m/>
    <m/>
    <m/>
    <m/>
    <m/>
    <m/>
    <m/>
    <m/>
    <n v="1"/>
    <m/>
    <m/>
    <m/>
    <n v="1"/>
    <m/>
    <m/>
    <m/>
    <m/>
    <m/>
    <m/>
    <n v="4"/>
  </r>
  <r>
    <x v="15"/>
    <x v="1"/>
    <n v="28872"/>
    <x v="1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0943"/>
    <x v="1"/>
    <x v="3"/>
    <s v="RABEPRAZOLE SODIUM"/>
    <m/>
    <m/>
    <n v="1"/>
    <m/>
    <m/>
    <m/>
    <m/>
    <m/>
    <m/>
    <m/>
    <m/>
    <n v="1"/>
    <m/>
    <m/>
    <m/>
    <m/>
    <m/>
    <m/>
    <m/>
    <m/>
    <m/>
    <m/>
    <m/>
    <m/>
    <m/>
    <m/>
    <m/>
    <m/>
    <m/>
    <n v="2"/>
  </r>
  <r>
    <x v="15"/>
    <x v="1"/>
    <n v="32550"/>
    <x v="1"/>
    <x v="0"/>
    <s v="ATORVASTATIN CALCIUM"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5"/>
    <x v="1"/>
    <n v="32894"/>
    <x v="1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n v="3"/>
  </r>
  <r>
    <x v="15"/>
    <x v="1"/>
    <n v="33115"/>
    <x v="1"/>
    <x v="0"/>
    <s v="SIMVASTATIN"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n v="2"/>
  </r>
  <r>
    <x v="15"/>
    <x v="1"/>
    <n v="33254"/>
    <x v="1"/>
    <x v="0"/>
    <s v="ATORVASTATIN CALC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33470"/>
    <x v="1"/>
    <x v="1"/>
    <s v="RANITIDINE HCL"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n v="2"/>
  </r>
  <r>
    <x v="15"/>
    <x v="1"/>
    <n v="33535"/>
    <x v="1"/>
    <x v="0"/>
    <s v="ROSUVASTATIN CALCIUM"/>
    <m/>
    <m/>
    <m/>
    <m/>
    <m/>
    <m/>
    <m/>
    <m/>
    <m/>
    <m/>
    <m/>
    <m/>
    <n v="5"/>
    <m/>
    <m/>
    <m/>
    <m/>
    <m/>
    <m/>
    <m/>
    <m/>
    <m/>
    <m/>
    <m/>
    <n v="1"/>
    <m/>
    <m/>
    <m/>
    <m/>
    <n v="6"/>
  </r>
  <r>
    <x v="15"/>
    <x v="1"/>
    <n v="797"/>
    <x v="0"/>
    <x v="3"/>
    <s v="ESOMEPRAZOLE MAGNESIUM"/>
    <m/>
    <m/>
    <n v="1"/>
    <m/>
    <m/>
    <n v="1"/>
    <m/>
    <m/>
    <m/>
    <m/>
    <m/>
    <m/>
    <m/>
    <m/>
    <m/>
    <m/>
    <m/>
    <m/>
    <n v="1"/>
    <m/>
    <m/>
    <m/>
    <m/>
    <m/>
    <m/>
    <m/>
    <m/>
    <m/>
    <m/>
    <n v="3"/>
  </r>
  <r>
    <x v="15"/>
    <x v="1"/>
    <n v="2067"/>
    <x v="0"/>
    <x v="0"/>
    <s v="PRAVASTATIN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325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676"/>
    <x v="0"/>
    <x v="3"/>
    <s v="RABEPRAZOLE SODIUM"/>
    <m/>
    <n v="1"/>
    <m/>
    <m/>
    <m/>
    <m/>
    <m/>
    <m/>
    <m/>
    <m/>
    <m/>
    <m/>
    <m/>
    <n v="1"/>
    <m/>
    <m/>
    <m/>
    <m/>
    <m/>
    <n v="1"/>
    <m/>
    <m/>
    <m/>
    <m/>
    <n v="1"/>
    <m/>
    <m/>
    <m/>
    <m/>
    <n v="4"/>
  </r>
  <r>
    <x v="15"/>
    <x v="1"/>
    <n v="3558"/>
    <x v="0"/>
    <x v="0"/>
    <s v="ATORVASTATIN CALCIUM"/>
    <m/>
    <m/>
    <n v="1"/>
    <m/>
    <m/>
    <m/>
    <m/>
    <m/>
    <n v="1"/>
    <m/>
    <m/>
    <m/>
    <n v="1"/>
    <m/>
    <m/>
    <m/>
    <n v="1"/>
    <m/>
    <m/>
    <n v="1"/>
    <m/>
    <m/>
    <m/>
    <m/>
    <n v="1"/>
    <n v="1"/>
    <n v="1"/>
    <n v="1"/>
    <n v="1"/>
    <n v="10"/>
  </r>
  <r>
    <x v="15"/>
    <x v="1"/>
    <n v="4500"/>
    <x v="0"/>
    <x v="0"/>
    <s v="ATORVASTATIN CALCIUM"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2"/>
  </r>
  <r>
    <x v="15"/>
    <x v="1"/>
    <n v="4533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249"/>
    <x v="0"/>
    <x v="0"/>
    <s v="ATORVASTATIN CALCIUM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5"/>
    <x v="1"/>
    <n v="5576"/>
    <x v="0"/>
    <x v="3"/>
    <s v="RABEPRAZOLE SODIUM"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5"/>
    <x v="1"/>
    <n v="5891"/>
    <x v="0"/>
    <x v="0"/>
    <s v="ATORVASTATIN CALCIUM"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n v="2"/>
  </r>
  <r>
    <x v="15"/>
    <x v="1"/>
    <n v="5938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6594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5"/>
    <x v="1"/>
    <n v="6685"/>
    <x v="0"/>
    <x v="3"/>
    <s v="RABEPRAZOLE SODIUM"/>
    <m/>
    <n v="1"/>
    <m/>
    <m/>
    <m/>
    <m/>
    <m/>
    <m/>
    <m/>
    <m/>
    <m/>
    <n v="1"/>
    <m/>
    <n v="1"/>
    <m/>
    <m/>
    <m/>
    <m/>
    <m/>
    <m/>
    <m/>
    <m/>
    <m/>
    <m/>
    <m/>
    <m/>
    <m/>
    <n v="1"/>
    <m/>
    <n v="4"/>
  </r>
  <r>
    <x v="15"/>
    <x v="1"/>
    <n v="6693"/>
    <x v="0"/>
    <x v="1"/>
    <s v="RANITIDINE HCL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5"/>
    <x v="1"/>
    <n v="7271"/>
    <x v="0"/>
    <x v="3"/>
    <s v="RABEPRAZOLE SODIUM"/>
    <m/>
    <m/>
    <n v="1"/>
    <m/>
    <m/>
    <m/>
    <m/>
    <m/>
    <m/>
    <m/>
    <m/>
    <m/>
    <m/>
    <m/>
    <m/>
    <m/>
    <n v="2"/>
    <m/>
    <m/>
    <m/>
    <m/>
    <m/>
    <m/>
    <m/>
    <m/>
    <m/>
    <m/>
    <m/>
    <m/>
    <n v="3"/>
  </r>
  <r>
    <x v="15"/>
    <x v="1"/>
    <n v="8040"/>
    <x v="0"/>
    <x v="3"/>
    <s v="RABEPRAZOLE SODIUM"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8710"/>
    <x v="0"/>
    <x v="3"/>
    <s v="RABEPRAZOLE SODIUM"/>
    <m/>
    <n v="1"/>
    <m/>
    <m/>
    <m/>
    <m/>
    <m/>
    <m/>
    <m/>
    <n v="1"/>
    <m/>
    <m/>
    <m/>
    <n v="1"/>
    <m/>
    <m/>
    <m/>
    <m/>
    <m/>
    <m/>
    <m/>
    <m/>
    <m/>
    <m/>
    <n v="1"/>
    <m/>
    <m/>
    <m/>
    <m/>
    <n v="4"/>
  </r>
  <r>
    <x v="15"/>
    <x v="1"/>
    <n v="9692"/>
    <x v="0"/>
    <x v="1"/>
    <s v="RANITIDINE HCL"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n v="2"/>
  </r>
  <r>
    <x v="15"/>
    <x v="1"/>
    <n v="9692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9740"/>
    <x v="0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011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0168"/>
    <x v="0"/>
    <x v="3"/>
    <s v="RABEPRAZOLE SODIUM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2"/>
  </r>
  <r>
    <x v="15"/>
    <x v="1"/>
    <n v="10263"/>
    <x v="0"/>
    <x v="6"/>
    <s v="EZETIMIBE"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n v="2"/>
  </r>
  <r>
    <x v="15"/>
    <x v="1"/>
    <n v="10653"/>
    <x v="0"/>
    <x v="0"/>
    <s v="SIMVASTATIN"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n v="2"/>
  </r>
  <r>
    <x v="15"/>
    <x v="1"/>
    <n v="10970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5"/>
    <x v="1"/>
    <n v="10997"/>
    <x v="0"/>
    <x v="1"/>
    <s v="RANITIDINE HCL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</r>
  <r>
    <x v="15"/>
    <x v="1"/>
    <n v="12010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2738"/>
    <x v="0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2"/>
  </r>
  <r>
    <x v="15"/>
    <x v="1"/>
    <n v="13071"/>
    <x v="0"/>
    <x v="0"/>
    <s v="ATORVASTATIN CALCIUM"/>
    <m/>
    <m/>
    <m/>
    <m/>
    <m/>
    <m/>
    <m/>
    <m/>
    <m/>
    <m/>
    <n v="1"/>
    <m/>
    <m/>
    <m/>
    <m/>
    <m/>
    <m/>
    <m/>
    <m/>
    <m/>
    <m/>
    <m/>
    <n v="1"/>
    <m/>
    <m/>
    <n v="1"/>
    <m/>
    <m/>
    <m/>
    <n v="3"/>
  </r>
  <r>
    <x v="15"/>
    <x v="1"/>
    <n v="1401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4074"/>
    <x v="0"/>
    <x v="0"/>
    <s v="SIMVASTATIN"/>
    <m/>
    <m/>
    <m/>
    <n v="1"/>
    <m/>
    <m/>
    <m/>
    <m/>
    <m/>
    <m/>
    <m/>
    <m/>
    <m/>
    <m/>
    <n v="1"/>
    <m/>
    <m/>
    <m/>
    <m/>
    <n v="1"/>
    <m/>
    <m/>
    <n v="1"/>
    <m/>
    <n v="1"/>
    <m/>
    <m/>
    <n v="1"/>
    <m/>
    <n v="6"/>
  </r>
  <r>
    <x v="15"/>
    <x v="1"/>
    <n v="14414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4414"/>
    <x v="0"/>
    <x v="7"/>
    <s v="PINAVERIUM BROMID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5130"/>
    <x v="0"/>
    <x v="3"/>
    <s v="OMEPRAZOLE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5"/>
    <x v="1"/>
    <n v="15628"/>
    <x v="0"/>
    <x v="3"/>
    <s v="RABEPRAZOLE SODIUM"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18495"/>
    <x v="0"/>
    <x v="9"/>
    <s v="CHOLESTYRAMINE (WITH SUGAR)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8495"/>
    <x v="0"/>
    <x v="1"/>
    <s v="RANITIDINE HCL"/>
    <m/>
    <m/>
    <m/>
    <m/>
    <m/>
    <m/>
    <m/>
    <m/>
    <n v="1"/>
    <m/>
    <m/>
    <n v="1"/>
    <m/>
    <m/>
    <m/>
    <n v="1"/>
    <m/>
    <m/>
    <m/>
    <m/>
    <m/>
    <m/>
    <m/>
    <m/>
    <m/>
    <m/>
    <m/>
    <m/>
    <m/>
    <n v="3"/>
  </r>
  <r>
    <x v="15"/>
    <x v="1"/>
    <n v="18862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0107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20610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0610"/>
    <x v="0"/>
    <x v="3"/>
    <s v="RABEPRAZOLE SODIUM"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n v="2"/>
  </r>
  <r>
    <x v="15"/>
    <x v="1"/>
    <n v="21473"/>
    <x v="0"/>
    <x v="3"/>
    <s v="RABEPRAZOLE SODIUM"/>
    <m/>
    <m/>
    <m/>
    <m/>
    <m/>
    <m/>
    <m/>
    <m/>
    <m/>
    <m/>
    <m/>
    <m/>
    <m/>
    <m/>
    <n v="2"/>
    <m/>
    <m/>
    <m/>
    <m/>
    <m/>
    <m/>
    <m/>
    <m/>
    <m/>
    <m/>
    <m/>
    <m/>
    <n v="1"/>
    <m/>
    <n v="3"/>
  </r>
  <r>
    <x v="15"/>
    <x v="1"/>
    <n v="21867"/>
    <x v="0"/>
    <x v="3"/>
    <s v="OMEPRAZOLE"/>
    <m/>
    <m/>
    <m/>
    <n v="1"/>
    <m/>
    <m/>
    <m/>
    <m/>
    <m/>
    <m/>
    <m/>
    <m/>
    <m/>
    <m/>
    <m/>
    <m/>
    <m/>
    <m/>
    <m/>
    <n v="2"/>
    <m/>
    <m/>
    <m/>
    <m/>
    <m/>
    <m/>
    <m/>
    <m/>
    <m/>
    <n v="3"/>
  </r>
  <r>
    <x v="15"/>
    <x v="1"/>
    <n v="22830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</r>
  <r>
    <x v="15"/>
    <x v="1"/>
    <n v="26361"/>
    <x v="0"/>
    <x v="3"/>
    <s v="RABEPRAZOLE SODIUM"/>
    <m/>
    <n v="1"/>
    <m/>
    <m/>
    <m/>
    <m/>
    <m/>
    <m/>
    <m/>
    <m/>
    <m/>
    <m/>
    <m/>
    <m/>
    <m/>
    <m/>
    <m/>
    <m/>
    <m/>
    <m/>
    <m/>
    <m/>
    <m/>
    <m/>
    <m/>
    <n v="1"/>
    <m/>
    <m/>
    <n v="1"/>
    <n v="3"/>
  </r>
  <r>
    <x v="15"/>
    <x v="1"/>
    <n v="2722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9600"/>
    <x v="0"/>
    <x v="3"/>
    <s v="RABEPRAZOLE SODIUM"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n v="2"/>
  </r>
  <r>
    <x v="15"/>
    <x v="1"/>
    <n v="31598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2826"/>
    <x v="0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2826"/>
    <x v="0"/>
    <x v="1"/>
    <s v="RANITIDINE HCL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5"/>
    <x v="1"/>
    <n v="32923"/>
    <x v="0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5"/>
    <x v="1"/>
    <n v="33594"/>
    <x v="0"/>
    <x v="3"/>
    <s v="RABEPRAZOLE SODIUM"/>
    <m/>
    <m/>
    <m/>
    <m/>
    <n v="1"/>
    <m/>
    <m/>
    <m/>
    <m/>
    <m/>
    <m/>
    <m/>
    <m/>
    <m/>
    <n v="1"/>
    <m/>
    <m/>
    <m/>
    <m/>
    <m/>
    <m/>
    <m/>
    <m/>
    <n v="1"/>
    <m/>
    <m/>
    <m/>
    <m/>
    <m/>
    <n v="3"/>
  </r>
  <r>
    <x v="15"/>
    <x v="1"/>
    <n v="33638"/>
    <x v="0"/>
    <x v="1"/>
    <s v="RANITIDINE HCL"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</r>
  <r>
    <x v="15"/>
    <x v="1"/>
    <n v="33638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848"/>
    <x v="1"/>
    <x v="3"/>
    <s v="RABEPRAZOLE SODIUM"/>
    <m/>
    <m/>
    <m/>
    <m/>
    <m/>
    <n v="1"/>
    <m/>
    <m/>
    <m/>
    <n v="1"/>
    <m/>
    <m/>
    <m/>
    <m/>
    <m/>
    <m/>
    <m/>
    <m/>
    <m/>
    <m/>
    <m/>
    <m/>
    <n v="1"/>
    <m/>
    <m/>
    <m/>
    <m/>
    <m/>
    <m/>
    <n v="3"/>
  </r>
  <r>
    <x v="15"/>
    <x v="1"/>
    <n v="2848"/>
    <x v="1"/>
    <x v="3"/>
    <s v="OMEPRAZOLE"/>
    <m/>
    <n v="1"/>
    <m/>
    <m/>
    <m/>
    <m/>
    <m/>
    <n v="1"/>
    <m/>
    <m/>
    <m/>
    <n v="1"/>
    <m/>
    <m/>
    <m/>
    <n v="1"/>
    <m/>
    <m/>
    <m/>
    <m/>
    <n v="1"/>
    <m/>
    <m/>
    <m/>
    <n v="1"/>
    <m/>
    <m/>
    <m/>
    <m/>
    <n v="6"/>
  </r>
  <r>
    <x v="15"/>
    <x v="1"/>
    <n v="3270"/>
    <x v="1"/>
    <x v="1"/>
    <s v="RANITIDINE HCL"/>
    <m/>
    <m/>
    <m/>
    <n v="2"/>
    <n v="2"/>
    <m/>
    <m/>
    <m/>
    <m/>
    <m/>
    <n v="1"/>
    <m/>
    <m/>
    <n v="1"/>
    <m/>
    <m/>
    <m/>
    <n v="1"/>
    <m/>
    <m/>
    <m/>
    <m/>
    <n v="1"/>
    <m/>
    <m/>
    <m/>
    <n v="1"/>
    <m/>
    <m/>
    <n v="9"/>
  </r>
  <r>
    <x v="15"/>
    <x v="1"/>
    <n v="3270"/>
    <x v="1"/>
    <x v="3"/>
    <s v="RABEPRAZOLE SODIUM"/>
    <n v="2"/>
    <m/>
    <m/>
    <n v="1"/>
    <m/>
    <m/>
    <m/>
    <m/>
    <m/>
    <m/>
    <m/>
    <m/>
    <m/>
    <m/>
    <m/>
    <m/>
    <m/>
    <m/>
    <m/>
    <m/>
    <m/>
    <m/>
    <m/>
    <m/>
    <m/>
    <m/>
    <m/>
    <m/>
    <m/>
    <n v="3"/>
  </r>
  <r>
    <x v="15"/>
    <x v="1"/>
    <n v="3333"/>
    <x v="1"/>
    <x v="1"/>
    <s v="CIMETIDIN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333"/>
    <x v="1"/>
    <x v="3"/>
    <s v="RABEPRAZOLE SODIUM"/>
    <m/>
    <m/>
    <m/>
    <m/>
    <m/>
    <m/>
    <m/>
    <n v="1"/>
    <m/>
    <m/>
    <m/>
    <n v="1"/>
    <m/>
    <m/>
    <m/>
    <m/>
    <m/>
    <m/>
    <m/>
    <n v="1"/>
    <m/>
    <m/>
    <m/>
    <n v="1"/>
    <m/>
    <m/>
    <m/>
    <n v="1"/>
    <m/>
    <n v="5"/>
  </r>
  <r>
    <x v="15"/>
    <x v="1"/>
    <n v="4478"/>
    <x v="1"/>
    <x v="3"/>
    <s v="ESOMEPRAZOLE MAGNESIUM"/>
    <m/>
    <m/>
    <m/>
    <n v="1"/>
    <m/>
    <m/>
    <m/>
    <m/>
    <m/>
    <n v="1"/>
    <m/>
    <m/>
    <m/>
    <m/>
    <n v="1"/>
    <m/>
    <m/>
    <m/>
    <n v="1"/>
    <m/>
    <m/>
    <n v="1"/>
    <m/>
    <m/>
    <m/>
    <m/>
    <m/>
    <m/>
    <m/>
    <n v="5"/>
  </r>
  <r>
    <x v="15"/>
    <x v="1"/>
    <n v="6323"/>
    <x v="1"/>
    <x v="0"/>
    <s v="ATORVASTATIN CALCIUM"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n v="3"/>
  </r>
  <r>
    <x v="15"/>
    <x v="1"/>
    <n v="6467"/>
    <x v="1"/>
    <x v="1"/>
    <s v="RANITIDINE HCL"/>
    <n v="1"/>
    <m/>
    <m/>
    <m/>
    <m/>
    <m/>
    <m/>
    <m/>
    <m/>
    <m/>
    <m/>
    <m/>
    <m/>
    <m/>
    <m/>
    <m/>
    <m/>
    <n v="2"/>
    <m/>
    <m/>
    <m/>
    <m/>
    <m/>
    <m/>
    <m/>
    <n v="1"/>
    <m/>
    <m/>
    <m/>
    <n v="4"/>
  </r>
  <r>
    <x v="15"/>
    <x v="1"/>
    <n v="7279"/>
    <x v="1"/>
    <x v="0"/>
    <s v="ATORVASTATIN CALC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5"/>
    <x v="1"/>
    <n v="7881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95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955"/>
    <x v="1"/>
    <x v="0"/>
    <s v="SIMVASTATIN"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n v="2"/>
  </r>
  <r>
    <x v="15"/>
    <x v="1"/>
    <n v="8301"/>
    <x v="1"/>
    <x v="3"/>
    <s v="RABEPRAZOLE SODIUM"/>
    <m/>
    <m/>
    <m/>
    <m/>
    <m/>
    <m/>
    <m/>
    <m/>
    <m/>
    <m/>
    <m/>
    <m/>
    <m/>
    <m/>
    <m/>
    <m/>
    <m/>
    <m/>
    <m/>
    <m/>
    <m/>
    <m/>
    <n v="3"/>
    <n v="1"/>
    <n v="1"/>
    <n v="1"/>
    <n v="1"/>
    <n v="1"/>
    <m/>
    <n v="8"/>
  </r>
  <r>
    <x v="15"/>
    <x v="1"/>
    <n v="8348"/>
    <x v="1"/>
    <x v="0"/>
    <s v="ATORVASTATIN CALC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841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503"/>
    <x v="1"/>
    <x v="0"/>
    <s v="ATORVASTATIN CALCIUM"/>
    <m/>
    <n v="1"/>
    <m/>
    <m/>
    <m/>
    <n v="1"/>
    <m/>
    <m/>
    <m/>
    <m/>
    <m/>
    <n v="1"/>
    <m/>
    <m/>
    <n v="1"/>
    <m/>
    <m/>
    <m/>
    <n v="1"/>
    <m/>
    <m/>
    <m/>
    <n v="1"/>
    <m/>
    <m/>
    <n v="1"/>
    <m/>
    <m/>
    <m/>
    <n v="7"/>
  </r>
  <r>
    <x v="15"/>
    <x v="1"/>
    <n v="8559"/>
    <x v="1"/>
    <x v="0"/>
    <s v="ATORVASTATIN CALCIUM"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n v="2"/>
  </r>
  <r>
    <x v="15"/>
    <x v="1"/>
    <n v="8571"/>
    <x v="1"/>
    <x v="0"/>
    <s v="ATORVASTATIN CALCIUM"/>
    <m/>
    <m/>
    <m/>
    <m/>
    <m/>
    <m/>
    <m/>
    <m/>
    <m/>
    <n v="2"/>
    <m/>
    <m/>
    <m/>
    <m/>
    <m/>
    <n v="1"/>
    <m/>
    <m/>
    <m/>
    <m/>
    <m/>
    <m/>
    <m/>
    <m/>
    <m/>
    <m/>
    <m/>
    <m/>
    <n v="1"/>
    <n v="4"/>
  </r>
  <r>
    <x v="15"/>
    <x v="1"/>
    <n v="8639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</r>
  <r>
    <x v="15"/>
    <x v="1"/>
    <n v="8725"/>
    <x v="1"/>
    <x v="0"/>
    <s v="ATORVASTATIN CALC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15"/>
    <x v="1"/>
    <n v="8818"/>
    <x v="1"/>
    <x v="1"/>
    <s v="CIMETIDINE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5"/>
    <x v="1"/>
    <n v="8818"/>
    <x v="1"/>
    <x v="1"/>
    <s v="RANITIDINE HCL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8818"/>
    <x v="1"/>
    <x v="3"/>
    <s v="RABEPRAZOLE SOD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5"/>
    <x v="1"/>
    <n v="9070"/>
    <x v="1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9438"/>
    <x v="1"/>
    <x v="3"/>
    <s v="ESOMEPRAZOLE MAGNESIUM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5"/>
    <x v="1"/>
    <n v="9706"/>
    <x v="1"/>
    <x v="3"/>
    <s v="PANTO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9820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9820"/>
    <x v="1"/>
    <x v="0"/>
    <s v="SIMVASTATIN"/>
    <n v="2"/>
    <m/>
    <m/>
    <m/>
    <m/>
    <m/>
    <m/>
    <m/>
    <m/>
    <m/>
    <n v="1"/>
    <m/>
    <m/>
    <m/>
    <m/>
    <m/>
    <m/>
    <m/>
    <m/>
    <m/>
    <n v="1"/>
    <m/>
    <m/>
    <m/>
    <m/>
    <m/>
    <m/>
    <m/>
    <m/>
    <n v="4"/>
  </r>
  <r>
    <x v="15"/>
    <x v="1"/>
    <n v="9820"/>
    <x v="1"/>
    <x v="3"/>
    <s v="ESOMEPRAZOLE MAGNES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15"/>
    <x v="1"/>
    <n v="10113"/>
    <x v="1"/>
    <x v="3"/>
    <s v="OMEPRAZOLE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</r>
  <r>
    <x v="15"/>
    <x v="1"/>
    <n v="10200"/>
    <x v="1"/>
    <x v="0"/>
    <s v="ATORVASTATIN CALC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27"/>
  </r>
  <r>
    <x v="15"/>
    <x v="1"/>
    <n v="11017"/>
    <x v="1"/>
    <x v="0"/>
    <s v="ATORVASTATIN CALCIUM"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n v="2"/>
  </r>
  <r>
    <x v="15"/>
    <x v="1"/>
    <n v="11062"/>
    <x v="1"/>
    <x v="0"/>
    <s v="ATORVASTATIN CALCIUM"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1183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3070"/>
    <x v="1"/>
    <x v="0"/>
    <s v="SIMVASTATIN"/>
    <n v="1"/>
    <m/>
    <m/>
    <m/>
    <m/>
    <n v="1"/>
    <m/>
    <m/>
    <m/>
    <n v="1"/>
    <m/>
    <m/>
    <m/>
    <n v="1"/>
    <m/>
    <m/>
    <m/>
    <m/>
    <n v="1"/>
    <m/>
    <m/>
    <n v="1"/>
    <m/>
    <m/>
    <m/>
    <n v="1"/>
    <m/>
    <m/>
    <m/>
    <n v="7"/>
  </r>
  <r>
    <x v="15"/>
    <x v="1"/>
    <n v="15339"/>
    <x v="1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5"/>
    <x v="1"/>
    <n v="16556"/>
    <x v="1"/>
    <x v="7"/>
    <s v="PINAVERIUM BROMIDE"/>
    <n v="1"/>
    <m/>
    <m/>
    <m/>
    <m/>
    <m/>
    <m/>
    <m/>
    <n v="1"/>
    <m/>
    <m/>
    <m/>
    <m/>
    <m/>
    <m/>
    <m/>
    <m/>
    <m/>
    <m/>
    <m/>
    <m/>
    <m/>
    <m/>
    <m/>
    <m/>
    <m/>
    <m/>
    <m/>
    <m/>
    <n v="2"/>
  </r>
  <r>
    <x v="15"/>
    <x v="1"/>
    <n v="16704"/>
    <x v="1"/>
    <x v="1"/>
    <s v="RANITIDINE HCL"/>
    <n v="1"/>
    <m/>
    <m/>
    <m/>
    <m/>
    <m/>
    <m/>
    <n v="1"/>
    <m/>
    <m/>
    <m/>
    <n v="1"/>
    <m/>
    <m/>
    <m/>
    <m/>
    <n v="1"/>
    <n v="2"/>
    <m/>
    <m/>
    <m/>
    <m/>
    <m/>
    <m/>
    <m/>
    <m/>
    <m/>
    <m/>
    <m/>
    <n v="6"/>
  </r>
  <r>
    <x v="15"/>
    <x v="1"/>
    <n v="16704"/>
    <x v="1"/>
    <x v="3"/>
    <s v="OMEPRAZOLE"/>
    <m/>
    <m/>
    <m/>
    <m/>
    <m/>
    <m/>
    <m/>
    <m/>
    <m/>
    <m/>
    <m/>
    <m/>
    <m/>
    <m/>
    <m/>
    <m/>
    <m/>
    <m/>
    <m/>
    <m/>
    <m/>
    <m/>
    <n v="2"/>
    <m/>
    <m/>
    <m/>
    <n v="1"/>
    <m/>
    <m/>
    <n v="3"/>
  </r>
  <r>
    <x v="15"/>
    <x v="1"/>
    <n v="17256"/>
    <x v="1"/>
    <x v="8"/>
    <s v="GEMFIBROZIL"/>
    <m/>
    <m/>
    <m/>
    <m/>
    <m/>
    <m/>
    <m/>
    <n v="3"/>
    <n v="1"/>
    <m/>
    <n v="1"/>
    <m/>
    <n v="1"/>
    <m/>
    <n v="1"/>
    <m/>
    <n v="3"/>
    <m/>
    <n v="1"/>
    <m/>
    <n v="1"/>
    <n v="1"/>
    <m/>
    <m/>
    <n v="2"/>
    <n v="2"/>
    <m/>
    <m/>
    <m/>
    <n v="17"/>
  </r>
  <r>
    <x v="15"/>
    <x v="1"/>
    <n v="17256"/>
    <x v="1"/>
    <x v="3"/>
    <s v="RABEPRAZOLE SODIUM"/>
    <m/>
    <n v="1"/>
    <n v="1"/>
    <m/>
    <m/>
    <m/>
    <m/>
    <n v="2"/>
    <m/>
    <m/>
    <m/>
    <n v="2"/>
    <m/>
    <m/>
    <m/>
    <n v="2"/>
    <n v="1"/>
    <m/>
    <n v="1"/>
    <m/>
    <n v="1"/>
    <n v="1"/>
    <m/>
    <m/>
    <n v="1"/>
    <n v="2"/>
    <m/>
    <m/>
    <m/>
    <n v="15"/>
  </r>
  <r>
    <x v="15"/>
    <x v="1"/>
    <n v="18778"/>
    <x v="1"/>
    <x v="9"/>
    <s v="CHOLESTYRAMINE (WITH SUGAR)"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n v="2"/>
  </r>
  <r>
    <x v="15"/>
    <x v="1"/>
    <n v="19144"/>
    <x v="1"/>
    <x v="0"/>
    <s v="ATORVASTATIN CALC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19167"/>
    <x v="1"/>
    <x v="1"/>
    <s v="RANITIDINE HCL"/>
    <m/>
    <m/>
    <m/>
    <m/>
    <m/>
    <m/>
    <m/>
    <n v="1"/>
    <m/>
    <m/>
    <m/>
    <m/>
    <m/>
    <n v="1"/>
    <m/>
    <m/>
    <m/>
    <m/>
    <m/>
    <m/>
    <n v="1"/>
    <m/>
    <m/>
    <m/>
    <m/>
    <n v="1"/>
    <m/>
    <m/>
    <m/>
    <n v="4"/>
  </r>
  <r>
    <x v="15"/>
    <x v="1"/>
    <n v="20393"/>
    <x v="1"/>
    <x v="0"/>
    <s v="ATORVASTATIN CALCIUM"/>
    <m/>
    <m/>
    <n v="1"/>
    <m/>
    <m/>
    <n v="1"/>
    <m/>
    <m/>
    <m/>
    <m/>
    <n v="1"/>
    <m/>
    <m/>
    <m/>
    <n v="1"/>
    <m/>
    <m/>
    <m/>
    <m/>
    <m/>
    <n v="1"/>
    <n v="1"/>
    <n v="1"/>
    <n v="2"/>
    <m/>
    <m/>
    <n v="1"/>
    <m/>
    <m/>
    <n v="10"/>
  </r>
  <r>
    <x v="15"/>
    <x v="1"/>
    <n v="20557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2037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3069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5942"/>
    <x v="1"/>
    <x v="3"/>
    <s v="RABEPRAZOLE SODIUM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5"/>
    <x v="1"/>
    <n v="28758"/>
    <x v="1"/>
    <x v="3"/>
    <s v="LANSOPRAZOLE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5"/>
    <x v="1"/>
    <n v="30492"/>
    <x v="1"/>
    <x v="3"/>
    <s v="ESOMEPRAZOLE MAGNESIUM"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n v="2"/>
  </r>
  <r>
    <x v="15"/>
    <x v="1"/>
    <n v="31839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32818"/>
    <x v="1"/>
    <x v="3"/>
    <s v="RABEPRAZOLE SOD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8858"/>
    <x v="0"/>
    <x v="1"/>
    <s v="RANITIDINE HCL"/>
    <m/>
    <m/>
    <m/>
    <m/>
    <m/>
    <m/>
    <m/>
    <m/>
    <m/>
    <m/>
    <m/>
    <m/>
    <m/>
    <m/>
    <m/>
    <m/>
    <m/>
    <m/>
    <m/>
    <n v="1"/>
    <n v="1"/>
    <n v="2"/>
    <n v="1"/>
    <m/>
    <m/>
    <m/>
    <m/>
    <m/>
    <m/>
    <n v="5"/>
  </r>
  <r>
    <x v="15"/>
    <x v="1"/>
    <n v="3400"/>
    <x v="1"/>
    <x v="3"/>
    <s v="RABEPRAZOLE SODIUM"/>
    <m/>
    <n v="1"/>
    <m/>
    <m/>
    <m/>
    <m/>
    <m/>
    <n v="1"/>
    <m/>
    <m/>
    <m/>
    <n v="1"/>
    <m/>
    <m/>
    <m/>
    <n v="1"/>
    <m/>
    <m/>
    <m/>
    <m/>
    <n v="1"/>
    <m/>
    <m/>
    <m/>
    <n v="1"/>
    <m/>
    <m/>
    <m/>
    <m/>
    <n v="6"/>
  </r>
  <r>
    <x v="15"/>
    <x v="1"/>
    <n v="4086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99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727"/>
    <x v="1"/>
    <x v="3"/>
    <s v="RABEPRAZOLE SODIUM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7091"/>
    <x v="1"/>
    <x v="1"/>
    <s v="RANITIDINE HCL"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</r>
  <r>
    <x v="15"/>
    <x v="1"/>
    <n v="713"/>
    <x v="0"/>
    <x v="3"/>
    <s v="OMEPRAZOLE"/>
    <n v="1"/>
    <m/>
    <m/>
    <m/>
    <m/>
    <m/>
    <m/>
    <m/>
    <m/>
    <m/>
    <m/>
    <m/>
    <n v="1"/>
    <m/>
    <m/>
    <m/>
    <m/>
    <m/>
    <m/>
    <n v="1"/>
    <m/>
    <m/>
    <m/>
    <m/>
    <n v="1"/>
    <m/>
    <m/>
    <m/>
    <m/>
    <n v="4"/>
  </r>
  <r>
    <x v="15"/>
    <x v="1"/>
    <n v="3558"/>
    <x v="0"/>
    <x v="3"/>
    <s v="LANSOPRAZOLE"/>
    <m/>
    <m/>
    <n v="1"/>
    <m/>
    <m/>
    <m/>
    <m/>
    <m/>
    <n v="1"/>
    <m/>
    <m/>
    <m/>
    <n v="1"/>
    <m/>
    <m/>
    <m/>
    <n v="1"/>
    <m/>
    <m/>
    <n v="1"/>
    <m/>
    <m/>
    <m/>
    <m/>
    <n v="1"/>
    <n v="1"/>
    <n v="1"/>
    <n v="1"/>
    <n v="1"/>
    <n v="10"/>
  </r>
  <r>
    <x v="15"/>
    <x v="1"/>
    <n v="4540"/>
    <x v="0"/>
    <x v="3"/>
    <s v="RABEPRAZOLE SODIUM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</r>
  <r>
    <x v="15"/>
    <x v="1"/>
    <n v="8173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250"/>
    <x v="0"/>
    <x v="3"/>
    <s v="RABEPRAZOLE SOD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5"/>
    <x v="1"/>
    <n v="8961"/>
    <x v="0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1129"/>
    <x v="0"/>
    <x v="3"/>
    <s v="RABEPRAZOLE SODIUM"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n v="2"/>
  </r>
  <r>
    <x v="15"/>
    <x v="1"/>
    <n v="11417"/>
    <x v="0"/>
    <x v="1"/>
    <s v="RANITIDINE HCL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</r>
  <r>
    <x v="15"/>
    <x v="1"/>
    <n v="11417"/>
    <x v="0"/>
    <x v="3"/>
    <s v="PANTOPRAZOLE SODIUM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5"/>
    <x v="1"/>
    <n v="11531"/>
    <x v="0"/>
    <x v="3"/>
    <s v="ESOMEPRAZOLE MAGNESIUM"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n v="2"/>
  </r>
  <r>
    <x v="15"/>
    <x v="1"/>
    <n v="11653"/>
    <x v="0"/>
    <x v="3"/>
    <s v="RABEPRAZOLE SODIUM"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12515"/>
    <x v="0"/>
    <x v="3"/>
    <s v="RABEPRAZOLE SODIUM"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</r>
  <r>
    <x v="15"/>
    <x v="1"/>
    <n v="14127"/>
    <x v="0"/>
    <x v="3"/>
    <s v="PANTO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1772"/>
    <x v="0"/>
    <x v="3"/>
    <s v="RABEPRAZOLE SODIUM"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n v="2"/>
  </r>
  <r>
    <x v="15"/>
    <x v="1"/>
    <n v="796"/>
    <x v="1"/>
    <x v="3"/>
    <s v="ESOMEPRAZOLE MAGNESIUM"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n v="2"/>
  </r>
  <r>
    <x v="15"/>
    <x v="1"/>
    <n v="179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279"/>
    <x v="1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n v="2"/>
  </r>
  <r>
    <x v="15"/>
    <x v="1"/>
    <n v="7668"/>
    <x v="1"/>
    <x v="3"/>
    <s v="RABEPRAZOLE SOD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9568"/>
    <x v="1"/>
    <x v="1"/>
    <s v="RANITIDINE HCL"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n v="2"/>
  </r>
  <r>
    <x v="15"/>
    <x v="1"/>
    <n v="10565"/>
    <x v="1"/>
    <x v="1"/>
    <s v="RANITIDINE HCL"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n v="2"/>
  </r>
  <r>
    <x v="15"/>
    <x v="1"/>
    <n v="10565"/>
    <x v="1"/>
    <x v="3"/>
    <s v="PANTO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2060"/>
    <x v="1"/>
    <x v="3"/>
    <s v="RABEPRAZOLE SODIUM"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</r>
  <r>
    <x v="15"/>
    <x v="1"/>
    <n v="18613"/>
    <x v="1"/>
    <x v="3"/>
    <s v="RABEPRAZOLE SOD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5"/>
    <x v="1"/>
    <n v="19863"/>
    <x v="1"/>
    <x v="3"/>
    <s v="RABEPRAZOLE SODIUM"/>
    <m/>
    <m/>
    <n v="1"/>
    <m/>
    <m/>
    <m/>
    <m/>
    <m/>
    <m/>
    <n v="1"/>
    <m/>
    <m/>
    <m/>
    <m/>
    <m/>
    <m/>
    <m/>
    <m/>
    <m/>
    <m/>
    <m/>
    <m/>
    <m/>
    <m/>
    <m/>
    <m/>
    <m/>
    <m/>
    <m/>
    <n v="2"/>
  </r>
  <r>
    <x v="15"/>
    <x v="1"/>
    <n v="22347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7716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417"/>
    <x v="0"/>
    <x v="3"/>
    <s v="RABEPRAZOLE SODIUM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</r>
  <r>
    <x v="15"/>
    <x v="1"/>
    <n v="33535"/>
    <x v="1"/>
    <x v="3"/>
    <s v="PANTOPRAZOLE SODIUM"/>
    <m/>
    <m/>
    <m/>
    <m/>
    <m/>
    <m/>
    <m/>
    <m/>
    <m/>
    <m/>
    <m/>
    <m/>
    <m/>
    <m/>
    <m/>
    <m/>
    <n v="1"/>
    <m/>
    <m/>
    <n v="1"/>
    <m/>
    <m/>
    <m/>
    <m/>
    <n v="1"/>
    <m/>
    <m/>
    <m/>
    <m/>
    <n v="3"/>
  </r>
  <r>
    <x v="15"/>
    <x v="1"/>
    <n v="33535"/>
    <x v="1"/>
    <x v="3"/>
    <s v="RABEPRAZOLE SODIUM"/>
    <m/>
    <m/>
    <m/>
    <n v="2"/>
    <m/>
    <m/>
    <m/>
    <n v="1"/>
    <m/>
    <m/>
    <m/>
    <n v="1"/>
    <m/>
    <m/>
    <m/>
    <m/>
    <n v="1"/>
    <m/>
    <m/>
    <m/>
    <m/>
    <m/>
    <m/>
    <m/>
    <m/>
    <m/>
    <m/>
    <m/>
    <m/>
    <n v="5"/>
  </r>
  <r>
    <x v="15"/>
    <x v="1"/>
    <n v="2067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067"/>
    <x v="0"/>
    <x v="3"/>
    <s v="OMEPRAZOLE MAGNESIUM"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n v="2"/>
  </r>
  <r>
    <x v="15"/>
    <x v="1"/>
    <n v="2439"/>
    <x v="0"/>
    <x v="3"/>
    <s v="RABEPRAZOLE SODIUM"/>
    <n v="1"/>
    <m/>
    <m/>
    <m/>
    <m/>
    <m/>
    <m/>
    <m/>
    <m/>
    <m/>
    <m/>
    <m/>
    <m/>
    <m/>
    <m/>
    <n v="3"/>
    <m/>
    <n v="1"/>
    <m/>
    <m/>
    <m/>
    <m/>
    <m/>
    <m/>
    <m/>
    <m/>
    <m/>
    <m/>
    <m/>
    <n v="5"/>
  </r>
  <r>
    <x v="15"/>
    <x v="1"/>
    <n v="4144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260"/>
    <x v="0"/>
    <x v="3"/>
    <s v="ESOMEPRAZOLE MAGNES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891"/>
    <x v="0"/>
    <x v="3"/>
    <s v="PANTOPRAZOLE MAGNESIUM"/>
    <m/>
    <m/>
    <m/>
    <m/>
    <m/>
    <m/>
    <m/>
    <m/>
    <m/>
    <m/>
    <n v="1"/>
    <m/>
    <m/>
    <m/>
    <n v="1"/>
    <m/>
    <m/>
    <m/>
    <n v="1"/>
    <m/>
    <m/>
    <m/>
    <m/>
    <n v="1"/>
    <m/>
    <m/>
    <m/>
    <m/>
    <m/>
    <n v="4"/>
  </r>
  <r>
    <x v="15"/>
    <x v="1"/>
    <n v="5891"/>
    <x v="0"/>
    <x v="3"/>
    <s v="RABEPRAZOLE SODIUM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n v="2"/>
  </r>
  <r>
    <x v="15"/>
    <x v="1"/>
    <n v="10263"/>
    <x v="0"/>
    <x v="3"/>
    <s v="RABEPRAZOLE SODIUM"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n v="2"/>
  </r>
  <r>
    <x v="15"/>
    <x v="1"/>
    <n v="13071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0450"/>
    <x v="0"/>
    <x v="3"/>
    <s v="RABEPRAZOLE SODIUM"/>
    <m/>
    <m/>
    <n v="2"/>
    <m/>
    <m/>
    <m/>
    <m/>
    <n v="1"/>
    <m/>
    <m/>
    <n v="3"/>
    <m/>
    <m/>
    <m/>
    <m/>
    <m/>
    <m/>
    <m/>
    <m/>
    <m/>
    <m/>
    <m/>
    <m/>
    <m/>
    <m/>
    <m/>
    <m/>
    <m/>
    <m/>
    <n v="6"/>
  </r>
  <r>
    <x v="15"/>
    <x v="1"/>
    <n v="3932"/>
    <x v="1"/>
    <x v="3"/>
    <s v="RABEPRAZOLE SODIUM"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6641"/>
    <x v="1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955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955"/>
    <x v="1"/>
    <x v="3"/>
    <s v="RABEPRAZOLE SODIUM"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n v="2"/>
  </r>
  <r>
    <x v="15"/>
    <x v="1"/>
    <n v="8223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8348"/>
    <x v="1"/>
    <x v="3"/>
    <s v="ESOMEPRAZOLE MAGNES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8503"/>
    <x v="1"/>
    <x v="4"/>
    <s v="SUCRALFATE"/>
    <m/>
    <n v="1"/>
    <m/>
    <m/>
    <m/>
    <n v="1"/>
    <m/>
    <m/>
    <m/>
    <m/>
    <m/>
    <n v="1"/>
    <m/>
    <m/>
    <n v="1"/>
    <m/>
    <m/>
    <m/>
    <n v="1"/>
    <m/>
    <m/>
    <m/>
    <n v="1"/>
    <m/>
    <m/>
    <n v="1"/>
    <m/>
    <m/>
    <m/>
    <n v="7"/>
  </r>
  <r>
    <x v="15"/>
    <x v="1"/>
    <n v="8503"/>
    <x v="1"/>
    <x v="3"/>
    <s v="RABEPRAZOLE SODIUM"/>
    <m/>
    <n v="1"/>
    <m/>
    <m/>
    <m/>
    <n v="1"/>
    <m/>
    <m/>
    <m/>
    <m/>
    <m/>
    <n v="1"/>
    <m/>
    <m/>
    <m/>
    <m/>
    <m/>
    <m/>
    <m/>
    <m/>
    <n v="2"/>
    <m/>
    <m/>
    <m/>
    <m/>
    <m/>
    <m/>
    <m/>
    <m/>
    <n v="5"/>
  </r>
  <r>
    <x v="15"/>
    <x v="1"/>
    <n v="8559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2968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2968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3070"/>
    <x v="1"/>
    <x v="3"/>
    <s v="RABEPRAZOLE SOD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7188"/>
    <x v="0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734"/>
    <x v="0"/>
    <x v="3"/>
    <s v="OMEPRAZOLE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734"/>
    <x v="0"/>
    <x v="3"/>
    <s v="OMEPRAZOLE MAGNESIUM"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n v="2"/>
  </r>
  <r>
    <x v="15"/>
    <x v="1"/>
    <n v="663"/>
    <x v="1"/>
    <x v="1"/>
    <s v="RANITIDINE HCL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663"/>
    <x v="1"/>
    <x v="3"/>
    <s v="PANTOPRAZOLE MAGNESIUM"/>
    <m/>
    <n v="1"/>
    <m/>
    <m/>
    <m/>
    <n v="1"/>
    <m/>
    <m/>
    <m/>
    <m/>
    <m/>
    <m/>
    <m/>
    <m/>
    <m/>
    <m/>
    <m/>
    <n v="1"/>
    <m/>
    <m/>
    <m/>
    <m/>
    <m/>
    <m/>
    <m/>
    <m/>
    <m/>
    <m/>
    <m/>
    <n v="3"/>
  </r>
  <r>
    <x v="15"/>
    <x v="1"/>
    <n v="6323"/>
    <x v="1"/>
    <x v="3"/>
    <s v="RABEPRAZOLE SODIUM"/>
    <n v="1"/>
    <m/>
    <m/>
    <m/>
    <m/>
    <m/>
    <m/>
    <m/>
    <m/>
    <m/>
    <m/>
    <m/>
    <m/>
    <m/>
    <n v="1"/>
    <m/>
    <m/>
    <m/>
    <m/>
    <m/>
    <m/>
    <m/>
    <m/>
    <m/>
    <m/>
    <m/>
    <n v="1"/>
    <m/>
    <m/>
    <n v="3"/>
  </r>
  <r>
    <x v="15"/>
    <x v="1"/>
    <n v="10200"/>
    <x v="1"/>
    <x v="3"/>
    <s v="RABEPRAZOLE SODIUM"/>
    <n v="1"/>
    <n v="1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n v="21"/>
  </r>
  <r>
    <x v="15"/>
    <x v="1"/>
    <n v="19144"/>
    <x v="1"/>
    <x v="3"/>
    <s v="RABEPRAZOLE SOD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5"/>
    <x v="1"/>
    <n v="6109"/>
    <x v="0"/>
    <x v="0"/>
    <s v="ATORVASTATIN CALCIUM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6437"/>
    <x v="0"/>
    <x v="0"/>
    <s v="ROSUVASTATIN CALCIUM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</r>
  <r>
    <x v="15"/>
    <x v="1"/>
    <n v="10039"/>
    <x v="0"/>
    <x v="0"/>
    <s v="SIMVASTATIN"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n v="2"/>
  </r>
  <r>
    <x v="15"/>
    <x v="1"/>
    <n v="806"/>
    <x v="1"/>
    <x v="0"/>
    <s v="ATORVASTATIN CALCIUM"/>
    <m/>
    <m/>
    <n v="1"/>
    <m/>
    <m/>
    <m/>
    <m/>
    <m/>
    <m/>
    <m/>
    <m/>
    <m/>
    <n v="1"/>
    <m/>
    <m/>
    <m/>
    <m/>
    <m/>
    <m/>
    <m/>
    <m/>
    <m/>
    <m/>
    <m/>
    <m/>
    <m/>
    <m/>
    <n v="1"/>
    <m/>
    <n v="3"/>
  </r>
  <r>
    <x v="15"/>
    <x v="1"/>
    <n v="2190"/>
    <x v="1"/>
    <x v="0"/>
    <s v="ATORVASTATIN CALCIUM"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n v="2"/>
  </r>
  <r>
    <x v="15"/>
    <x v="1"/>
    <n v="3502"/>
    <x v="1"/>
    <x v="0"/>
    <s v="ATORVASTATIN CALCIUM"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n v="2"/>
  </r>
  <r>
    <x v="15"/>
    <x v="1"/>
    <n v="5315"/>
    <x v="1"/>
    <x v="0"/>
    <s v="FLUVASTATIN SODIUM"/>
    <n v="1"/>
    <m/>
    <m/>
    <m/>
    <m/>
    <m/>
    <m/>
    <m/>
    <n v="1"/>
    <m/>
    <m/>
    <m/>
    <n v="1"/>
    <m/>
    <m/>
    <m/>
    <n v="1"/>
    <m/>
    <m/>
    <m/>
    <m/>
    <n v="1"/>
    <m/>
    <m/>
    <m/>
    <n v="1"/>
    <m/>
    <m/>
    <m/>
    <n v="6"/>
  </r>
  <r>
    <x v="15"/>
    <x v="1"/>
    <n v="5387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990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6060"/>
    <x v="1"/>
    <x v="0"/>
    <s v="ROSUVASTATIN CALCIUM"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n v="2"/>
  </r>
  <r>
    <x v="15"/>
    <x v="1"/>
    <n v="7727"/>
    <x v="1"/>
    <x v="0"/>
    <s v="SIMVASTATIN"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n v="2"/>
  </r>
  <r>
    <x v="15"/>
    <x v="1"/>
    <n v="8305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x v="15"/>
    <x v="1"/>
    <n v="10753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1249"/>
    <x v="1"/>
    <x v="0"/>
    <s v="SIMVASTATIN"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</r>
  <r>
    <x v="15"/>
    <x v="1"/>
    <n v="13044"/>
    <x v="1"/>
    <x v="0"/>
    <s v="ROSUVASTATIN CALCIUM"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13582"/>
    <x v="1"/>
    <x v="0"/>
    <s v="ROSUVASTATIN CALCIUM"/>
    <m/>
    <m/>
    <n v="1"/>
    <m/>
    <m/>
    <m/>
    <m/>
    <m/>
    <m/>
    <m/>
    <m/>
    <m/>
    <m/>
    <m/>
    <n v="2"/>
    <m/>
    <m/>
    <m/>
    <m/>
    <m/>
    <m/>
    <m/>
    <m/>
    <m/>
    <m/>
    <m/>
    <m/>
    <m/>
    <m/>
    <n v="3"/>
  </r>
  <r>
    <x v="15"/>
    <x v="1"/>
    <n v="14126"/>
    <x v="1"/>
    <x v="0"/>
    <s v="ATORVASTATIN CALCIUM"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n v="2"/>
  </r>
  <r>
    <x v="15"/>
    <x v="1"/>
    <n v="17187"/>
    <x v="1"/>
    <x v="8"/>
    <s v="FENOFIBRATE, MICROCOATED"/>
    <m/>
    <m/>
    <n v="2"/>
    <m/>
    <m/>
    <m/>
    <m/>
    <m/>
    <m/>
    <m/>
    <m/>
    <m/>
    <m/>
    <m/>
    <m/>
    <m/>
    <m/>
    <n v="1"/>
    <m/>
    <m/>
    <m/>
    <m/>
    <m/>
    <m/>
    <m/>
    <m/>
    <m/>
    <m/>
    <m/>
    <n v="3"/>
  </r>
  <r>
    <x v="15"/>
    <x v="1"/>
    <n v="17187"/>
    <x v="1"/>
    <x v="8"/>
    <s v="FENOFIBRATE, MICRONIZED"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</r>
  <r>
    <x v="15"/>
    <x v="1"/>
    <n v="1718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7554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9214"/>
    <x v="1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5"/>
    <x v="1"/>
    <n v="21273"/>
    <x v="1"/>
    <x v="8"/>
    <s v="FENOFIBRATE, MICROCOATED"/>
    <m/>
    <m/>
    <n v="1"/>
    <m/>
    <m/>
    <m/>
    <m/>
    <m/>
    <m/>
    <m/>
    <m/>
    <m/>
    <m/>
    <n v="2"/>
    <m/>
    <m/>
    <m/>
    <m/>
    <m/>
    <m/>
    <m/>
    <m/>
    <m/>
    <m/>
    <m/>
    <m/>
    <m/>
    <m/>
    <m/>
    <n v="3"/>
  </r>
  <r>
    <x v="15"/>
    <x v="1"/>
    <n v="21273"/>
    <x v="1"/>
    <x v="8"/>
    <s v="FENOFIBRATE, MICRONIZED"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</r>
  <r>
    <x v="15"/>
    <x v="1"/>
    <n v="21767"/>
    <x v="1"/>
    <x v="0"/>
    <s v="ATORVASTATIN CALCIUM"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n v="2"/>
  </r>
  <r>
    <x v="15"/>
    <x v="1"/>
    <n v="23597"/>
    <x v="1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23616"/>
    <x v="1"/>
    <x v="0"/>
    <s v="ATORVASTATIN CALCIUM"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n v="2"/>
  </r>
  <r>
    <x v="15"/>
    <x v="1"/>
    <n v="27386"/>
    <x v="1"/>
    <x v="0"/>
    <s v="ATORVASTATIN CALCIUM"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n v="2"/>
  </r>
  <r>
    <x v="15"/>
    <x v="1"/>
    <n v="28384"/>
    <x v="1"/>
    <x v="0"/>
    <s v="SIMVASTATIN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</r>
  <r>
    <x v="15"/>
    <x v="1"/>
    <n v="28872"/>
    <x v="1"/>
    <x v="0"/>
    <s v="ATORVASTATIN CALCIUM"/>
    <m/>
    <m/>
    <n v="1"/>
    <m/>
    <m/>
    <m/>
    <m/>
    <m/>
    <m/>
    <m/>
    <m/>
    <m/>
    <m/>
    <m/>
    <m/>
    <m/>
    <n v="1"/>
    <m/>
    <m/>
    <m/>
    <m/>
    <m/>
    <m/>
    <m/>
    <m/>
    <m/>
    <m/>
    <n v="1"/>
    <m/>
    <n v="3"/>
  </r>
  <r>
    <x v="15"/>
    <x v="1"/>
    <n v="33099"/>
    <x v="1"/>
    <x v="0"/>
    <s v="SIMVASTATIN"/>
    <m/>
    <m/>
    <m/>
    <m/>
    <m/>
    <m/>
    <m/>
    <m/>
    <m/>
    <m/>
    <m/>
    <n v="2"/>
    <m/>
    <m/>
    <m/>
    <m/>
    <m/>
    <m/>
    <m/>
    <m/>
    <m/>
    <m/>
    <m/>
    <n v="1"/>
    <m/>
    <m/>
    <m/>
    <m/>
    <m/>
    <n v="3"/>
  </r>
  <r>
    <x v="15"/>
    <x v="1"/>
    <n v="5938"/>
    <x v="0"/>
    <x v="0"/>
    <s v="ATOR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n v="1"/>
    <m/>
    <n v="3"/>
  </r>
  <r>
    <x v="15"/>
    <x v="1"/>
    <n v="6247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7271"/>
    <x v="0"/>
    <x v="0"/>
    <s v="SIMVASTATIN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8695"/>
    <x v="0"/>
    <x v="0"/>
    <s v="ATOR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9740"/>
    <x v="0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9740"/>
    <x v="0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10114"/>
    <x v="0"/>
    <x v="0"/>
    <s v="ATORVASTATIN CALCIUM"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</r>
  <r>
    <x v="15"/>
    <x v="1"/>
    <n v="21772"/>
    <x v="0"/>
    <x v="0"/>
    <s v="ATORVASTATIN CALCIUM"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n v="2"/>
  </r>
  <r>
    <x v="15"/>
    <x v="1"/>
    <n v="3607"/>
    <x v="1"/>
    <x v="0"/>
    <s v="SIMVASTATIN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5444"/>
    <x v="1"/>
    <x v="0"/>
    <s v="ROSUVASTATIN CALCIUM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15"/>
    <x v="1"/>
    <n v="6083"/>
    <x v="1"/>
    <x v="0"/>
    <s v="ATORVASTATIN CALCIUM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n v="3"/>
  </r>
  <r>
    <x v="15"/>
    <x v="1"/>
    <n v="7311"/>
    <x v="1"/>
    <x v="0"/>
    <s v="ATORVASTATIN CALCIUM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</r>
  <r>
    <x v="15"/>
    <x v="1"/>
    <n v="9706"/>
    <x v="1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9706"/>
    <x v="1"/>
    <x v="6"/>
    <s v="EZETIMIBE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0565"/>
    <x v="1"/>
    <x v="0"/>
    <s v="ATORVASTATIN CALCIUM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n v="2"/>
  </r>
  <r>
    <x v="15"/>
    <x v="1"/>
    <n v="10705"/>
    <x v="1"/>
    <x v="0"/>
    <s v="ATORVASTATIN CALCIUM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</r>
  <r>
    <x v="15"/>
    <x v="1"/>
    <n v="13066"/>
    <x v="1"/>
    <x v="0"/>
    <s v="SIMVASTATIN"/>
    <m/>
    <m/>
    <m/>
    <m/>
    <m/>
    <m/>
    <m/>
    <m/>
    <m/>
    <m/>
    <m/>
    <m/>
    <m/>
    <m/>
    <n v="2"/>
    <m/>
    <m/>
    <m/>
    <m/>
    <m/>
    <m/>
    <n v="1"/>
    <m/>
    <m/>
    <m/>
    <m/>
    <n v="1"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5C26D-DA5A-3848-A0C2-84D182B6F7D6}" name="PivotTable2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T17" firstHeaderRow="1" firstDataRow="3" firstDataCol="1" rowPageCount="1" colPageCount="1"/>
  <pivotFields count="53"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Row" showAll="0">
      <items count="11">
        <item x="9"/>
        <item x="8"/>
        <item x="1"/>
        <item x="0"/>
        <item x="5"/>
        <item x="7"/>
        <item x="4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"/>
    <field x="0"/>
  </colFields>
  <colItems count="1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1"/>
    </i>
    <i t="grand">
      <x/>
    </i>
  </colItems>
  <pageFields count="1">
    <pageField fld="3" hier="-1"/>
  </pageFields>
  <dataFields count="1">
    <dataField name="Sum of SCRIPTS" fld="52" baseField="0" baseItem="0"/>
  </dataFields>
  <formats count="13">
    <format dxfId="261">
      <pivotArea collapsedLevelsAreSubtotals="1" fieldPosition="0">
        <references count="1">
          <reference field="4" count="1">
            <x v="2"/>
          </reference>
        </references>
      </pivotArea>
    </format>
    <format dxfId="260">
      <pivotArea dataOnly="0" labelOnly="1" fieldPosition="0">
        <references count="1">
          <reference field="4" count="1">
            <x v="2"/>
          </reference>
        </references>
      </pivotArea>
    </format>
    <format dxfId="259">
      <pivotArea collapsedLevelsAreSubtotals="1" fieldPosition="0">
        <references count="1">
          <reference field="4" count="1">
            <x v="9"/>
          </reference>
        </references>
      </pivotArea>
    </format>
    <format dxfId="258">
      <pivotArea dataOnly="0" labelOnly="1" fieldPosition="0">
        <references count="1">
          <reference field="4" count="1">
            <x v="9"/>
          </reference>
        </references>
      </pivotArea>
    </format>
    <format dxfId="257">
      <pivotArea collapsedLevelsAreSubtotals="1" fieldPosition="0">
        <references count="1">
          <reference field="4" count="1">
            <x v="3"/>
          </reference>
        </references>
      </pivotArea>
    </format>
    <format dxfId="256">
      <pivotArea dataOnly="0" labelOnly="1" fieldPosition="0">
        <references count="1">
          <reference field="4" count="1">
            <x v="3"/>
          </reference>
        </references>
      </pivotArea>
    </format>
    <format dxfId="255">
      <pivotArea collapsedLevelsAreSubtotals="1" fieldPosition="0">
        <references count="3">
          <reference field="0" count="1" selected="0">
            <x v="11"/>
          </reference>
          <reference field="1" count="1" selected="0">
            <x v="1"/>
          </reference>
          <reference field="4" count="1">
            <x v="3"/>
          </reference>
        </references>
      </pivotArea>
    </format>
    <format dxfId="254">
      <pivotArea collapsedLevelsAreSubtotals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4" count="1">
            <x v="9"/>
          </reference>
        </references>
      </pivotArea>
    </format>
    <format dxfId="253">
      <pivotArea collapsedLevelsAreSubtotals="1" fieldPosition="0">
        <references count="3">
          <reference field="0" count="1" selected="0">
            <x v="9"/>
          </reference>
          <reference field="1" count="1" selected="0">
            <x v="1"/>
          </reference>
          <reference field="4" count="1">
            <x v="2"/>
          </reference>
        </references>
      </pivotArea>
    </format>
    <format dxfId="252">
      <pivotArea collapsedLevelsAreSubtotals="1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4" count="1">
            <x v="3"/>
          </reference>
        </references>
      </pivotArea>
    </format>
    <format dxfId="251">
      <pivotArea collapsedLevelsAreSubtotals="1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4" count="1">
            <x v="9"/>
          </reference>
        </references>
      </pivotArea>
    </format>
    <format dxfId="250">
      <pivotArea collapsedLevelsAreSubtotals="1" fieldPosition="0">
        <references count="3">
          <reference field="0" count="1" selected="0">
            <x v="13"/>
          </reference>
          <reference field="1" count="1" selected="0">
            <x v="1"/>
          </reference>
          <reference field="4" count="1">
            <x v="2"/>
          </reference>
        </references>
      </pivotArea>
    </format>
    <format dxfId="249">
      <pivotArea collapsedLevelsAreSubtotals="1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94B86-ACF1-8545-8450-271EB296113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T16" firstHeaderRow="1" firstDataRow="3" firstDataCol="1" rowPageCount="1" colPageCount="1"/>
  <pivotFields count="36"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Row" showAll="0">
      <items count="11">
        <item x="9"/>
        <item x="8"/>
        <item x="1"/>
        <item x="0"/>
        <item x="5"/>
        <item x="7"/>
        <item x="4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"/>
    <field x="0"/>
  </colFields>
  <colItems count="1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1"/>
    </i>
    <i t="grand">
      <x/>
    </i>
  </colItems>
  <pageFields count="1">
    <pageField fld="3" hier="-1"/>
  </pageFields>
  <dataFields count="1">
    <dataField name="Sum of SCRIPTS" fld="35" baseField="0" baseItem="0"/>
  </dataFields>
  <formats count="10">
    <format dxfId="106">
      <pivotArea collapsedLevelsAreSubtotals="1" fieldPosition="0">
        <references count="1">
          <reference field="4" count="1">
            <x v="9"/>
          </reference>
        </references>
      </pivotArea>
    </format>
    <format dxfId="105">
      <pivotArea dataOnly="0" labelOnly="1" fieldPosition="0">
        <references count="1">
          <reference field="4" count="1">
            <x v="9"/>
          </reference>
        </references>
      </pivotArea>
    </format>
    <format dxfId="104">
      <pivotArea collapsedLevelsAreSubtotals="1" fieldPosition="0">
        <references count="1">
          <reference field="4" count="2">
            <x v="2"/>
            <x v="3"/>
          </reference>
        </references>
      </pivotArea>
    </format>
    <format dxfId="103">
      <pivotArea dataOnly="0" labelOnly="1" fieldPosition="0">
        <references count="1">
          <reference field="4" count="2">
            <x v="2"/>
            <x v="3"/>
          </reference>
        </references>
      </pivotArea>
    </format>
    <format dxfId="102">
      <pivotArea collapsedLevelsAreSubtotals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4" count="1">
            <x v="3"/>
          </reference>
        </references>
      </pivotArea>
    </format>
    <format dxfId="101">
      <pivotArea collapsedLevelsAreSubtotals="1" fieldPosition="0">
        <references count="3">
          <reference field="0" count="1" selected="0">
            <x v="6"/>
          </reference>
          <reference field="1" count="1" selected="0">
            <x v="0"/>
          </reference>
          <reference field="4" count="1">
            <x v="9"/>
          </reference>
        </references>
      </pivotArea>
    </format>
    <format dxfId="100">
      <pivotArea collapsedLevelsAreSubtotals="1" fieldPosition="0">
        <references count="3">
          <reference field="0" count="1" selected="0">
            <x v="9"/>
          </reference>
          <reference field="1" count="1" selected="0">
            <x v="1"/>
          </reference>
          <reference field="4" count="1">
            <x v="2"/>
          </reference>
        </references>
      </pivotArea>
    </format>
    <format dxfId="99">
      <pivotArea collapsedLevelsAreSubtotals="1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4" count="1">
            <x v="2"/>
          </reference>
        </references>
      </pivotArea>
    </format>
    <format dxfId="98">
      <pivotArea collapsedLevelsAreSubtotals="1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4" count="1">
            <x v="3"/>
          </reference>
        </references>
      </pivotArea>
    </format>
    <format dxfId="97">
      <pivotArea collapsedLevelsAreSubtotals="1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4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E936D8-B33B-2046-8358-F098A001E0AF}" name="Pre" displayName="Pre" ref="A1:BA3136" totalsRowCount="1">
  <autoFilter ref="A1:BA3135" xr:uid="{D5E936D8-B33B-2046-8358-F098A001E0AF}"/>
  <tableColumns count="53">
    <tableColumn id="1" xr3:uid="{4724449D-3FDA-5A45-9011-84FBE00D8B93}" name="DOCTOR" totalsRowLabel="Total"/>
    <tableColumn id="2" xr3:uid="{13C711B1-6640-A04A-BF37-D6CB0C0E7F78}" name="GROUPING"/>
    <tableColumn id="3" xr3:uid="{E7C3AC9E-66F4-AF47-8EF7-EE11BD994D94}" name="STUDY ID"/>
    <tableColumn id="4" xr3:uid="{366459F8-D988-8D4C-92B4-5D2243E23FBD}" name="Sex"/>
    <tableColumn id="5" xr3:uid="{83F65FA4-3A21-CA4A-8538-474F796D7C6B}" name="CATEGORY"/>
    <tableColumn id="6" xr3:uid="{DAE938F7-328E-454D-873E-0BBC1851879E}" name="DRUG"/>
    <tableColumn id="8" xr3:uid="{6F7C8F66-8AA4-5345-B980-7699D8119739}" name="1" totalsRowFunction="sum"/>
    <tableColumn id="9" xr3:uid="{A85A7498-11FD-1E4E-81C6-2F3F843F810D}" name="2" totalsRowFunction="sum"/>
    <tableColumn id="10" xr3:uid="{2C175194-7613-674E-9A71-A0C57BB11C0C}" name="3" totalsRowFunction="sum"/>
    <tableColumn id="11" xr3:uid="{BD49D39C-9AE5-814D-BEAD-494CBAB1FAF1}" name="4" totalsRowFunction="sum"/>
    <tableColumn id="12" xr3:uid="{6EF7C60E-5D63-EB4A-9927-50E70F8E92DC}" name="5" totalsRowFunction="sum"/>
    <tableColumn id="13" xr3:uid="{2E2CE938-D759-AA47-9281-1FF213ABBCFB}" name="6" totalsRowFunction="sum"/>
    <tableColumn id="14" xr3:uid="{588F3B44-EE8D-564C-A8D6-B3E5C89A5078}" name="7" totalsRowFunction="sum"/>
    <tableColumn id="15" xr3:uid="{42DE7C2C-63A1-4940-A74C-565915F898A9}" name="8" totalsRowFunction="sum"/>
    <tableColumn id="16" xr3:uid="{423AEC7C-5131-D84D-ACE5-0EA036EC11B8}" name="9" totalsRowFunction="sum"/>
    <tableColumn id="17" xr3:uid="{E709F174-E239-874A-A346-37F6DE573582}" name="10" totalsRowFunction="sum"/>
    <tableColumn id="18" xr3:uid="{34D1D179-8C85-AE4B-A887-87DFD3FBBE5C}" name="11" totalsRowFunction="sum"/>
    <tableColumn id="19" xr3:uid="{0C39E01E-E756-8141-8023-6712A8A1C0C0}" name="12" totalsRowFunction="sum"/>
    <tableColumn id="20" xr3:uid="{56CDC959-8630-1C44-8628-5F25442C298A}" name="13" totalsRowFunction="sum"/>
    <tableColumn id="21" xr3:uid="{21BBD2DA-8010-C542-84F5-661BAF3D518D}" name="14" totalsRowFunction="sum"/>
    <tableColumn id="22" xr3:uid="{1CD160C7-6BA8-0043-B599-E647400C75A9}" name="15" totalsRowFunction="sum"/>
    <tableColumn id="23" xr3:uid="{12E7B4CD-1CD8-5D4F-9CBD-66774C945A36}" name="16" totalsRowFunction="sum"/>
    <tableColumn id="24" xr3:uid="{F0DC2AFF-ABE5-4341-9CB1-19FFA83F0254}" name="17" totalsRowFunction="sum"/>
    <tableColumn id="25" xr3:uid="{CB246F66-793C-9D4F-A891-5BF071223811}" name="18" totalsRowFunction="sum"/>
    <tableColumn id="26" xr3:uid="{F3A230D7-45BD-7741-B195-ACC1065BB25F}" name="19" totalsRowFunction="sum"/>
    <tableColumn id="27" xr3:uid="{DA628470-63E7-F341-9DD6-EAD563C65B13}" name="20" totalsRowFunction="sum"/>
    <tableColumn id="28" xr3:uid="{CED47EB7-570B-004B-ADEA-47F2CA6C24D7}" name="21" totalsRowFunction="sum"/>
    <tableColumn id="29" xr3:uid="{9AA69FFC-0302-FB4A-BEED-D8E8CFB59FA3}" name="22" totalsRowFunction="sum"/>
    <tableColumn id="30" xr3:uid="{1B6F59E7-B57E-2A41-8B1A-DA6645E40CA0}" name="23" totalsRowFunction="sum"/>
    <tableColumn id="31" xr3:uid="{6B5DDC96-0E9E-184E-BFA2-B4388B4E6A98}" name="24" totalsRowFunction="sum"/>
    <tableColumn id="32" xr3:uid="{1228FFC3-5B1A-2947-A18D-5D7ECE640F88}" name="25" totalsRowFunction="sum"/>
    <tableColumn id="33" xr3:uid="{5E680500-6F41-3347-B592-5CBCD688AEDF}" name="26" totalsRowFunction="sum"/>
    <tableColumn id="34" xr3:uid="{4827B748-CF2D-1C41-AEDE-566409990131}" name="27" totalsRowFunction="sum"/>
    <tableColumn id="35" xr3:uid="{D7CFE68A-4D68-5548-B547-423E948B3822}" name="28" totalsRowFunction="sum"/>
    <tableColumn id="36" xr3:uid="{E9CB74A2-5C14-7948-87AF-8A6ED4599FD1}" name="29" totalsRowFunction="sum"/>
    <tableColumn id="37" xr3:uid="{652464DF-7832-9148-A608-F970416C23E2}" name="30" totalsRowFunction="sum"/>
    <tableColumn id="38" xr3:uid="{FD215D8C-9CDD-4446-B6C5-7D92721DAD51}" name="31" totalsRowFunction="sum"/>
    <tableColumn id="39" xr3:uid="{A2F1F622-860C-0848-ADD5-221FB7C79CE1}" name="32" totalsRowFunction="sum"/>
    <tableColumn id="40" xr3:uid="{0C87A7F2-368E-984C-9E69-CACA4AABEBA1}" name="33" totalsRowFunction="sum"/>
    <tableColumn id="41" xr3:uid="{C12C61CC-BE8E-9E40-AC0F-D57691AC0315}" name="34" totalsRowFunction="sum"/>
    <tableColumn id="42" xr3:uid="{DAB36BAC-19BE-674E-B4AF-B55744EA8F21}" name="35" totalsRowFunction="sum"/>
    <tableColumn id="43" xr3:uid="{7FE65488-A1E5-4C48-9B7D-29EF88ED4F85}" name="36" totalsRowFunction="sum"/>
    <tableColumn id="44" xr3:uid="{7439F5A6-5030-3B42-9CE3-99E6A5ABD240}" name="37" totalsRowFunction="sum"/>
    <tableColumn id="45" xr3:uid="{36141AA4-8CCA-2A4B-93A8-48C31B9FCAF1}" name="38" totalsRowFunction="sum"/>
    <tableColumn id="46" xr3:uid="{6438AE42-0DC6-DA4F-80FE-99F2DDAFA2E6}" name="39" totalsRowFunction="sum"/>
    <tableColumn id="47" xr3:uid="{F5333C10-D3F2-0644-A221-0C96E201391A}" name="40" totalsRowFunction="sum"/>
    <tableColumn id="48" xr3:uid="{CB257FC1-C4A4-C947-9901-2EC4BABEBAB4}" name="41" totalsRowFunction="sum"/>
    <tableColumn id="49" xr3:uid="{575790C5-34B8-EE4F-844E-C6E63C5632C7}" name="42" totalsRowFunction="sum"/>
    <tableColumn id="50" xr3:uid="{51FAF858-F52D-5040-9D20-CED6B955B814}" name="43" totalsRowFunction="sum"/>
    <tableColumn id="51" xr3:uid="{53A85507-A193-3244-BB99-9C4EE9367749}" name="44" totalsRowFunction="sum"/>
    <tableColumn id="52" xr3:uid="{089B4BDA-5E61-BA4C-BD8E-9C1F59CF992B}" name="45" totalsRowFunction="sum"/>
    <tableColumn id="53" xr3:uid="{2CBC0AE2-A35E-1241-8EE9-9548C6F32D39}" name="46" totalsRowFunction="sum"/>
    <tableColumn id="54" xr3:uid="{981119FE-924F-5A45-B1F7-0D243E5C8B45}" name="SCRIPTS" totalsRowFunction="sum" dataDxfId="262">
      <calculatedColumnFormula>SUM(Pre[[#This Row],[1]:[46]])</calculatedColumnFormula>
    </tableColumn>
  </tableColumns>
  <tableStyleInfo name="TableStyleMedium9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C637A5-6D24-BF44-8183-C13ED15F2058}" name="Table11" displayName="Table11" ref="A2:AV13" totalsRowCount="1">
  <autoFilter ref="A2:AV12" xr:uid="{47C637A5-6D24-BF44-8183-C13ED15F2058}"/>
  <tableColumns count="48">
    <tableColumn id="1" xr3:uid="{EB1869EF-B0F3-BB43-8976-A77870A76E5D}" name="CATEGORY" totalsRowLabel="Total"/>
    <tableColumn id="2" xr3:uid="{2955F76B-E781-0242-9EEF-9B6F61B31B0E}" name="1" totalsRowFunction="sum" dataDxfId="248">
      <calculatedColumnFormula>SUMIFS(Pre[1],Pre[CATEGORY],Table11[[#This Row],[CATEGORY]])</calculatedColumnFormula>
    </tableColumn>
    <tableColumn id="3" xr3:uid="{01FB49EA-204B-1941-BBA8-16F4860756DA}" name="2" totalsRowFunction="sum" dataDxfId="247">
      <calculatedColumnFormula>SUMIFS(Pre[2],Pre[CATEGORY],Table11[[#This Row],[CATEGORY]])</calculatedColumnFormula>
    </tableColumn>
    <tableColumn id="4" xr3:uid="{AC3234C2-CF4E-1343-9F1D-8EEC09E6E2C2}" name="3" totalsRowFunction="sum" dataDxfId="246">
      <calculatedColumnFormula>SUMIFS(Pre[3],Pre[CATEGORY],Table11[[#This Row],[CATEGORY]])</calculatedColumnFormula>
    </tableColumn>
    <tableColumn id="5" xr3:uid="{EABBE847-C4C9-B243-B31D-A40BBEF10E99}" name="4" totalsRowFunction="sum" dataDxfId="245">
      <calculatedColumnFormula>SUMIFS(Pre[4],Pre[CATEGORY],Table11[[#This Row],[CATEGORY]])</calculatedColumnFormula>
    </tableColumn>
    <tableColumn id="6" xr3:uid="{61C7A02A-8901-2E4A-8FC8-0CBC2603741F}" name="5" totalsRowFunction="sum" dataDxfId="244">
      <calculatedColumnFormula>SUMIFS(Pre[5],Pre[CATEGORY],Table11[[#This Row],[CATEGORY]])</calculatedColumnFormula>
    </tableColumn>
    <tableColumn id="7" xr3:uid="{742DD8EB-3B01-9D4A-B0CF-3103B314DCD7}" name="6" totalsRowFunction="sum" dataDxfId="243">
      <calculatedColumnFormula>SUMIFS(Pre[6],Pre[CATEGORY],Table11[[#This Row],[CATEGORY]])</calculatedColumnFormula>
    </tableColumn>
    <tableColumn id="8" xr3:uid="{ABC70F40-9AA3-454C-9833-34FE316BCAFB}" name="7" totalsRowFunction="sum" dataDxfId="242">
      <calculatedColumnFormula>SUMIFS(Pre[7],Pre[CATEGORY],Table11[[#This Row],[CATEGORY]])</calculatedColumnFormula>
    </tableColumn>
    <tableColumn id="9" xr3:uid="{08DE59ED-4966-844D-B112-FFE1888908BA}" name="8" totalsRowFunction="sum" dataDxfId="241">
      <calculatedColumnFormula>SUMIFS(Pre[8],Pre[CATEGORY],Table11[[#This Row],[CATEGORY]])</calculatedColumnFormula>
    </tableColumn>
    <tableColumn id="10" xr3:uid="{C4C733D9-EF28-174F-A636-4F96C6031ADC}" name="9" totalsRowFunction="sum" dataDxfId="240">
      <calculatedColumnFormula>SUMIFS(Pre[9],Pre[CATEGORY],Table11[[#This Row],[CATEGORY]])</calculatedColumnFormula>
    </tableColumn>
    <tableColumn id="11" xr3:uid="{AECC2401-632A-E244-9CEC-3B2D3FDBC4A8}" name="10" totalsRowFunction="sum" dataDxfId="239">
      <calculatedColumnFormula>SUMIFS(Pre[10],Pre[CATEGORY],Table11[[#This Row],[CATEGORY]])</calculatedColumnFormula>
    </tableColumn>
    <tableColumn id="12" xr3:uid="{184EFD34-8350-F54A-BD66-84237D29B5BD}" name="11" totalsRowFunction="sum" dataDxfId="238">
      <calculatedColumnFormula>SUMIFS(Pre[11],Pre[CATEGORY],Table11[[#This Row],[CATEGORY]])</calculatedColumnFormula>
    </tableColumn>
    <tableColumn id="13" xr3:uid="{61BA2A04-CCD6-AB49-8283-93F0A2A13539}" name="12" totalsRowFunction="sum" dataDxfId="237">
      <calculatedColumnFormula>SUMIFS(Pre[12],Pre[CATEGORY],Table11[[#This Row],[CATEGORY]])</calculatedColumnFormula>
    </tableColumn>
    <tableColumn id="14" xr3:uid="{6A16E4EA-BDEB-2A4C-9A51-3486CC734097}" name="13" totalsRowFunction="sum" dataDxfId="236">
      <calculatedColumnFormula>SUMIFS(Pre[13],Pre[CATEGORY],Table11[[#This Row],[CATEGORY]])</calculatedColumnFormula>
    </tableColumn>
    <tableColumn id="15" xr3:uid="{C9052028-E59E-CA46-B9A3-1C5764CB941A}" name="14" totalsRowFunction="sum" dataDxfId="235">
      <calculatedColumnFormula>SUMIFS(Pre[14],Pre[CATEGORY],Table11[[#This Row],[CATEGORY]])</calculatedColumnFormula>
    </tableColumn>
    <tableColumn id="16" xr3:uid="{96ECD7EF-20CB-B74A-AC00-0D7BC7D3826A}" name="15" totalsRowFunction="sum" dataDxfId="234">
      <calculatedColumnFormula>SUMIFS(Pre[15],Pre[CATEGORY],Table11[[#This Row],[CATEGORY]])</calculatedColumnFormula>
    </tableColumn>
    <tableColumn id="17" xr3:uid="{C96F4FE2-C499-4E41-A3B4-28CC1755FCFA}" name="16" totalsRowFunction="sum" dataDxfId="233">
      <calculatedColumnFormula>SUMIFS(Pre[16],Pre[CATEGORY],Table11[[#This Row],[CATEGORY]])</calculatedColumnFormula>
    </tableColumn>
    <tableColumn id="18" xr3:uid="{3195FC01-57A8-B841-8560-994641B5E1E8}" name="17" totalsRowFunction="sum" dataDxfId="232">
      <calculatedColumnFormula>SUMIFS(Pre[17],Pre[CATEGORY],Table11[[#This Row],[CATEGORY]])</calculatedColumnFormula>
    </tableColumn>
    <tableColumn id="19" xr3:uid="{A76C0921-B2E0-124D-96D6-428DC07270D0}" name="18" totalsRowFunction="sum" dataDxfId="231">
      <calculatedColumnFormula>SUMIFS(Pre[18],Pre[CATEGORY],Table11[[#This Row],[CATEGORY]])</calculatedColumnFormula>
    </tableColumn>
    <tableColumn id="20" xr3:uid="{F8A3FA97-2503-2C4F-803F-254808193737}" name="19" totalsRowFunction="sum" dataDxfId="230">
      <calculatedColumnFormula>SUMIFS(Pre[19],Pre[CATEGORY],Table11[[#This Row],[CATEGORY]])</calculatedColumnFormula>
    </tableColumn>
    <tableColumn id="21" xr3:uid="{C07AD1A4-7647-5245-AF48-DB21736D5880}" name="20" totalsRowFunction="sum" dataDxfId="229">
      <calculatedColumnFormula>SUMIFS(Pre[20],Pre[CATEGORY],Table11[[#This Row],[CATEGORY]])</calculatedColumnFormula>
    </tableColumn>
    <tableColumn id="22" xr3:uid="{1430297D-EA22-F342-8792-D3D7A64C7D2B}" name="21" totalsRowFunction="sum" dataDxfId="228">
      <calculatedColumnFormula>SUMIFS(Pre[21],Pre[CATEGORY],Table11[[#This Row],[CATEGORY]])</calculatedColumnFormula>
    </tableColumn>
    <tableColumn id="23" xr3:uid="{42FE378B-EBA1-7C48-BF4A-6DF5951A77FB}" name="22" totalsRowFunction="sum" dataDxfId="227">
      <calculatedColumnFormula>SUMIFS(Pre[22],Pre[CATEGORY],Table11[[#This Row],[CATEGORY]])</calculatedColumnFormula>
    </tableColumn>
    <tableColumn id="24" xr3:uid="{ED9D20E2-AFF8-C347-BEFD-C9EF5BDC2CF6}" name="23" totalsRowFunction="sum" dataDxfId="226">
      <calculatedColumnFormula>SUMIFS(Pre[23],Pre[CATEGORY],Table11[[#This Row],[CATEGORY]])</calculatedColumnFormula>
    </tableColumn>
    <tableColumn id="25" xr3:uid="{205ECAF9-89F9-4B44-BBCF-8EE0F95098AC}" name="24" totalsRowFunction="sum" dataDxfId="225">
      <calculatedColumnFormula>SUMIFS(Pre[24],Pre[CATEGORY],Table11[[#This Row],[CATEGORY]])</calculatedColumnFormula>
    </tableColumn>
    <tableColumn id="26" xr3:uid="{4727002D-D94B-8B45-8E51-67D500337614}" name="25" totalsRowFunction="sum" dataDxfId="224">
      <calculatedColumnFormula>SUMIFS(Pre[25],Pre[CATEGORY],Table11[[#This Row],[CATEGORY]])</calculatedColumnFormula>
    </tableColumn>
    <tableColumn id="27" xr3:uid="{A83D6A63-327F-5D4D-A560-27BF6ED268A7}" name="26" totalsRowFunction="sum" dataDxfId="223">
      <calculatedColumnFormula>SUMIFS(Pre[26],Pre[CATEGORY],Table11[[#This Row],[CATEGORY]])</calculatedColumnFormula>
    </tableColumn>
    <tableColumn id="28" xr3:uid="{38A2A514-108A-AF4F-A3FF-596DD6A6DDE1}" name="27" totalsRowFunction="sum" dataDxfId="222">
      <calculatedColumnFormula>SUMIFS(Pre[27],Pre[CATEGORY],Table11[[#This Row],[CATEGORY]])</calculatedColumnFormula>
    </tableColumn>
    <tableColumn id="29" xr3:uid="{815EAD52-0977-3946-92BA-E4F73A3130C0}" name="28" totalsRowFunction="sum" dataDxfId="221">
      <calculatedColumnFormula>SUMIFS(Pre[28],Pre[CATEGORY],Table11[[#This Row],[CATEGORY]])</calculatedColumnFormula>
    </tableColumn>
    <tableColumn id="30" xr3:uid="{843E76A9-A09C-BF49-BA0E-D15D9277094D}" name="29" totalsRowFunction="sum" dataDxfId="220">
      <calculatedColumnFormula>SUMIFS(Pre[29],Pre[CATEGORY],Table11[[#This Row],[CATEGORY]])</calculatedColumnFormula>
    </tableColumn>
    <tableColumn id="31" xr3:uid="{A6868351-8513-2F42-A966-0490A61BEE1D}" name="30" totalsRowFunction="sum" dataDxfId="219">
      <calculatedColumnFormula>SUMIFS(Pre[30],Pre[CATEGORY],Table11[[#This Row],[CATEGORY]])</calculatedColumnFormula>
    </tableColumn>
    <tableColumn id="32" xr3:uid="{3B56D495-94FD-2941-B3E5-E333AB0AFA6C}" name="31" totalsRowFunction="sum" dataDxfId="218">
      <calculatedColumnFormula>SUMIFS(Pre[31],Pre[CATEGORY],Table11[[#This Row],[CATEGORY]])</calculatedColumnFormula>
    </tableColumn>
    <tableColumn id="33" xr3:uid="{C4C59AA2-937E-D040-9F75-4758084817EE}" name="32" totalsRowFunction="sum" dataDxfId="217">
      <calculatedColumnFormula>SUMIFS(Pre[32],Pre[CATEGORY],Table11[[#This Row],[CATEGORY]])</calculatedColumnFormula>
    </tableColumn>
    <tableColumn id="34" xr3:uid="{AFB443E2-0485-DC4F-96F7-757551301546}" name="33" totalsRowFunction="sum" dataDxfId="216">
      <calculatedColumnFormula>SUMIFS(Pre[33],Pre[CATEGORY],Table11[[#This Row],[CATEGORY]])</calculatedColumnFormula>
    </tableColumn>
    <tableColumn id="35" xr3:uid="{0F16E977-25AD-1D47-9DB6-C8CABF8A986B}" name="34" totalsRowFunction="sum" dataDxfId="215">
      <calculatedColumnFormula>SUMIFS(Pre[34],Pre[CATEGORY],Table11[[#This Row],[CATEGORY]])</calculatedColumnFormula>
    </tableColumn>
    <tableColumn id="36" xr3:uid="{2ABA3CDA-A997-F941-A51C-EEEF10F05230}" name="35" totalsRowFunction="sum" dataDxfId="214">
      <calculatedColumnFormula>SUMIFS(Pre[35],Pre[CATEGORY],Table11[[#This Row],[CATEGORY]])</calculatedColumnFormula>
    </tableColumn>
    <tableColumn id="37" xr3:uid="{2DE200D3-2754-5C4F-B233-437E19C6FE73}" name="36" totalsRowFunction="sum" dataDxfId="213">
      <calculatedColumnFormula>SUMIFS(Pre[36],Pre[CATEGORY],Table11[[#This Row],[CATEGORY]])</calculatedColumnFormula>
    </tableColumn>
    <tableColumn id="38" xr3:uid="{8EF43048-663A-7E4D-8C8D-E7F1FE46D5BA}" name="37" totalsRowFunction="sum" dataDxfId="212">
      <calculatedColumnFormula>SUMIFS(Pre[37],Pre[CATEGORY],Table11[[#This Row],[CATEGORY]])</calculatedColumnFormula>
    </tableColumn>
    <tableColumn id="39" xr3:uid="{85F05865-86AF-0C40-9E33-9C42FC14E0D6}" name="38" totalsRowFunction="sum" dataDxfId="211">
      <calculatedColumnFormula>SUMIFS(Pre[38],Pre[CATEGORY],Table11[[#This Row],[CATEGORY]])</calculatedColumnFormula>
    </tableColumn>
    <tableColumn id="40" xr3:uid="{90434375-530C-544B-8D55-5C8F86096B39}" name="39" totalsRowFunction="sum" dataDxfId="210">
      <calculatedColumnFormula>SUMIFS(Pre[39],Pre[CATEGORY],Table11[[#This Row],[CATEGORY]])</calculatedColumnFormula>
    </tableColumn>
    <tableColumn id="41" xr3:uid="{56164EED-E517-7F4F-A5B4-1D01A9214648}" name="40" totalsRowFunction="sum" dataDxfId="209">
      <calculatedColumnFormula>SUMIFS(Pre[40],Pre[CATEGORY],Table11[[#This Row],[CATEGORY]])</calculatedColumnFormula>
    </tableColumn>
    <tableColumn id="42" xr3:uid="{E6BE62E4-B747-F941-994D-D1A1DCDFDA02}" name="41" totalsRowFunction="sum" dataDxfId="208">
      <calculatedColumnFormula>SUMIFS(Pre[41],Pre[CATEGORY],Table11[[#This Row],[CATEGORY]])</calculatedColumnFormula>
    </tableColumn>
    <tableColumn id="43" xr3:uid="{D1D940C0-3367-6D47-8ACF-74F98C5CD6F0}" name="42" totalsRowFunction="sum" dataDxfId="207">
      <calculatedColumnFormula>SUMIFS(Pre[42],Pre[CATEGORY],Table11[[#This Row],[CATEGORY]])</calculatedColumnFormula>
    </tableColumn>
    <tableColumn id="44" xr3:uid="{F4CF5707-925D-4C43-BA4D-2A1D5B38D8CF}" name="43" totalsRowFunction="sum" dataDxfId="206">
      <calculatedColumnFormula>SUMIFS(Pre[43],Pre[CATEGORY],Table11[[#This Row],[CATEGORY]])</calculatedColumnFormula>
    </tableColumn>
    <tableColumn id="45" xr3:uid="{E393415B-ED79-E741-8F5F-4B941563C7B4}" name="44" totalsRowFunction="sum" dataDxfId="205">
      <calculatedColumnFormula>SUMIFS(Pre[44],Pre[CATEGORY],Table11[[#This Row],[CATEGORY]])</calculatedColumnFormula>
    </tableColumn>
    <tableColumn id="46" xr3:uid="{6CAA9D04-16AE-8348-B67D-F100162972DE}" name="45" totalsRowFunction="sum" dataDxfId="204">
      <calculatedColumnFormula>SUMIFS(Pre[45],Pre[CATEGORY],Table11[[#This Row],[CATEGORY]])</calculatedColumnFormula>
    </tableColumn>
    <tableColumn id="47" xr3:uid="{E899D798-5164-654E-A9FD-AFD8A7526F1A}" name="46" totalsRowFunction="sum" dataDxfId="203">
      <calculatedColumnFormula>SUMIFS(Pre[46],Pre[CATEGORY],Table11[[#This Row],[CATEGORY]])</calculatedColumnFormula>
    </tableColumn>
    <tableColumn id="48" xr3:uid="{B4B15529-4892-B948-9717-8C7A95B6EFE5}" name="SCRIPTS" totalsRowFunction="sum" dataDxfId="202">
      <calculatedColumnFormula>SUM(Table11[[#This Row],[1]:[46]])</calculatedColumnFormula>
    </tableColumn>
  </tableColumns>
  <tableStyleInfo name="TableStyleMedium13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49DB55E-140E-DA44-8D92-16CA74BA71E9}" name="Table111521" displayName="Table111521" ref="A16:AV27" totalsRowCount="1">
  <autoFilter ref="A16:AV26" xr:uid="{649DB55E-140E-DA44-8D92-16CA74BA71E9}"/>
  <tableColumns count="48">
    <tableColumn id="1" xr3:uid="{37A51B67-1B63-1F49-8A77-3A4CE29D81F3}" name="CATEGORY" totalsRowLabel="Total"/>
    <tableColumn id="2" xr3:uid="{F4AE9681-8979-3049-B0C7-35C605710EEB}" name="1" totalsRowFunction="sum" dataDxfId="201">
      <calculatedColumnFormula>SUMIFS(Pre[1],Pre[CATEGORY],Table111521[[#This Row],[CATEGORY]],Pre[GROUPING],"Jan")</calculatedColumnFormula>
    </tableColumn>
    <tableColumn id="3" xr3:uid="{FCD93087-21DC-9143-81AB-551C46665AB4}" name="2" totalsRowFunction="sum" dataDxfId="200">
      <calculatedColumnFormula>SUMIFS(Pre[2],Pre[CATEGORY],Table111521[[#This Row],[CATEGORY]],Pre[GROUPING],"Jan")</calculatedColumnFormula>
    </tableColumn>
    <tableColumn id="4" xr3:uid="{BF85BEB0-E2E3-E64E-9866-43FF9D8AF18F}" name="3" totalsRowFunction="sum" dataDxfId="199">
      <calculatedColumnFormula>SUMIFS(Pre[3],Pre[CATEGORY],Table111521[[#This Row],[CATEGORY]],Pre[GROUPING],"Jan")</calculatedColumnFormula>
    </tableColumn>
    <tableColumn id="5" xr3:uid="{9A4B7A3B-C138-244B-B7E7-FE7E692EC17A}" name="4" totalsRowFunction="sum" dataDxfId="198">
      <calculatedColumnFormula>SUMIFS(Pre[4],Pre[CATEGORY],Table111521[[#This Row],[CATEGORY]],Pre[GROUPING],"Jan")</calculatedColumnFormula>
    </tableColumn>
    <tableColumn id="6" xr3:uid="{499DDEFE-7291-3849-9392-FB5786292DE8}" name="5" totalsRowFunction="sum" dataDxfId="197">
      <calculatedColumnFormula>SUMIFS(Pre[5],Pre[CATEGORY],Table111521[[#This Row],[CATEGORY]],Pre[GROUPING],"Jan")</calculatedColumnFormula>
    </tableColumn>
    <tableColumn id="7" xr3:uid="{C28E0711-3497-F149-851E-3A8B26AB81A4}" name="6" totalsRowFunction="sum" dataDxfId="196">
      <calculatedColumnFormula>SUMIFS(Pre[6],Pre[CATEGORY],Table111521[[#This Row],[CATEGORY]],Pre[GROUPING],"Jan")</calculatedColumnFormula>
    </tableColumn>
    <tableColumn id="8" xr3:uid="{9D18A16B-7762-B44D-A0AE-F6E7BF1152E3}" name="7" totalsRowFunction="sum" dataDxfId="195">
      <calculatedColumnFormula>SUMIFS(Pre[7],Pre[CATEGORY],Table111521[[#This Row],[CATEGORY]],Pre[GROUPING],"Jan")</calculatedColumnFormula>
    </tableColumn>
    <tableColumn id="9" xr3:uid="{82963553-6593-8542-937C-2335EEA15288}" name="8" totalsRowFunction="sum" dataDxfId="194">
      <calculatedColumnFormula>SUMIFS(Pre[8],Pre[CATEGORY],Table111521[[#This Row],[CATEGORY]],Pre[GROUPING],"Jan")</calculatedColumnFormula>
    </tableColumn>
    <tableColumn id="10" xr3:uid="{05018F40-C5A1-3647-9D6F-86EA2E4EFF69}" name="9" totalsRowFunction="sum" dataDxfId="193">
      <calculatedColumnFormula>SUMIFS(Pre[9],Pre[CATEGORY],Table111521[[#This Row],[CATEGORY]],Pre[GROUPING],"Jan")</calculatedColumnFormula>
    </tableColumn>
    <tableColumn id="11" xr3:uid="{683CE01B-0C95-894F-97EA-2C4E9268D0D2}" name="10" totalsRowFunction="sum" dataDxfId="192">
      <calculatedColumnFormula>SUMIFS(Pre[10],Pre[CATEGORY],Table111521[[#This Row],[CATEGORY]],Pre[GROUPING],"Jan")</calculatedColumnFormula>
    </tableColumn>
    <tableColumn id="12" xr3:uid="{57FE2F7B-EA06-0640-94F5-9EFBA89DD4E5}" name="11" totalsRowFunction="sum" dataDxfId="191">
      <calculatedColumnFormula>SUMIFS(Pre[11],Pre[CATEGORY],Table111521[[#This Row],[CATEGORY]],Pre[GROUPING],"Jan")</calculatedColumnFormula>
    </tableColumn>
    <tableColumn id="13" xr3:uid="{1BBCA5A6-798E-354C-8CC5-FC79CBFCBB1F}" name="12" totalsRowFunction="sum" dataDxfId="190">
      <calculatedColumnFormula>SUMIFS(Pre[12],Pre[CATEGORY],Table111521[[#This Row],[CATEGORY]],Pre[GROUPING],"Jan")</calculatedColumnFormula>
    </tableColumn>
    <tableColumn id="14" xr3:uid="{C1B0A5E4-6727-794E-97F5-A8F2FEF5F956}" name="13" totalsRowFunction="sum" dataDxfId="189">
      <calculatedColumnFormula>SUMIFS(Pre[13],Pre[CATEGORY],Table111521[[#This Row],[CATEGORY]],Pre[GROUPING],"Jan")</calculatedColumnFormula>
    </tableColumn>
    <tableColumn id="15" xr3:uid="{F57601E4-42AB-0746-BCAD-B9CCA276B0F3}" name="14" totalsRowFunction="sum" dataDxfId="188">
      <calculatedColumnFormula>SUMIFS(Pre[14],Pre[CATEGORY],Table111521[[#This Row],[CATEGORY]],Pre[GROUPING],"Jan")</calculatedColumnFormula>
    </tableColumn>
    <tableColumn id="16" xr3:uid="{E24ADA19-A79B-664F-94A3-DF8FBDBA959A}" name="15" totalsRowFunction="sum" dataDxfId="187">
      <calculatedColumnFormula>SUMIFS(Pre[15],Pre[CATEGORY],Table111521[[#This Row],[CATEGORY]],Pre[GROUPING],"Jan")</calculatedColumnFormula>
    </tableColumn>
    <tableColumn id="17" xr3:uid="{BAF684D9-CF41-C441-B2E0-85CF8D1A155A}" name="16" totalsRowFunction="sum" dataDxfId="186">
      <calculatedColumnFormula>SUMIFS(Pre[16],Pre[CATEGORY],Table111521[[#This Row],[CATEGORY]],Pre[GROUPING],"Jan")</calculatedColumnFormula>
    </tableColumn>
    <tableColumn id="18" xr3:uid="{379EDD72-24D7-DE4E-8E5C-A94E376ECE86}" name="17" totalsRowFunction="sum" dataDxfId="185">
      <calculatedColumnFormula>SUMIFS(Pre[17],Pre[CATEGORY],Table111521[[#This Row],[CATEGORY]],Pre[GROUPING],"Jan")</calculatedColumnFormula>
    </tableColumn>
    <tableColumn id="19" xr3:uid="{8397F6DD-782F-9A4E-8914-FA9EC1E3D279}" name="18" totalsRowFunction="sum" dataDxfId="184">
      <calculatedColumnFormula>SUMIFS(Pre[18],Pre[CATEGORY],Table111521[[#This Row],[CATEGORY]],Pre[GROUPING],"Jan")</calculatedColumnFormula>
    </tableColumn>
    <tableColumn id="20" xr3:uid="{E261F91A-5E1D-F743-833F-AFD6B149C1FC}" name="19" totalsRowFunction="sum" dataDxfId="183">
      <calculatedColumnFormula>SUMIFS(Pre[19],Pre[CATEGORY],Table111521[[#This Row],[CATEGORY]],Pre[GROUPING],"Jan")</calculatedColumnFormula>
    </tableColumn>
    <tableColumn id="21" xr3:uid="{37AA02A5-BFC4-0B4A-A1AE-9296AD7E7D43}" name="20" totalsRowFunction="sum" dataDxfId="182">
      <calculatedColumnFormula>SUMIFS(Pre[20],Pre[CATEGORY],Table111521[[#This Row],[CATEGORY]],Pre[GROUPING],"Jan")</calculatedColumnFormula>
    </tableColumn>
    <tableColumn id="22" xr3:uid="{2EA860BE-C68B-2643-898F-22001270D3D6}" name="21" totalsRowFunction="sum" dataDxfId="181">
      <calculatedColumnFormula>SUMIFS(Pre[21],Pre[CATEGORY],Table111521[[#This Row],[CATEGORY]],Pre[GROUPING],"Jan")</calculatedColumnFormula>
    </tableColumn>
    <tableColumn id="23" xr3:uid="{755101D2-BC9F-C34C-A28E-E941D283CC30}" name="22" totalsRowFunction="sum" dataDxfId="180">
      <calculatedColumnFormula>SUMIFS(Pre[22],Pre[CATEGORY],Table111521[[#This Row],[CATEGORY]],Pre[GROUPING],"Jan")</calculatedColumnFormula>
    </tableColumn>
    <tableColumn id="24" xr3:uid="{9CFE4967-AE55-354E-B86C-DAD40028E5BB}" name="23" totalsRowFunction="sum" dataDxfId="179">
      <calculatedColumnFormula>SUMIFS(Pre[23],Pre[CATEGORY],Table111521[[#This Row],[CATEGORY]],Pre[GROUPING],"Jan")</calculatedColumnFormula>
    </tableColumn>
    <tableColumn id="25" xr3:uid="{4A41BE43-7256-5941-8CFB-738BB1CE81DB}" name="24" totalsRowFunction="sum" dataDxfId="178">
      <calculatedColumnFormula>SUMIFS(Pre[24],Pre[CATEGORY],Table111521[[#This Row],[CATEGORY]],Pre[GROUPING],"Jan")</calculatedColumnFormula>
    </tableColumn>
    <tableColumn id="26" xr3:uid="{DD70D341-E8AD-4448-9D88-37F0386DE31B}" name="25" totalsRowFunction="sum" dataDxfId="177">
      <calculatedColumnFormula>SUMIFS(Pre[25],Pre[CATEGORY],Table111521[[#This Row],[CATEGORY]],Pre[GROUPING],"Jan")</calculatedColumnFormula>
    </tableColumn>
    <tableColumn id="27" xr3:uid="{E7D1E390-D965-F144-A26D-8BB1F0CD01EC}" name="26" totalsRowFunction="sum" dataDxfId="176">
      <calculatedColumnFormula>SUMIFS(Pre[26],Pre[CATEGORY],Table111521[[#This Row],[CATEGORY]],Pre[GROUPING],"Jan")</calculatedColumnFormula>
    </tableColumn>
    <tableColumn id="28" xr3:uid="{EF1C3D43-639B-BE4D-A260-DE54952C05B3}" name="27" totalsRowFunction="sum" dataDxfId="175">
      <calculatedColumnFormula>SUMIFS(Pre[27],Pre[CATEGORY],Table111521[[#This Row],[CATEGORY]],Pre[GROUPING],"Jan")</calculatedColumnFormula>
    </tableColumn>
    <tableColumn id="29" xr3:uid="{91301370-97B5-7F4A-9916-F20475E75DF7}" name="28" totalsRowFunction="sum" dataDxfId="174">
      <calculatedColumnFormula>SUMIFS(Pre[28],Pre[CATEGORY],Table111521[[#This Row],[CATEGORY]],Pre[GROUPING],"Jan")</calculatedColumnFormula>
    </tableColumn>
    <tableColumn id="30" xr3:uid="{55E93E83-D4FC-D642-B39B-926BF707878B}" name="29" totalsRowFunction="sum" dataDxfId="173">
      <calculatedColumnFormula>SUMIFS(Pre[29],Pre[CATEGORY],Table111521[[#This Row],[CATEGORY]],Pre[GROUPING],"Jan")</calculatedColumnFormula>
    </tableColumn>
    <tableColumn id="31" xr3:uid="{BB43D6F2-6B0F-714A-A87C-55E2521753D6}" name="30" totalsRowFunction="sum" dataDxfId="172">
      <calculatedColumnFormula>SUMIFS(Pre[30],Pre[CATEGORY],Table111521[[#This Row],[CATEGORY]],Pre[GROUPING],"Jan")</calculatedColumnFormula>
    </tableColumn>
    <tableColumn id="32" xr3:uid="{1E521799-B427-0D42-8F93-25745DA3FD76}" name="31" totalsRowFunction="sum" dataDxfId="171">
      <calculatedColumnFormula>SUMIFS(Pre[31],Pre[CATEGORY],Table111521[[#This Row],[CATEGORY]],Pre[GROUPING],"Jan")</calculatedColumnFormula>
    </tableColumn>
    <tableColumn id="33" xr3:uid="{98C197E4-32CB-694C-B0CD-970B8A4F8955}" name="32" totalsRowFunction="sum" dataDxfId="170">
      <calculatedColumnFormula>SUMIFS(Pre[32],Pre[CATEGORY],Table111521[[#This Row],[CATEGORY]],Pre[GROUPING],"Jan")</calculatedColumnFormula>
    </tableColumn>
    <tableColumn id="34" xr3:uid="{A708D655-31D9-EB44-9D9A-A0310E7BEEAF}" name="33" totalsRowFunction="sum" dataDxfId="169">
      <calculatedColumnFormula>SUMIFS(Pre[33],Pre[CATEGORY],Table111521[[#This Row],[CATEGORY]],Pre[GROUPING],"Jan")</calculatedColumnFormula>
    </tableColumn>
    <tableColumn id="35" xr3:uid="{00905893-ADED-C44E-BF7E-A200589016E3}" name="34" totalsRowFunction="sum" dataDxfId="168">
      <calculatedColumnFormula>SUMIFS(Pre[34],Pre[CATEGORY],Table111521[[#This Row],[CATEGORY]],Pre[GROUPING],"Jan")</calculatedColumnFormula>
    </tableColumn>
    <tableColumn id="36" xr3:uid="{0C16BB57-1562-3A4C-BFFE-20FB19D7EFD2}" name="35" totalsRowFunction="sum" dataDxfId="167">
      <calculatedColumnFormula>SUMIFS(Pre[35],Pre[CATEGORY],Table111521[[#This Row],[CATEGORY]],Pre[GROUPING],"Jan")</calculatedColumnFormula>
    </tableColumn>
    <tableColumn id="37" xr3:uid="{A696C8C3-3BA9-6847-952A-E7932EFF818B}" name="36" totalsRowFunction="sum" dataDxfId="166">
      <calculatedColumnFormula>SUMIFS(Pre[36],Pre[CATEGORY],Table111521[[#This Row],[CATEGORY]],Pre[GROUPING],"Jan")</calculatedColumnFormula>
    </tableColumn>
    <tableColumn id="38" xr3:uid="{C346C686-6722-E24C-B9C0-2A2144F729A3}" name="37" totalsRowFunction="sum" dataDxfId="165">
      <calculatedColumnFormula>SUMIFS(Pre[37],Pre[CATEGORY],Table111521[[#This Row],[CATEGORY]],Pre[GROUPING],"Jan")</calculatedColumnFormula>
    </tableColumn>
    <tableColumn id="39" xr3:uid="{A1DB62CA-BA25-FA4F-ADC9-947EAA61E02E}" name="38" totalsRowFunction="sum" dataDxfId="164">
      <calculatedColumnFormula>SUMIFS(Pre[38],Pre[CATEGORY],Table111521[[#This Row],[CATEGORY]],Pre[GROUPING],"Jan")</calculatedColumnFormula>
    </tableColumn>
    <tableColumn id="40" xr3:uid="{C89CEE41-45E5-9D4A-A558-3307A2D500CE}" name="39" totalsRowFunction="sum" dataDxfId="163">
      <calculatedColumnFormula>SUMIFS(Pre[39],Pre[CATEGORY],Table111521[[#This Row],[CATEGORY]],Pre[GROUPING],"Jan")</calculatedColumnFormula>
    </tableColumn>
    <tableColumn id="41" xr3:uid="{DCD7EB67-123B-284D-B005-123A0485F5F9}" name="40" totalsRowFunction="sum" dataDxfId="162">
      <calculatedColumnFormula>SUMIFS(Pre[40],Pre[CATEGORY],Table111521[[#This Row],[CATEGORY]],Pre[GROUPING],"Jan")</calculatedColumnFormula>
    </tableColumn>
    <tableColumn id="42" xr3:uid="{F0D4BCF2-19C7-DC48-AE4F-9EAB64A7881A}" name="41" totalsRowFunction="sum" dataDxfId="161">
      <calculatedColumnFormula>SUMIFS(Pre[41],Pre[CATEGORY],Table111521[[#This Row],[CATEGORY]],Pre[GROUPING],"Jan")</calculatedColumnFormula>
    </tableColumn>
    <tableColumn id="43" xr3:uid="{F668FC6C-B24A-1544-A872-85BDBEC8157D}" name="42" totalsRowFunction="sum" dataDxfId="160">
      <calculatedColumnFormula>SUMIFS(Pre[42],Pre[CATEGORY],Table111521[[#This Row],[CATEGORY]],Pre[GROUPING],"Jan")</calculatedColumnFormula>
    </tableColumn>
    <tableColumn id="44" xr3:uid="{2A1134DF-5C82-E744-B118-5067BB8DC964}" name="43" totalsRowFunction="sum" dataDxfId="159">
      <calculatedColumnFormula>SUMIFS(Pre[43],Pre[CATEGORY],Table111521[[#This Row],[CATEGORY]],Pre[GROUPING],"Jan")</calculatedColumnFormula>
    </tableColumn>
    <tableColumn id="45" xr3:uid="{14C9FB13-E0A4-9B44-80F8-577E33202568}" name="44" totalsRowFunction="sum" dataDxfId="158">
      <calculatedColumnFormula>SUMIFS(Pre[44],Pre[CATEGORY],Table111521[[#This Row],[CATEGORY]],Pre[GROUPING],"Jan")</calculatedColumnFormula>
    </tableColumn>
    <tableColumn id="46" xr3:uid="{83ABC551-568D-BD4F-BA91-1266A8623F01}" name="45" totalsRowFunction="sum" dataDxfId="157">
      <calculatedColumnFormula>SUMIFS(Pre[45],Pre[CATEGORY],Table111521[[#This Row],[CATEGORY]],Pre[GROUPING],"Jan")</calculatedColumnFormula>
    </tableColumn>
    <tableColumn id="47" xr3:uid="{A9B5ADCF-15EF-1145-8525-947D2F531008}" name="46" totalsRowFunction="sum" dataDxfId="156">
      <calculatedColumnFormula>SUMIFS(Pre[46],Pre[CATEGORY],Table111521[[#This Row],[CATEGORY]],Pre[GROUPING],"Jan")</calculatedColumnFormula>
    </tableColumn>
    <tableColumn id="48" xr3:uid="{F03D192E-C8BA-9D4B-8A05-E6404D6F6119}" name="SCRIPTS" totalsRowFunction="sum" dataDxfId="155">
      <calculatedColumnFormula>SUM(Table111521[[#This Row],[1]:[46]])</calculatedColumnFormula>
    </tableColumn>
  </tableColumns>
  <tableStyleInfo name="TableStyleMedium9" showFirstColumn="0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A6D35AE-C730-3A4D-A5C9-74079472B339}" name="Table111523" displayName="Table111523" ref="A30:AV41" totalsRowCount="1">
  <autoFilter ref="A30:AV40" xr:uid="{3A6D35AE-C730-3A4D-A5C9-74079472B339}"/>
  <tableColumns count="48">
    <tableColumn id="1" xr3:uid="{F60A7100-F1E4-F648-B305-033CCDC868BE}" name="CATEGORY" totalsRowLabel="Total"/>
    <tableColumn id="2" xr3:uid="{6AAFF074-58B7-C645-AB95-CE3FF1E06C10}" name="1" totalsRowFunction="sum" dataDxfId="154">
      <calculatedColumnFormula>SUMIFS(Pre[1],Pre[CATEGORY],Table111523[[#This Row],[CATEGORY]],Pre[GROUPING],"Nov")</calculatedColumnFormula>
    </tableColumn>
    <tableColumn id="3" xr3:uid="{5693688C-7C0C-964A-8F42-D677843B12C8}" name="2" totalsRowFunction="sum" dataDxfId="153">
      <calculatedColumnFormula>SUMIFS(Pre[2],Pre[CATEGORY],Table111523[[#This Row],[CATEGORY]],Pre[GROUPING],"Nov")</calculatedColumnFormula>
    </tableColumn>
    <tableColumn id="4" xr3:uid="{262872E9-3E87-D14E-838E-312FAF315E38}" name="3" totalsRowFunction="sum" dataDxfId="152">
      <calculatedColumnFormula>SUMIFS(Pre[3],Pre[CATEGORY],Table111523[[#This Row],[CATEGORY]],Pre[GROUPING],"Nov")</calculatedColumnFormula>
    </tableColumn>
    <tableColumn id="5" xr3:uid="{19C49F8F-E8DB-1741-A09F-214CD81558C7}" name="4" totalsRowFunction="sum" dataDxfId="151">
      <calculatedColumnFormula>SUMIFS(Pre[4],Pre[CATEGORY],Table111523[[#This Row],[CATEGORY]],Pre[GROUPING],"Nov")</calculatedColumnFormula>
    </tableColumn>
    <tableColumn id="6" xr3:uid="{C3B56263-4172-F741-A129-57797ABD1029}" name="5" totalsRowFunction="sum" dataDxfId="150">
      <calculatedColumnFormula>SUMIFS(Pre[5],Pre[CATEGORY],Table111523[[#This Row],[CATEGORY]],Pre[GROUPING],"Nov")</calculatedColumnFormula>
    </tableColumn>
    <tableColumn id="7" xr3:uid="{E261FC5E-9637-864B-AE8B-0A90A3780860}" name="6" totalsRowFunction="sum" dataDxfId="149">
      <calculatedColumnFormula>SUMIFS(Pre[6],Pre[CATEGORY],Table111523[[#This Row],[CATEGORY]],Pre[GROUPING],"Nov")</calculatedColumnFormula>
    </tableColumn>
    <tableColumn id="8" xr3:uid="{37C37451-72F8-3C40-AAB4-8C7901650B29}" name="7" totalsRowFunction="sum" dataDxfId="148">
      <calculatedColumnFormula>SUMIFS(Pre[7],Pre[CATEGORY],Table111523[[#This Row],[CATEGORY]],Pre[GROUPING],"Nov")</calculatedColumnFormula>
    </tableColumn>
    <tableColumn id="9" xr3:uid="{7E5B730B-E315-7E4E-91B9-B4BECDABE93C}" name="8" totalsRowFunction="sum" dataDxfId="147">
      <calculatedColumnFormula>SUMIFS(Pre[8],Pre[CATEGORY],Table111523[[#This Row],[CATEGORY]],Pre[GROUPING],"Nov")</calculatedColumnFormula>
    </tableColumn>
    <tableColumn id="10" xr3:uid="{59E6C1E6-0955-0B4D-9579-C6D541F9EA82}" name="9" totalsRowFunction="sum" dataDxfId="146">
      <calculatedColumnFormula>SUMIFS(Pre[9],Pre[CATEGORY],Table111523[[#This Row],[CATEGORY]],Pre[GROUPING],"Nov")</calculatedColumnFormula>
    </tableColumn>
    <tableColumn id="11" xr3:uid="{D22D5D10-1346-E84E-8E02-AB9D310AE095}" name="10" totalsRowFunction="sum" dataDxfId="145">
      <calculatedColumnFormula>SUMIFS(Pre[10],Pre[CATEGORY],Table111523[[#This Row],[CATEGORY]],Pre[GROUPING],"Nov")</calculatedColumnFormula>
    </tableColumn>
    <tableColumn id="12" xr3:uid="{6E9FDD52-4DFB-3541-A587-62E200D555C2}" name="11" totalsRowFunction="sum" dataDxfId="144">
      <calculatedColumnFormula>SUMIFS(Pre[11],Pre[CATEGORY],Table111523[[#This Row],[CATEGORY]],Pre[GROUPING],"Nov")</calculatedColumnFormula>
    </tableColumn>
    <tableColumn id="13" xr3:uid="{962A0EA4-8416-2E4D-9AFF-6FA0EDC892F8}" name="12" totalsRowFunction="sum" dataDxfId="143">
      <calculatedColumnFormula>SUMIFS(Pre[12],Pre[CATEGORY],Table111523[[#This Row],[CATEGORY]],Pre[GROUPING],"Nov")</calculatedColumnFormula>
    </tableColumn>
    <tableColumn id="14" xr3:uid="{C4137D07-8F67-6648-AEDC-D005AE089E65}" name="13" totalsRowFunction="sum" dataDxfId="142">
      <calculatedColumnFormula>SUMIFS(Pre[13],Pre[CATEGORY],Table111523[[#This Row],[CATEGORY]],Pre[GROUPING],"Nov")</calculatedColumnFormula>
    </tableColumn>
    <tableColumn id="15" xr3:uid="{FD5B6D39-6FFD-E94E-B3B5-B4C4A045DB5A}" name="14" totalsRowFunction="sum" dataDxfId="141">
      <calculatedColumnFormula>SUMIFS(Pre[14],Pre[CATEGORY],Table111523[[#This Row],[CATEGORY]],Pre[GROUPING],"Nov")</calculatedColumnFormula>
    </tableColumn>
    <tableColumn id="16" xr3:uid="{21A28770-850E-9B40-8844-4C5533506A2D}" name="15" totalsRowFunction="sum" dataDxfId="140">
      <calculatedColumnFormula>SUMIFS(Pre[15],Pre[CATEGORY],Table111523[[#This Row],[CATEGORY]],Pre[GROUPING],"Nov")</calculatedColumnFormula>
    </tableColumn>
    <tableColumn id="17" xr3:uid="{8E245277-3541-2D4F-B86B-9C8C0AA3841D}" name="16" totalsRowFunction="sum" dataDxfId="139">
      <calculatedColumnFormula>SUMIFS(Pre[16],Pre[CATEGORY],Table111523[[#This Row],[CATEGORY]],Pre[GROUPING],"Nov")</calculatedColumnFormula>
    </tableColumn>
    <tableColumn id="18" xr3:uid="{2D6A6A07-C019-C044-9B0A-BF6E149977AF}" name="17" totalsRowFunction="sum" dataDxfId="138">
      <calculatedColumnFormula>SUMIFS(Pre[17],Pre[CATEGORY],Table111523[[#This Row],[CATEGORY]],Pre[GROUPING],"Nov")</calculatedColumnFormula>
    </tableColumn>
    <tableColumn id="19" xr3:uid="{586CCA37-AB2A-8241-9667-30BC16B67639}" name="18" totalsRowFunction="sum" dataDxfId="137">
      <calculatedColumnFormula>SUMIFS(Pre[18],Pre[CATEGORY],Table111523[[#This Row],[CATEGORY]],Pre[GROUPING],"Nov")</calculatedColumnFormula>
    </tableColumn>
    <tableColumn id="20" xr3:uid="{9782C5E1-0148-4D43-AF44-21BEEEE81A68}" name="19" totalsRowFunction="sum" dataDxfId="136">
      <calculatedColumnFormula>SUMIFS(Pre[19],Pre[CATEGORY],Table111523[[#This Row],[CATEGORY]],Pre[GROUPING],"Nov")</calculatedColumnFormula>
    </tableColumn>
    <tableColumn id="21" xr3:uid="{03BDB896-7B36-C54B-820E-9CC1931A7F99}" name="20" totalsRowFunction="sum" dataDxfId="135">
      <calculatedColumnFormula>SUMIFS(Pre[20],Pre[CATEGORY],Table111523[[#This Row],[CATEGORY]],Pre[GROUPING],"Nov")</calculatedColumnFormula>
    </tableColumn>
    <tableColumn id="22" xr3:uid="{F3D6A562-1BF8-C24E-B994-016FDD18DCFF}" name="21" totalsRowFunction="sum" dataDxfId="134">
      <calculatedColumnFormula>SUMIFS(Pre[21],Pre[CATEGORY],Table111523[[#This Row],[CATEGORY]],Pre[GROUPING],"Nov")</calculatedColumnFormula>
    </tableColumn>
    <tableColumn id="23" xr3:uid="{964DA0BC-032E-8047-B395-4A996A8BA2CC}" name="22" totalsRowFunction="sum" dataDxfId="133">
      <calculatedColumnFormula>SUMIFS(Pre[22],Pre[CATEGORY],Table111523[[#This Row],[CATEGORY]],Pre[GROUPING],"Nov")</calculatedColumnFormula>
    </tableColumn>
    <tableColumn id="24" xr3:uid="{8325015C-2D85-9748-B695-EEA6B5DB40A7}" name="23" totalsRowFunction="sum" dataDxfId="132">
      <calculatedColumnFormula>SUMIFS(Pre[23],Pre[CATEGORY],Table111523[[#This Row],[CATEGORY]],Pre[GROUPING],"Nov")</calculatedColumnFormula>
    </tableColumn>
    <tableColumn id="25" xr3:uid="{FD60F6ED-9521-8446-8BCA-49E3697A34E4}" name="24" totalsRowFunction="sum" dataDxfId="131">
      <calculatedColumnFormula>SUMIFS(Pre[24],Pre[CATEGORY],Table111523[[#This Row],[CATEGORY]],Pre[GROUPING],"Nov")</calculatedColumnFormula>
    </tableColumn>
    <tableColumn id="26" xr3:uid="{5D5D203C-EEAA-BC45-BE8B-6434367DA896}" name="25" totalsRowFunction="sum" dataDxfId="130">
      <calculatedColumnFormula>SUMIFS(Pre[25],Pre[CATEGORY],Table111523[[#This Row],[CATEGORY]],Pre[GROUPING],"Nov")</calculatedColumnFormula>
    </tableColumn>
    <tableColumn id="27" xr3:uid="{D610A083-6A7A-F74A-903A-FE60168E7706}" name="26" totalsRowFunction="sum" dataDxfId="129">
      <calculatedColumnFormula>SUMIFS(Pre[26],Pre[CATEGORY],Table111523[[#This Row],[CATEGORY]],Pre[GROUPING],"Nov")</calculatedColumnFormula>
    </tableColumn>
    <tableColumn id="28" xr3:uid="{6EA24E86-CFAA-A74E-A357-E557806CC144}" name="27" totalsRowFunction="sum" dataDxfId="128">
      <calculatedColumnFormula>SUMIFS(Pre[27],Pre[CATEGORY],Table111523[[#This Row],[CATEGORY]],Pre[GROUPING],"Nov")</calculatedColumnFormula>
    </tableColumn>
    <tableColumn id="29" xr3:uid="{99A96E6C-B6B4-7343-9001-3AA162EDDC73}" name="28" totalsRowFunction="sum" dataDxfId="127">
      <calculatedColumnFormula>SUMIFS(Pre[28],Pre[CATEGORY],Table111523[[#This Row],[CATEGORY]],Pre[GROUPING],"Nov")</calculatedColumnFormula>
    </tableColumn>
    <tableColumn id="30" xr3:uid="{3C7D4041-0E70-AD44-BDF2-4B7316E03C42}" name="29" totalsRowFunction="sum" dataDxfId="126">
      <calculatedColumnFormula>SUMIFS(Pre[29],Pre[CATEGORY],Table111523[[#This Row],[CATEGORY]],Pre[GROUPING],"Nov")</calculatedColumnFormula>
    </tableColumn>
    <tableColumn id="31" xr3:uid="{30681A16-9ED0-E147-93E5-BAB2DDFB49B7}" name="30" totalsRowFunction="sum" dataDxfId="125">
      <calculatedColumnFormula>SUMIFS(Pre[30],Pre[CATEGORY],Table111523[[#This Row],[CATEGORY]],Pre[GROUPING],"Nov")</calculatedColumnFormula>
    </tableColumn>
    <tableColumn id="32" xr3:uid="{2A737A59-0261-DE47-8328-187B17803ADD}" name="31" totalsRowFunction="sum" dataDxfId="124">
      <calculatedColumnFormula>SUMIFS(Pre[31],Pre[CATEGORY],Table111523[[#This Row],[CATEGORY]],Pre[GROUPING],"Nov")</calculatedColumnFormula>
    </tableColumn>
    <tableColumn id="33" xr3:uid="{D72D9399-3EEF-FE42-A0CA-AB828047FF1D}" name="32" totalsRowFunction="sum" dataDxfId="123">
      <calculatedColumnFormula>SUMIFS(Pre[32],Pre[CATEGORY],Table111523[[#This Row],[CATEGORY]],Pre[GROUPING],"Nov")</calculatedColumnFormula>
    </tableColumn>
    <tableColumn id="34" xr3:uid="{388746F3-9B1B-4148-BEE9-8CED061537E6}" name="33" totalsRowFunction="sum" dataDxfId="122">
      <calculatedColumnFormula>SUMIFS(Pre[33],Pre[CATEGORY],Table111523[[#This Row],[CATEGORY]],Pre[GROUPING],"Nov")</calculatedColumnFormula>
    </tableColumn>
    <tableColumn id="35" xr3:uid="{D60A0F62-9B1F-BD49-9A7B-8EEB21280592}" name="34" totalsRowFunction="sum" dataDxfId="121">
      <calculatedColumnFormula>SUMIFS(Pre[34],Pre[CATEGORY],Table111523[[#This Row],[CATEGORY]],Pre[GROUPING],"Nov")</calculatedColumnFormula>
    </tableColumn>
    <tableColumn id="36" xr3:uid="{7854B4A9-6710-004D-8932-80232726F249}" name="35" totalsRowFunction="sum" dataDxfId="120">
      <calculatedColumnFormula>SUMIFS(Pre[35],Pre[CATEGORY],Table111523[[#This Row],[CATEGORY]],Pre[GROUPING],"Nov")</calculatedColumnFormula>
    </tableColumn>
    <tableColumn id="37" xr3:uid="{BB202FB9-E26F-7F4E-AC16-56FA1D88BE7F}" name="36" totalsRowFunction="sum" dataDxfId="119">
      <calculatedColumnFormula>SUMIFS(Pre[36],Pre[CATEGORY],Table111523[[#This Row],[CATEGORY]],Pre[GROUPING],"Nov")</calculatedColumnFormula>
    </tableColumn>
    <tableColumn id="38" xr3:uid="{B7104C3A-34F2-B141-B060-C9B9651C4A06}" name="37" totalsRowFunction="sum" dataDxfId="118">
      <calculatedColumnFormula>SUMIFS(Pre[37],Pre[CATEGORY],Table111523[[#This Row],[CATEGORY]],Pre[GROUPING],"Nov")</calculatedColumnFormula>
    </tableColumn>
    <tableColumn id="39" xr3:uid="{77C85701-8BC9-1448-9C20-922485358851}" name="38" totalsRowFunction="sum" dataDxfId="117">
      <calculatedColumnFormula>SUMIFS(Pre[38],Pre[CATEGORY],Table111523[[#This Row],[CATEGORY]],Pre[GROUPING],"Nov")</calculatedColumnFormula>
    </tableColumn>
    <tableColumn id="40" xr3:uid="{ABFCFBEC-EA22-5244-BD69-307658B47B98}" name="39" totalsRowFunction="sum" dataDxfId="116">
      <calculatedColumnFormula>SUMIFS(Pre[39],Pre[CATEGORY],Table111523[[#This Row],[CATEGORY]],Pre[GROUPING],"Nov")</calculatedColumnFormula>
    </tableColumn>
    <tableColumn id="41" xr3:uid="{8D737FA3-3690-C548-A6A9-106A20E89E04}" name="40" totalsRowFunction="sum" dataDxfId="115">
      <calculatedColumnFormula>SUMIFS(Pre[40],Pre[CATEGORY],Table111523[[#This Row],[CATEGORY]],Pre[GROUPING],"Nov")</calculatedColumnFormula>
    </tableColumn>
    <tableColumn id="42" xr3:uid="{1D7CEB0E-BC8B-C440-B066-57DD0FBA4F3F}" name="41" totalsRowFunction="sum" dataDxfId="114">
      <calculatedColumnFormula>SUMIFS(Pre[41],Pre[CATEGORY],Table111523[[#This Row],[CATEGORY]],Pre[GROUPING],"Nov")</calculatedColumnFormula>
    </tableColumn>
    <tableColumn id="43" xr3:uid="{27CA848B-880D-DC4E-88B9-2A6AB1F40474}" name="42" totalsRowFunction="sum" dataDxfId="113">
      <calculatedColumnFormula>SUMIFS(Pre[42],Pre[CATEGORY],Table111523[[#This Row],[CATEGORY]],Pre[GROUPING],"Nov")</calculatedColumnFormula>
    </tableColumn>
    <tableColumn id="44" xr3:uid="{425D3BB4-DB9B-D04C-B8FA-9DD9BACCD282}" name="43" totalsRowFunction="sum" dataDxfId="112">
      <calculatedColumnFormula>SUMIFS(Pre[43],Pre[CATEGORY],Table111523[[#This Row],[CATEGORY]],Pre[GROUPING],"Nov")</calculatedColumnFormula>
    </tableColumn>
    <tableColumn id="45" xr3:uid="{E7E316AD-D681-DE43-9044-CC52EDAA436D}" name="44" totalsRowFunction="sum" dataDxfId="111">
      <calculatedColumnFormula>SUMIFS(Pre[44],Pre[CATEGORY],Table111523[[#This Row],[CATEGORY]],Pre[GROUPING],"Nov")</calculatedColumnFormula>
    </tableColumn>
    <tableColumn id="46" xr3:uid="{FC474F37-6559-F94A-8241-B4DD19E680E1}" name="45" totalsRowFunction="sum" dataDxfId="110">
      <calculatedColumnFormula>SUMIFS(Pre[45],Pre[CATEGORY],Table111523[[#This Row],[CATEGORY]],Pre[GROUPING],"Nov")</calculatedColumnFormula>
    </tableColumn>
    <tableColumn id="47" xr3:uid="{01F7897B-46FF-CC41-81B2-0E7F3B417B57}" name="46" totalsRowFunction="sum" dataDxfId="109">
      <calculatedColumnFormula>SUMIFS(Pre[46],Pre[CATEGORY],Table111523[[#This Row],[CATEGORY]],Pre[GROUPING],"Nov")</calculatedColumnFormula>
    </tableColumn>
    <tableColumn id="48" xr3:uid="{A5D994BA-D1FC-FA47-9D8F-2C36E0D29631}" name="SCRIPTS" totalsRowFunction="sum" dataDxfId="108">
      <calculatedColumnFormula>SUM(Table111523[[#This Row],[1]:[46]])</calculatedColumnFormula>
    </tableColumn>
  </tableColumns>
  <tableStyleInfo name="TableStyleMedium13" showFirstColumn="0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27ACC6-1CED-9B44-BCD8-A8C05C5AB999}" name="Post" displayName="Post" ref="A1:AJ3136" totalsRowCount="1">
  <autoFilter ref="A1:AJ3135" xr:uid="{0C27ACC6-1CED-9B44-BCD8-A8C05C5AB999}"/>
  <tableColumns count="36">
    <tableColumn id="1" xr3:uid="{C3D4EB21-682B-4B49-8C4D-59B3A6A7CD0C}" name="DOCTOR" totalsRowLabel="Total"/>
    <tableColumn id="2" xr3:uid="{666F1F36-5284-EC40-9C6F-7FA1E1F0C720}" name="GROUPING"/>
    <tableColumn id="3" xr3:uid="{AF4F5BDE-EDA7-CD49-8194-CC3231A36DD6}" name="STUDY ID"/>
    <tableColumn id="4" xr3:uid="{86808AF6-DB13-E64E-881A-42FB40F8D2E6}" name="SEX"/>
    <tableColumn id="5" xr3:uid="{F98D225F-0F59-4649-85E1-13429C62FD83}" name="CATEGORY"/>
    <tableColumn id="6" xr3:uid="{34661904-1355-6943-8B5B-48712DB79E69}" name="DRUG"/>
    <tableColumn id="7" xr3:uid="{B5FE5C08-6EC9-0140-82AC-5C444EB4997B}" name="47" totalsRowFunction="sum"/>
    <tableColumn id="8" xr3:uid="{D44139CD-445E-614F-848B-A88E08B03328}" name="48" totalsRowFunction="sum"/>
    <tableColumn id="9" xr3:uid="{090F6664-7CEB-9B42-862F-50937E87FF9F}" name="49" totalsRowFunction="sum"/>
    <tableColumn id="10" xr3:uid="{39613D39-602D-A24A-A96B-3C1886173945}" name="50" totalsRowFunction="sum"/>
    <tableColumn id="11" xr3:uid="{3F79DA57-2CA2-5242-84CD-4DE60264DBC8}" name="51" totalsRowFunction="sum"/>
    <tableColumn id="12" xr3:uid="{2036F142-C61C-FD48-BF73-810D9145757B}" name="52" totalsRowFunction="sum"/>
    <tableColumn id="13" xr3:uid="{F46173F8-F217-1B4E-9744-78B28D7E1B55}" name="53" totalsRowFunction="sum"/>
    <tableColumn id="14" xr3:uid="{093F2BA9-8DEA-454F-9EC3-74CF4FC4ACED}" name="54" totalsRowFunction="sum"/>
    <tableColumn id="15" xr3:uid="{731CF4F3-54F4-9441-9B3C-14AEAC932400}" name="55" totalsRowFunction="sum"/>
    <tableColumn id="16" xr3:uid="{0712E160-07B8-8242-9506-6C6281822D9F}" name="56" totalsRowFunction="sum"/>
    <tableColumn id="17" xr3:uid="{CC09DAA2-470E-1F49-A3FC-7CF17404CC8A}" name="57" totalsRowFunction="sum"/>
    <tableColumn id="18" xr3:uid="{F2B325E1-23D2-6646-9C03-D95929958FC8}" name="58" totalsRowFunction="sum"/>
    <tableColumn id="19" xr3:uid="{B1FD2F7F-9291-1642-900D-BB490090CDE0}" name="59" totalsRowFunction="sum"/>
    <tableColumn id="20" xr3:uid="{85716B3F-ED39-9846-98BD-3A0D0D176107}" name="60" totalsRowFunction="sum"/>
    <tableColumn id="21" xr3:uid="{B566D538-159A-4448-8A3A-D1A07B57E448}" name="61" totalsRowFunction="sum"/>
    <tableColumn id="22" xr3:uid="{B8CE539D-4E7B-894C-BD26-773CA3EA61A3}" name="62" totalsRowFunction="sum"/>
    <tableColumn id="23" xr3:uid="{A5E60543-B337-FF40-8B7D-7EFE6BDBC32A}" name="63" totalsRowFunction="sum"/>
    <tableColumn id="24" xr3:uid="{8CACD1EC-9391-7B4C-AC4A-7913C7C95421}" name="64" totalsRowFunction="sum"/>
    <tableColumn id="25" xr3:uid="{C2678DAE-FA32-3347-8993-05CEF5124C20}" name="65" totalsRowFunction="sum"/>
    <tableColumn id="26" xr3:uid="{D47806CF-B1CE-F54A-A93E-040236D4E84F}" name="66" totalsRowFunction="sum"/>
    <tableColumn id="27" xr3:uid="{FAAB1BB2-F8A6-7C4B-9174-20903F380283}" name="67" totalsRowFunction="sum"/>
    <tableColumn id="28" xr3:uid="{F18F989B-2F23-9D4A-8AD1-698C0408BFBE}" name="68" totalsRowFunction="sum"/>
    <tableColumn id="29" xr3:uid="{7E3ACDE9-A8B9-9049-B99B-14796816AA48}" name="69" totalsRowFunction="sum"/>
    <tableColumn id="30" xr3:uid="{2EB072E5-3095-0C4E-9485-1715857B7ACE}" name="70" totalsRowFunction="sum"/>
    <tableColumn id="31" xr3:uid="{368DBFC4-6E16-8A44-BAD9-D644A87C8188}" name="71" totalsRowFunction="sum"/>
    <tableColumn id="32" xr3:uid="{2FEC1636-C1E3-5F43-9FBD-20EBA7641B4F}" name="72" totalsRowFunction="sum"/>
    <tableColumn id="33" xr3:uid="{54DD7DEB-4EA4-B643-9D0A-FCEF582E1EE3}" name="73" totalsRowFunction="sum"/>
    <tableColumn id="34" xr3:uid="{5507FD92-BACE-794F-9812-FE09C5AF8F6F}" name="74" totalsRowFunction="sum"/>
    <tableColumn id="35" xr3:uid="{E092BEEF-688B-5E41-ABE7-2EE4E0515956}" name="75" totalsRowFunction="sum"/>
    <tableColumn id="36" xr3:uid="{32D25D5B-49B3-A14E-98A1-58AD6E8004F0}" name="SCRIPTS" totalsRowFunction="sum" dataDxfId="107">
      <calculatedColumnFormula>SUM(Post[[#This Row],[47]:[75]])</calculatedColumnFormula>
    </tableColumn>
  </tableColumns>
  <tableStyleInfo name="TableStyleMedium9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BE2B88-94B3-4A44-8A18-723F8912496E}" name="Table12" displayName="Table12" ref="A2:AE13" totalsRowCount="1">
  <autoFilter ref="A2:AE12" xr:uid="{20BE2B88-94B3-4A44-8A18-723F8912496E}"/>
  <tableColumns count="31">
    <tableColumn id="1" xr3:uid="{B5FF8304-33F9-BB48-8F0C-B26422EDAB34}" name="CATEGORY" totalsRowLabel="Total"/>
    <tableColumn id="2" xr3:uid="{F65615D9-9A83-A643-A284-835889EF0D38}" name="47" totalsRowFunction="sum" dataDxfId="96">
      <calculatedColumnFormula>SUMIFS(Post[47],Post[CATEGORY],Table12[[#This Row],[CATEGORY]])</calculatedColumnFormula>
    </tableColumn>
    <tableColumn id="3" xr3:uid="{8F53F058-3C0A-FB4B-8C91-CFE909A35BF7}" name="48" totalsRowFunction="sum" dataDxfId="95">
      <calculatedColumnFormula>SUMIFS(Post[48],Post[CATEGORY],Table12[[#This Row],[CATEGORY]])</calculatedColumnFormula>
    </tableColumn>
    <tableColumn id="4" xr3:uid="{44C7BD22-E39B-FC48-A347-5498851406BD}" name="49" totalsRowFunction="sum" dataDxfId="94">
      <calculatedColumnFormula>SUMIFS(Post[49],Post[CATEGORY],Table12[[#This Row],[CATEGORY]])</calculatedColumnFormula>
    </tableColumn>
    <tableColumn id="5" xr3:uid="{51718E33-2A1B-0442-AA87-A9F629333450}" name="50" totalsRowFunction="sum" dataDxfId="93">
      <calculatedColumnFormula>SUMIFS(Post[50],Post[CATEGORY],Table12[[#This Row],[CATEGORY]])</calculatedColumnFormula>
    </tableColumn>
    <tableColumn id="6" xr3:uid="{5D2F184C-14D1-7B48-B00E-E09871B45158}" name="51" totalsRowFunction="sum" dataDxfId="92">
      <calculatedColumnFormula>SUMIFS(Post[51],Post[CATEGORY],Table12[[#This Row],[CATEGORY]])</calculatedColumnFormula>
    </tableColumn>
    <tableColumn id="7" xr3:uid="{DB2D7EB1-48CB-E64E-A34F-63A5ED02B972}" name="52" totalsRowFunction="sum" dataDxfId="91">
      <calculatedColumnFormula>SUMIFS(Post[52],Post[CATEGORY],Table12[[#This Row],[CATEGORY]])</calculatedColumnFormula>
    </tableColumn>
    <tableColumn id="8" xr3:uid="{6F7886D7-AE57-F541-BD2A-F423870313DB}" name="53" totalsRowFunction="sum" dataDxfId="90">
      <calculatedColumnFormula>SUMIFS(Post[53],Post[CATEGORY],Table12[[#This Row],[CATEGORY]])</calculatedColumnFormula>
    </tableColumn>
    <tableColumn id="9" xr3:uid="{718A76D0-6281-1843-8CA0-1DB0511F6B01}" name="54" totalsRowFunction="sum" dataDxfId="89">
      <calculatedColumnFormula>SUMIFS(Post[54],Post[CATEGORY],Table12[[#This Row],[CATEGORY]])</calculatedColumnFormula>
    </tableColumn>
    <tableColumn id="10" xr3:uid="{899B1F2E-5D6A-8E48-AC93-B2ACE30E5D5F}" name="55" totalsRowFunction="sum" dataDxfId="88">
      <calculatedColumnFormula>SUMIFS(Post[55],Post[CATEGORY],Table12[[#This Row],[CATEGORY]])</calculatedColumnFormula>
    </tableColumn>
    <tableColumn id="11" xr3:uid="{E78CBD0D-7951-FA40-9B2D-9944AFA36CA1}" name="56" totalsRowFunction="sum" dataDxfId="87">
      <calculatedColumnFormula>SUMIFS(Post[56],Post[CATEGORY],Table12[[#This Row],[CATEGORY]])</calculatedColumnFormula>
    </tableColumn>
    <tableColumn id="12" xr3:uid="{46CD353E-BA42-254B-B5F6-4788E4D26E27}" name="57" totalsRowFunction="sum" dataDxfId="86">
      <calculatedColumnFormula>SUMIFS(Post[57],Post[CATEGORY],Table12[[#This Row],[CATEGORY]])</calculatedColumnFormula>
    </tableColumn>
    <tableColumn id="13" xr3:uid="{5350676C-F8C9-EE43-B04E-A18E1FE8F530}" name="58" totalsRowFunction="sum" dataDxfId="85">
      <calculatedColumnFormula>SUMIFS(Post[58],Post[CATEGORY],Table12[[#This Row],[CATEGORY]])</calculatedColumnFormula>
    </tableColumn>
    <tableColumn id="14" xr3:uid="{4CF261E7-C5CE-A140-A8BB-ED0FE77A29FD}" name="59" totalsRowFunction="sum" dataDxfId="84">
      <calculatedColumnFormula>SUMIFS(Post[59],Post[CATEGORY],Table12[[#This Row],[CATEGORY]])</calculatedColumnFormula>
    </tableColumn>
    <tableColumn id="15" xr3:uid="{C7E98615-71B8-4646-A275-F6DCD561B735}" name="60" totalsRowFunction="sum" dataDxfId="83">
      <calculatedColumnFormula>SUMIFS(Post[60],Post[CATEGORY],Table12[[#This Row],[CATEGORY]])</calculatedColumnFormula>
    </tableColumn>
    <tableColumn id="16" xr3:uid="{8D49C16E-ED8E-4349-BE2B-E340AA58F058}" name="61" totalsRowFunction="sum" dataDxfId="82">
      <calculatedColumnFormula>SUMIFS(Post[61],Post[CATEGORY],Table12[[#This Row],[CATEGORY]])</calculatedColumnFormula>
    </tableColumn>
    <tableColumn id="17" xr3:uid="{B81661B8-E88B-EF45-81E9-762CE362775C}" name="62" totalsRowFunction="sum" dataDxfId="81">
      <calculatedColumnFormula>SUMIFS(Post[62],Post[CATEGORY],Table12[[#This Row],[CATEGORY]])</calculatedColumnFormula>
    </tableColumn>
    <tableColumn id="18" xr3:uid="{39AD1CBC-A4D5-D94C-B5AE-3A92EFEB6B02}" name="63" totalsRowFunction="sum" dataDxfId="80">
      <calculatedColumnFormula>SUMIFS(Post[63],Post[CATEGORY],Table12[[#This Row],[CATEGORY]])</calculatedColumnFormula>
    </tableColumn>
    <tableColumn id="19" xr3:uid="{F01F9FAE-BF0F-7541-AD0C-803D7B2EDEB0}" name="64" totalsRowFunction="sum" dataDxfId="79">
      <calculatedColumnFormula>SUMIFS(Post[64],Post[CATEGORY],Table12[[#This Row],[CATEGORY]])</calculatedColumnFormula>
    </tableColumn>
    <tableColumn id="20" xr3:uid="{D681425F-9865-4846-9A4A-B04869AE447F}" name="65" totalsRowFunction="sum" dataDxfId="78">
      <calculatedColumnFormula>SUMIFS(Post[65],Post[CATEGORY],Table12[[#This Row],[CATEGORY]])</calculatedColumnFormula>
    </tableColumn>
    <tableColumn id="21" xr3:uid="{3A38888E-7760-D04C-B446-BEB24E151A59}" name="66" totalsRowFunction="sum" dataDxfId="77">
      <calculatedColumnFormula>SUMIFS(Post[66],Post[CATEGORY],Table12[[#This Row],[CATEGORY]])</calculatedColumnFormula>
    </tableColumn>
    <tableColumn id="22" xr3:uid="{C00E0E66-4B8C-E84F-B455-AADCC15F97A3}" name="67" totalsRowFunction="sum" dataDxfId="76">
      <calculatedColumnFormula>SUMIFS(Post[67],Post[CATEGORY],Table12[[#This Row],[CATEGORY]])</calculatedColumnFormula>
    </tableColumn>
    <tableColumn id="23" xr3:uid="{5CE92367-5B32-8043-ACA8-E80A8127CC9D}" name="68" totalsRowFunction="sum" dataDxfId="75">
      <calculatedColumnFormula>SUMIFS(Post[68],Post[CATEGORY],Table12[[#This Row],[CATEGORY]])</calculatedColumnFormula>
    </tableColumn>
    <tableColumn id="24" xr3:uid="{8384B13D-5751-844A-8640-AB72441F1B04}" name="69" totalsRowFunction="sum" dataDxfId="74">
      <calculatedColumnFormula>SUMIFS(Post[69],Post[CATEGORY],Table12[[#This Row],[CATEGORY]])</calculatedColumnFormula>
    </tableColumn>
    <tableColumn id="25" xr3:uid="{012A3ECF-A856-504E-8B17-CF6C4ADCE1E1}" name="70" totalsRowFunction="sum" dataDxfId="73">
      <calculatedColumnFormula>SUMIFS(Post[70],Post[CATEGORY],Table12[[#This Row],[CATEGORY]])</calculatedColumnFormula>
    </tableColumn>
    <tableColumn id="26" xr3:uid="{B3C18C1E-D6D9-E444-897F-157ED24B267D}" name="71" totalsRowFunction="sum" dataDxfId="72">
      <calculatedColumnFormula>SUMIFS(Post[71],Post[CATEGORY],Table12[[#This Row],[CATEGORY]])</calculatedColumnFormula>
    </tableColumn>
    <tableColumn id="27" xr3:uid="{DD489933-A160-E246-9F62-F7D13BC6684E}" name="72" totalsRowFunction="sum" dataDxfId="71">
      <calculatedColumnFormula>SUMIFS(Post[72],Post[CATEGORY],Table12[[#This Row],[CATEGORY]])</calculatedColumnFormula>
    </tableColumn>
    <tableColumn id="28" xr3:uid="{D9D00898-7EA5-9D48-AB29-AA2A3720F870}" name="73" totalsRowFunction="sum" dataDxfId="70">
      <calculatedColumnFormula>SUMIFS(Post[73],Post[CATEGORY],Table12[[#This Row],[CATEGORY]])</calculatedColumnFormula>
    </tableColumn>
    <tableColumn id="29" xr3:uid="{230F8B9D-74C4-3443-ACBF-53BC11478B39}" name="74" totalsRowFunction="sum" dataDxfId="69">
      <calculatedColumnFormula>SUMIFS(Post[74],Post[CATEGORY],Table12[[#This Row],[CATEGORY]])</calculatedColumnFormula>
    </tableColumn>
    <tableColumn id="30" xr3:uid="{0DA911C4-F568-8C42-9606-96AE513144CC}" name="75" totalsRowFunction="sum" dataDxfId="68">
      <calculatedColumnFormula>SUMIFS(Post[75],Post[CATEGORY],Table12[[#This Row],[CATEGORY]])</calculatedColumnFormula>
    </tableColumn>
    <tableColumn id="48" xr3:uid="{819A756B-8D99-D04F-96BE-48CFD5A6920B}" name="SCRIPTS" totalsRowFunction="sum" dataDxfId="67">
      <calculatedColumnFormula>SUM(Table12[[#This Row],[47]:[75]])</calculatedColumnFormula>
    </tableColumn>
  </tableColumns>
  <tableStyleInfo name="TableStyleMedium13" showFirstColumn="0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9CAD6D7-E53B-F54D-B3EF-84B492F07EF3}" name="Table122425" displayName="Table122425" ref="A16:AE27" totalsRowCount="1">
  <autoFilter ref="A16:AE26" xr:uid="{29CAD6D7-E53B-F54D-B3EF-84B492F07EF3}"/>
  <tableColumns count="31">
    <tableColumn id="1" xr3:uid="{5C767751-B463-A34E-B7BA-0EB23968214C}" name="CATEGORY" totalsRowLabel="Total"/>
    <tableColumn id="2" xr3:uid="{05D4A3D9-BB84-D149-B657-2E4E404FFBBE}" name="47" totalsRowFunction="sum" dataDxfId="66">
      <calculatedColumnFormula>SUMIFS(Post[47],Post[CATEGORY],Table122425[[#This Row],[CATEGORY]],Pre[GROUPING],"Jan")</calculatedColumnFormula>
    </tableColumn>
    <tableColumn id="3" xr3:uid="{EBA60203-32C3-684F-A3F9-CE60787F36C1}" name="48" totalsRowFunction="sum" dataDxfId="65">
      <calculatedColumnFormula>SUMIFS(Post[48],Post[CATEGORY],Table122425[[#This Row],[CATEGORY]],Pre[GROUPING],"Jan")</calculatedColumnFormula>
    </tableColumn>
    <tableColumn id="4" xr3:uid="{D8572769-6F61-5E48-B6EE-002066F6B7E8}" name="49" totalsRowFunction="sum" dataDxfId="64">
      <calculatedColumnFormula>SUMIFS(Post[49],Post[CATEGORY],Table122425[[#This Row],[CATEGORY]],Pre[GROUPING],"Jan")</calculatedColumnFormula>
    </tableColumn>
    <tableColumn id="5" xr3:uid="{018D52E0-79C7-184E-94A0-AD7B188EA18C}" name="50" totalsRowFunction="sum" dataDxfId="63">
      <calculatedColumnFormula>SUMIFS(Post[50],Post[CATEGORY],Table122425[[#This Row],[CATEGORY]],Pre[GROUPING],"Jan")</calculatedColumnFormula>
    </tableColumn>
    <tableColumn id="6" xr3:uid="{4EE5292B-69DA-DF48-9A2D-CBA5FE0DE964}" name="51" totalsRowFunction="sum" dataDxfId="62">
      <calculatedColumnFormula>SUMIFS(Post[51],Post[CATEGORY],Table122425[[#This Row],[CATEGORY]],Pre[GROUPING],"Jan")</calculatedColumnFormula>
    </tableColumn>
    <tableColumn id="7" xr3:uid="{4722B97F-D277-574D-908B-D87967C286AF}" name="52" totalsRowFunction="sum" dataDxfId="61">
      <calculatedColumnFormula>SUMIFS(Post[52],Post[CATEGORY],Table122425[[#This Row],[CATEGORY]],Pre[GROUPING],"Jan")</calculatedColumnFormula>
    </tableColumn>
    <tableColumn id="8" xr3:uid="{52C2464A-45C1-1B49-9A5D-ED11F094A975}" name="53" totalsRowFunction="sum" dataDxfId="60">
      <calculatedColumnFormula>SUMIFS(Post[53],Post[CATEGORY],Table122425[[#This Row],[CATEGORY]],Pre[GROUPING],"Jan")</calculatedColumnFormula>
    </tableColumn>
    <tableColumn id="9" xr3:uid="{E713757C-C652-3A49-8199-FB129DA615E1}" name="54" totalsRowFunction="sum" dataDxfId="59">
      <calculatedColumnFormula>SUMIFS(Post[54],Post[CATEGORY],Table122425[[#This Row],[CATEGORY]],Pre[GROUPING],"Jan")</calculatedColumnFormula>
    </tableColumn>
    <tableColumn id="10" xr3:uid="{05D92D11-9A92-764F-8C23-702F5A6F5A53}" name="55" totalsRowFunction="sum" dataDxfId="58">
      <calculatedColumnFormula>SUMIFS(Post[55],Post[CATEGORY],Table122425[[#This Row],[CATEGORY]],Pre[GROUPING],"Jan")</calculatedColumnFormula>
    </tableColumn>
    <tableColumn id="11" xr3:uid="{B4B0A40E-0B8D-BF4A-B6EE-662F138D7D60}" name="56" totalsRowFunction="sum" dataDxfId="57">
      <calculatedColumnFormula>SUMIFS(Post[56],Post[CATEGORY],Table122425[[#This Row],[CATEGORY]],Pre[GROUPING],"Jan")</calculatedColumnFormula>
    </tableColumn>
    <tableColumn id="12" xr3:uid="{CE318BC5-ED66-FB46-B925-426FF0EE506F}" name="57" totalsRowFunction="sum" dataDxfId="56">
      <calculatedColumnFormula>SUMIFS(Post[57],Post[CATEGORY],Table122425[[#This Row],[CATEGORY]],Pre[GROUPING],"Jan")</calculatedColumnFormula>
    </tableColumn>
    <tableColumn id="13" xr3:uid="{8D72AB65-91DC-DC43-A5D3-35657AA06811}" name="58" totalsRowFunction="sum" dataDxfId="55">
      <calculatedColumnFormula>SUMIFS(Post[58],Post[CATEGORY],Table122425[[#This Row],[CATEGORY]],Pre[GROUPING],"Jan")</calculatedColumnFormula>
    </tableColumn>
    <tableColumn id="14" xr3:uid="{CCF64C64-4374-AE41-BA04-25B53B14F821}" name="59" totalsRowFunction="sum" dataDxfId="54">
      <calculatedColumnFormula>SUMIFS(Post[59],Post[CATEGORY],Table122425[[#This Row],[CATEGORY]],Pre[GROUPING],"Jan")</calculatedColumnFormula>
    </tableColumn>
    <tableColumn id="15" xr3:uid="{DCA7BD4B-5CC3-DE45-84BA-5B43F41230BD}" name="60" totalsRowFunction="sum" dataDxfId="53">
      <calculatedColumnFormula>SUMIFS(Post[60],Post[CATEGORY],Table122425[[#This Row],[CATEGORY]],Pre[GROUPING],"Jan")</calculatedColumnFormula>
    </tableColumn>
    <tableColumn id="16" xr3:uid="{8E79A808-8126-954C-B482-2FCBE1712687}" name="61" totalsRowFunction="sum" dataDxfId="52">
      <calculatedColumnFormula>SUMIFS(Post[61],Post[CATEGORY],Table122425[[#This Row],[CATEGORY]],Pre[GROUPING],"Jan")</calculatedColumnFormula>
    </tableColumn>
    <tableColumn id="17" xr3:uid="{9F9C5F1A-4F90-964B-8A46-770CD82659D6}" name="62" totalsRowFunction="sum" dataDxfId="51">
      <calculatedColumnFormula>SUMIFS(Post[62],Post[CATEGORY],Table122425[[#This Row],[CATEGORY]],Pre[GROUPING],"Jan")</calculatedColumnFormula>
    </tableColumn>
    <tableColumn id="18" xr3:uid="{2A7816B9-C373-794B-96B1-9F66D2CF8F5F}" name="63" totalsRowFunction="sum" dataDxfId="50">
      <calculatedColumnFormula>SUMIFS(Post[63],Post[CATEGORY],Table122425[[#This Row],[CATEGORY]],Pre[GROUPING],"Jan")</calculatedColumnFormula>
    </tableColumn>
    <tableColumn id="19" xr3:uid="{0C07FDC6-422F-424D-BFEB-D5729338D33B}" name="64" totalsRowFunction="sum" dataDxfId="49">
      <calculatedColumnFormula>SUMIFS(Post[64],Post[CATEGORY],Table122425[[#This Row],[CATEGORY]],Pre[GROUPING],"Jan")</calculatedColumnFormula>
    </tableColumn>
    <tableColumn id="20" xr3:uid="{F0486E1D-8B8D-8041-B1C1-363A37F64FB7}" name="65" totalsRowFunction="sum" dataDxfId="48">
      <calculatedColumnFormula>SUMIFS(Post[65],Post[CATEGORY],Table122425[[#This Row],[CATEGORY]],Pre[GROUPING],"Jan")</calculatedColumnFormula>
    </tableColumn>
    <tableColumn id="21" xr3:uid="{E695387E-F999-4241-9C96-5AC630AE96C3}" name="66" totalsRowFunction="sum" dataDxfId="47">
      <calculatedColumnFormula>SUMIFS(Post[66],Post[CATEGORY],Table122425[[#This Row],[CATEGORY]],Pre[GROUPING],"Jan")</calculatedColumnFormula>
    </tableColumn>
    <tableColumn id="22" xr3:uid="{C89F6AD1-4366-1A41-AC7B-530458E18E22}" name="67" totalsRowFunction="sum" dataDxfId="46">
      <calculatedColumnFormula>SUMIFS(Post[67],Post[CATEGORY],Table122425[[#This Row],[CATEGORY]],Pre[GROUPING],"Jan")</calculatedColumnFormula>
    </tableColumn>
    <tableColumn id="23" xr3:uid="{CB19F303-FD5F-F047-A3BF-F1D0211BDECA}" name="68" totalsRowFunction="sum" dataDxfId="45">
      <calculatedColumnFormula>SUMIFS(Post[68],Post[CATEGORY],Table122425[[#This Row],[CATEGORY]],Pre[GROUPING],"Jan")</calculatedColumnFormula>
    </tableColumn>
    <tableColumn id="24" xr3:uid="{E8F422C7-6EF1-9D41-A357-9F8FD5DEA7C5}" name="69" totalsRowFunction="sum" dataDxfId="44">
      <calculatedColumnFormula>SUMIFS(Post[69],Post[CATEGORY],Table122425[[#This Row],[CATEGORY]],Pre[GROUPING],"Jan")</calculatedColumnFormula>
    </tableColumn>
    <tableColumn id="25" xr3:uid="{7C34D91D-D90C-3B42-905D-B35A44C09D8D}" name="70" totalsRowFunction="sum" dataDxfId="43">
      <calculatedColumnFormula>SUMIFS(Post[70],Post[CATEGORY],Table122425[[#This Row],[CATEGORY]],Pre[GROUPING],"Jan")</calculatedColumnFormula>
    </tableColumn>
    <tableColumn id="26" xr3:uid="{52BAFFE8-CC39-FA47-80BE-9FD49B0AABF6}" name="71" totalsRowFunction="sum" dataDxfId="42">
      <calculatedColumnFormula>SUMIFS(Post[71],Post[CATEGORY],Table122425[[#This Row],[CATEGORY]],Pre[GROUPING],"Jan")</calculatedColumnFormula>
    </tableColumn>
    <tableColumn id="27" xr3:uid="{AEC61F93-ADA3-D441-ACF5-48AD185BA8B4}" name="72" totalsRowFunction="sum" dataDxfId="41">
      <calculatedColumnFormula>SUMIFS(Post[72],Post[CATEGORY],Table122425[[#This Row],[CATEGORY]],Pre[GROUPING],"Jan")</calculatedColumnFormula>
    </tableColumn>
    <tableColumn id="28" xr3:uid="{07ED7150-7C05-1046-AFCB-50E4AAAECFE9}" name="73" totalsRowFunction="sum" dataDxfId="40">
      <calculatedColumnFormula>SUMIFS(Post[73],Post[CATEGORY],Table122425[[#This Row],[CATEGORY]],Pre[GROUPING],"Jan")</calculatedColumnFormula>
    </tableColumn>
    <tableColumn id="29" xr3:uid="{0C493234-E128-9444-A553-988CEA18455A}" name="74" totalsRowFunction="sum" dataDxfId="39">
      <calculatedColumnFormula>SUMIFS(Post[74],Post[CATEGORY],Table122425[[#This Row],[CATEGORY]],Pre[GROUPING],"Jan")</calculatedColumnFormula>
    </tableColumn>
    <tableColumn id="30" xr3:uid="{1044E6FE-5D16-3D4B-B957-DCECB185F485}" name="75" totalsRowFunction="sum" dataDxfId="38">
      <calculatedColumnFormula>SUMIFS(Post[75],Post[CATEGORY],Table122425[[#This Row],[CATEGORY]],Pre[GROUPING],"Jan")</calculatedColumnFormula>
    </tableColumn>
    <tableColumn id="48" xr3:uid="{422A9512-3F76-D14F-AD0F-125F17DF6631}" name="SCRIPTS" totalsRowFunction="sum" dataDxfId="37">
      <calculatedColumnFormula>SUM(Table122425[[#This Row],[47]:[75]])</calculatedColumnFormula>
    </tableColumn>
  </tableColumns>
  <tableStyleInfo name="TableStyleMedium9" showFirstColumn="0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EADE05D-BC04-0843-9B7A-E786FCA4555D}" name="Table122426" displayName="Table122426" ref="A30:AE41" totalsRowCount="1">
  <autoFilter ref="A30:AE40" xr:uid="{FEADE05D-BC04-0843-9B7A-E786FCA4555D}"/>
  <tableColumns count="31">
    <tableColumn id="1" xr3:uid="{50AD94C8-A21C-834B-86D4-25D407F935EC}" name="CATEGORY" totalsRowLabel="Total"/>
    <tableColumn id="2" xr3:uid="{90C12E6D-CE43-4D48-965C-B8E08BB59C38}" name="47" totalsRowFunction="sum" dataDxfId="36">
      <calculatedColumnFormula>SUMIFS(Post[47],Post[CATEGORY],Table122426[[#This Row],[CATEGORY]],Pre[GROUPING],"Nov")</calculatedColumnFormula>
    </tableColumn>
    <tableColumn id="3" xr3:uid="{C09CE8DC-BCD3-0D4F-B441-DAF216EB4195}" name="48" totalsRowFunction="sum" dataDxfId="35">
      <calculatedColumnFormula>SUMIFS(Post[48],Post[CATEGORY],Table122426[[#This Row],[CATEGORY]],Pre[GROUPING],"Nov")</calculatedColumnFormula>
    </tableColumn>
    <tableColumn id="4" xr3:uid="{3EEF73FC-A428-C745-A337-800527A71C59}" name="49" totalsRowFunction="sum" dataDxfId="34">
      <calculatedColumnFormula>SUMIFS(Post[49],Post[CATEGORY],Table122426[[#This Row],[CATEGORY]],Pre[GROUPING],"Nov")</calculatedColumnFormula>
    </tableColumn>
    <tableColumn id="5" xr3:uid="{9A7190B2-288D-4B4A-98CD-78E3D250D111}" name="50" totalsRowFunction="sum" dataDxfId="33">
      <calculatedColumnFormula>SUMIFS(Post[50],Post[CATEGORY],Table122426[[#This Row],[CATEGORY]],Pre[GROUPING],"Nov")</calculatedColumnFormula>
    </tableColumn>
    <tableColumn id="6" xr3:uid="{EB6F4CCD-4A04-7643-8CBB-0976E59DE7F8}" name="51" totalsRowFunction="sum" dataDxfId="32">
      <calculatedColumnFormula>SUMIFS(Post[51],Post[CATEGORY],Table122426[[#This Row],[CATEGORY]],Pre[GROUPING],"Nov")</calculatedColumnFormula>
    </tableColumn>
    <tableColumn id="7" xr3:uid="{30231421-7F31-6C47-8D97-6337799A6CA8}" name="52" totalsRowFunction="sum" dataDxfId="31">
      <calculatedColumnFormula>SUMIFS(Post[52],Post[CATEGORY],Table122426[[#This Row],[CATEGORY]],Pre[GROUPING],"Nov")</calculatedColumnFormula>
    </tableColumn>
    <tableColumn id="8" xr3:uid="{CEA3A6C2-60CA-354B-B38E-F31BA6010D0C}" name="53" totalsRowFunction="sum" dataDxfId="30">
      <calculatedColumnFormula>SUMIFS(Post[53],Post[CATEGORY],Table122426[[#This Row],[CATEGORY]],Pre[GROUPING],"Nov")</calculatedColumnFormula>
    </tableColumn>
    <tableColumn id="9" xr3:uid="{9ABEAC79-D487-A743-8C69-59AC05FA6725}" name="54" totalsRowFunction="sum" dataDxfId="29">
      <calculatedColumnFormula>SUMIFS(Post[54],Post[CATEGORY],Table122426[[#This Row],[CATEGORY]],Pre[GROUPING],"Nov")</calculatedColumnFormula>
    </tableColumn>
    <tableColumn id="10" xr3:uid="{F1342D1A-7FD7-064F-9295-C2B94125AE2C}" name="55" totalsRowFunction="sum" dataDxfId="28">
      <calculatedColumnFormula>SUMIFS(Post[55],Post[CATEGORY],Table122426[[#This Row],[CATEGORY]],Pre[GROUPING],"Nov")</calculatedColumnFormula>
    </tableColumn>
    <tableColumn id="11" xr3:uid="{AF510FCE-7AD1-0F4F-9A1B-8A63C11C4BD4}" name="56" totalsRowFunction="sum" dataDxfId="27">
      <calculatedColumnFormula>SUMIFS(Post[56],Post[CATEGORY],Table122426[[#This Row],[CATEGORY]],Pre[GROUPING],"Nov")</calculatedColumnFormula>
    </tableColumn>
    <tableColumn id="12" xr3:uid="{81F228E8-E6FD-D143-835F-9257A965B687}" name="57" totalsRowFunction="sum" dataDxfId="26">
      <calculatedColumnFormula>SUMIFS(Post[57],Post[CATEGORY],Table122426[[#This Row],[CATEGORY]],Pre[GROUPING],"Nov")</calculatedColumnFormula>
    </tableColumn>
    <tableColumn id="13" xr3:uid="{719D7A36-5623-7C4A-9EC6-CDE4CB563699}" name="58" totalsRowFunction="sum" dataDxfId="25">
      <calculatedColumnFormula>SUMIFS(Post[58],Post[CATEGORY],Table122426[[#This Row],[CATEGORY]],Pre[GROUPING],"Nov")</calculatedColumnFormula>
    </tableColumn>
    <tableColumn id="14" xr3:uid="{08A5C04F-96D4-2B41-96B2-489F71EFB23C}" name="59" totalsRowFunction="sum" dataDxfId="24">
      <calculatedColumnFormula>SUMIFS(Post[59],Post[CATEGORY],Table122426[[#This Row],[CATEGORY]],Pre[GROUPING],"Nov")</calculatedColumnFormula>
    </tableColumn>
    <tableColumn id="15" xr3:uid="{1FCB00A0-2FDA-7A4B-8BA7-F9BC793D3F75}" name="60" totalsRowFunction="sum" dataDxfId="23">
      <calculatedColumnFormula>SUMIFS(Post[60],Post[CATEGORY],Table122426[[#This Row],[CATEGORY]],Pre[GROUPING],"Nov")</calculatedColumnFormula>
    </tableColumn>
    <tableColumn id="16" xr3:uid="{2B8C6E49-ABF4-D14F-8830-7CA62219791D}" name="61" totalsRowFunction="sum" dataDxfId="22">
      <calculatedColumnFormula>SUMIFS(Post[61],Post[CATEGORY],Table122426[[#This Row],[CATEGORY]],Pre[GROUPING],"Nov")</calculatedColumnFormula>
    </tableColumn>
    <tableColumn id="17" xr3:uid="{9A348617-D246-EA48-91FF-0B1A2BE1077C}" name="62" totalsRowFunction="sum" dataDxfId="21">
      <calculatedColumnFormula>SUMIFS(Post[62],Post[CATEGORY],Table122426[[#This Row],[CATEGORY]],Pre[GROUPING],"Nov")</calculatedColumnFormula>
    </tableColumn>
    <tableColumn id="18" xr3:uid="{251DEA42-0DFB-F14C-9C9C-30B542E1DADC}" name="63" totalsRowFunction="sum" dataDxfId="20">
      <calculatedColumnFormula>SUMIFS(Post[63],Post[CATEGORY],Table122426[[#This Row],[CATEGORY]],Pre[GROUPING],"Nov")</calculatedColumnFormula>
    </tableColumn>
    <tableColumn id="19" xr3:uid="{C67868ED-6C46-BB42-9F88-D0208549931C}" name="64" totalsRowFunction="sum" dataDxfId="19">
      <calculatedColumnFormula>SUMIFS(Post[64],Post[CATEGORY],Table122426[[#This Row],[CATEGORY]],Pre[GROUPING],"Nov")</calculatedColumnFormula>
    </tableColumn>
    <tableColumn id="20" xr3:uid="{84870F05-05F4-7444-A455-18F512B863E9}" name="65" totalsRowFunction="sum" dataDxfId="18">
      <calculatedColumnFormula>SUMIFS(Post[65],Post[CATEGORY],Table122426[[#This Row],[CATEGORY]],Pre[GROUPING],"Nov")</calculatedColumnFormula>
    </tableColumn>
    <tableColumn id="21" xr3:uid="{803247D7-EBD0-CB4A-897C-78CE4CBE344E}" name="66" totalsRowFunction="sum" dataDxfId="17">
      <calculatedColumnFormula>SUMIFS(Post[66],Post[CATEGORY],Table122426[[#This Row],[CATEGORY]],Pre[GROUPING],"Nov")</calculatedColumnFormula>
    </tableColumn>
    <tableColumn id="22" xr3:uid="{721A8C42-484C-FD49-86E5-14F80D5B8C8B}" name="67" totalsRowFunction="sum" dataDxfId="16">
      <calculatedColumnFormula>SUMIFS(Post[67],Post[CATEGORY],Table122426[[#This Row],[CATEGORY]],Pre[GROUPING],"Nov")</calculatedColumnFormula>
    </tableColumn>
    <tableColumn id="23" xr3:uid="{1B369F20-AC98-F042-876D-D8527AF8DAB0}" name="68" totalsRowFunction="sum" dataDxfId="15">
      <calculatedColumnFormula>SUMIFS(Post[68],Post[CATEGORY],Table122426[[#This Row],[CATEGORY]],Pre[GROUPING],"Nov")</calculatedColumnFormula>
    </tableColumn>
    <tableColumn id="24" xr3:uid="{698708FD-EC49-9E47-8DA6-EB8CD062B62B}" name="69" totalsRowFunction="sum" dataDxfId="14">
      <calculatedColumnFormula>SUMIFS(Post[69],Post[CATEGORY],Table122426[[#This Row],[CATEGORY]],Pre[GROUPING],"Nov")</calculatedColumnFormula>
    </tableColumn>
    <tableColumn id="25" xr3:uid="{E7942847-90B8-9543-95C7-3E329BF11B23}" name="70" totalsRowFunction="sum" dataDxfId="13">
      <calculatedColumnFormula>SUMIFS(Post[70],Post[CATEGORY],Table122426[[#This Row],[CATEGORY]],Pre[GROUPING],"Nov")</calculatedColumnFormula>
    </tableColumn>
    <tableColumn id="26" xr3:uid="{B40F8359-0C76-0F40-B6D8-AD58EC5704C1}" name="71" totalsRowFunction="sum" dataDxfId="12">
      <calculatedColumnFormula>SUMIFS(Post[71],Post[CATEGORY],Table122426[[#This Row],[CATEGORY]],Pre[GROUPING],"Nov")</calculatedColumnFormula>
    </tableColumn>
    <tableColumn id="27" xr3:uid="{4C69585B-A65F-D54A-A7FC-C160A19657AB}" name="72" totalsRowFunction="sum" dataDxfId="11">
      <calculatedColumnFormula>SUMIFS(Post[72],Post[CATEGORY],Table122426[[#This Row],[CATEGORY]],Pre[GROUPING],"Nov")</calculatedColumnFormula>
    </tableColumn>
    <tableColumn id="28" xr3:uid="{08B3639C-95D8-614A-A4E4-1A179D42C3F7}" name="73" totalsRowFunction="sum" dataDxfId="10">
      <calculatedColumnFormula>SUMIFS(Post[73],Post[CATEGORY],Table122426[[#This Row],[CATEGORY]],Pre[GROUPING],"Nov")</calculatedColumnFormula>
    </tableColumn>
    <tableColumn id="29" xr3:uid="{F1EC3D13-E88E-6945-8811-CC63A54C060F}" name="74" totalsRowFunction="sum" dataDxfId="9">
      <calculatedColumnFormula>SUMIFS(Post[74],Post[CATEGORY],Table122426[[#This Row],[CATEGORY]],Pre[GROUPING],"Nov")</calculatedColumnFormula>
    </tableColumn>
    <tableColumn id="30" xr3:uid="{DB7D4E01-508D-D04A-BE3D-829341B378EB}" name="75" totalsRowFunction="sum" dataDxfId="8">
      <calculatedColumnFormula>SUMIFS(Post[75],Post[CATEGORY],Table122426[[#This Row],[CATEGORY]],Pre[GROUPING],"Nov")</calculatedColumnFormula>
    </tableColumn>
    <tableColumn id="48" xr3:uid="{B1AC8748-61C2-414B-8C76-65C125DA2C5C}" name="SCRIPTS" totalsRowFunction="sum" dataDxfId="7">
      <calculatedColumnFormula>SUM(Table122426[[#This Row],[47]:[75]])</calculatedColumnFormula>
    </tableColumn>
  </tableColumns>
  <tableStyleInfo name="TableStyleMedium13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211.33203125" style="4" bestFit="1" customWidth="1"/>
    <col min="2" max="16384" width="8.83203125" style="4"/>
  </cols>
  <sheetData>
    <row r="1" spans="1:17" s="2" customFormat="1" ht="18" customHeight="1" x14ac:dyDescent="0.2">
      <c r="A1" s="5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" customHeight="1" x14ac:dyDescent="0.2">
      <c r="A2" s="5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8" customHeight="1" x14ac:dyDescent="0.2">
      <c r="A3" s="5" t="s">
        <v>70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" customHeight="1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8" customHeight="1" x14ac:dyDescent="0.2">
      <c r="A5" s="6" t="s">
        <v>65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8" customHeight="1" x14ac:dyDescent="0.2">
      <c r="A6" s="6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8" spans="1:17" x14ac:dyDescent="0.2">
      <c r="A8" s="7" t="s">
        <v>68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136"/>
  <sheetViews>
    <sheetView workbookViewId="0">
      <pane xSplit="6" ySplit="1" topLeftCell="G19" activePane="bottomRight" state="frozen"/>
      <selection pane="topRight" activeCell="G1" sqref="G1"/>
      <selection pane="bottomLeft" activeCell="A2" sqref="A2"/>
      <selection pane="bottomRight" activeCell="E10" sqref="E10"/>
    </sheetView>
  </sheetViews>
  <sheetFormatPr baseColWidth="10" defaultColWidth="9.1640625" defaultRowHeight="15" x14ac:dyDescent="0.2"/>
  <cols>
    <col min="1" max="1" width="9.83203125" customWidth="1"/>
    <col min="2" max="2" width="11.83203125" customWidth="1"/>
    <col min="3" max="3" width="10.33203125" customWidth="1"/>
    <col min="4" max="4" width="6" customWidth="1"/>
    <col min="5" max="5" width="74.5" bestFit="1" customWidth="1"/>
    <col min="6" max="6" width="30.5" bestFit="1" customWidth="1"/>
    <col min="7" max="15" width="4.5" customWidth="1"/>
    <col min="16" max="52" width="5.5" customWidth="1"/>
  </cols>
  <sheetData>
    <row r="1" spans="1:53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</row>
    <row r="2" spans="1:53" x14ac:dyDescent="0.2">
      <c r="A2" t="s">
        <v>5</v>
      </c>
      <c r="B2" t="s">
        <v>6</v>
      </c>
      <c r="C2">
        <v>4013</v>
      </c>
      <c r="D2" t="s">
        <v>7</v>
      </c>
      <c r="E2" t="s">
        <v>8</v>
      </c>
      <c r="F2" t="s">
        <v>9</v>
      </c>
      <c r="I2">
        <v>1</v>
      </c>
      <c r="M2">
        <v>1</v>
      </c>
      <c r="P2">
        <v>1</v>
      </c>
      <c r="U2">
        <v>1</v>
      </c>
      <c r="Y2">
        <v>2</v>
      </c>
      <c r="AD2">
        <v>1</v>
      </c>
      <c r="AH2">
        <v>1</v>
      </c>
      <c r="AM2">
        <v>1</v>
      </c>
      <c r="AQ2">
        <v>1</v>
      </c>
      <c r="AU2">
        <v>1</v>
      </c>
      <c r="AZ2">
        <v>1</v>
      </c>
      <c r="BA2">
        <f>SUM(Pre[[#This Row],[1]:[46]])</f>
        <v>12</v>
      </c>
    </row>
    <row r="3" spans="1:53" x14ac:dyDescent="0.2">
      <c r="A3" t="s">
        <v>5</v>
      </c>
      <c r="B3" t="s">
        <v>6</v>
      </c>
      <c r="C3">
        <v>10234</v>
      </c>
      <c r="D3" t="s">
        <v>7</v>
      </c>
      <c r="E3" t="s">
        <v>10</v>
      </c>
      <c r="F3" t="s">
        <v>11</v>
      </c>
      <c r="S3">
        <v>1</v>
      </c>
      <c r="AL3">
        <v>2</v>
      </c>
      <c r="BA3">
        <f>SUM(Pre[[#This Row],[1]:[46]])</f>
        <v>3</v>
      </c>
    </row>
    <row r="4" spans="1:53" x14ac:dyDescent="0.2">
      <c r="A4" t="s">
        <v>5</v>
      </c>
      <c r="B4" t="s">
        <v>6</v>
      </c>
      <c r="C4">
        <v>11755</v>
      </c>
      <c r="D4" t="s">
        <v>7</v>
      </c>
      <c r="E4" t="s">
        <v>12</v>
      </c>
      <c r="F4" t="s">
        <v>13</v>
      </c>
      <c r="AJ4">
        <v>1</v>
      </c>
      <c r="AT4">
        <v>1</v>
      </c>
      <c r="BA4">
        <f>SUM(Pre[[#This Row],[1]:[46]])</f>
        <v>2</v>
      </c>
    </row>
    <row r="5" spans="1:53" x14ac:dyDescent="0.2">
      <c r="A5" t="s">
        <v>5</v>
      </c>
      <c r="B5" t="s">
        <v>6</v>
      </c>
      <c r="C5">
        <v>13352</v>
      </c>
      <c r="D5" t="s">
        <v>7</v>
      </c>
      <c r="E5" t="s">
        <v>14</v>
      </c>
      <c r="F5" t="s">
        <v>15</v>
      </c>
      <c r="BA5">
        <f>SUM(Pre[[#This Row],[1]:[46]])</f>
        <v>0</v>
      </c>
    </row>
    <row r="6" spans="1:53" x14ac:dyDescent="0.2">
      <c r="A6" t="s">
        <v>5</v>
      </c>
      <c r="B6" t="s">
        <v>6</v>
      </c>
      <c r="C6">
        <v>14169</v>
      </c>
      <c r="D6" t="s">
        <v>7</v>
      </c>
      <c r="E6" t="s">
        <v>10</v>
      </c>
      <c r="F6" t="s">
        <v>16</v>
      </c>
      <c r="AM6">
        <v>2</v>
      </c>
      <c r="BA6">
        <f>SUM(Pre[[#This Row],[1]:[46]])</f>
        <v>2</v>
      </c>
    </row>
    <row r="7" spans="1:53" x14ac:dyDescent="0.2">
      <c r="A7" t="s">
        <v>5</v>
      </c>
      <c r="B7" t="s">
        <v>6</v>
      </c>
      <c r="C7">
        <v>14274</v>
      </c>
      <c r="D7" t="s">
        <v>7</v>
      </c>
      <c r="E7" t="s">
        <v>17</v>
      </c>
      <c r="F7" t="s">
        <v>18</v>
      </c>
      <c r="L7">
        <v>1</v>
      </c>
      <c r="BA7">
        <f>SUM(Pre[[#This Row],[1]:[46]])</f>
        <v>1</v>
      </c>
    </row>
    <row r="8" spans="1:53" x14ac:dyDescent="0.2">
      <c r="A8" t="s">
        <v>5</v>
      </c>
      <c r="B8" t="s">
        <v>6</v>
      </c>
      <c r="C8">
        <v>15118</v>
      </c>
      <c r="D8" t="s">
        <v>7</v>
      </c>
      <c r="E8" t="s">
        <v>10</v>
      </c>
      <c r="F8" t="s">
        <v>11</v>
      </c>
      <c r="BA8">
        <f>SUM(Pre[[#This Row],[1]:[46]])</f>
        <v>0</v>
      </c>
    </row>
    <row r="9" spans="1:53" x14ac:dyDescent="0.2">
      <c r="A9" t="s">
        <v>5</v>
      </c>
      <c r="B9" t="s">
        <v>6</v>
      </c>
      <c r="C9">
        <v>15469</v>
      </c>
      <c r="D9" t="s">
        <v>7</v>
      </c>
      <c r="E9" t="s">
        <v>8</v>
      </c>
      <c r="F9" t="s">
        <v>9</v>
      </c>
      <c r="U9">
        <v>2</v>
      </c>
      <c r="Y9">
        <v>1</v>
      </c>
      <c r="AD9">
        <v>1</v>
      </c>
      <c r="AH9">
        <v>1</v>
      </c>
      <c r="AM9">
        <v>1</v>
      </c>
      <c r="AR9">
        <v>1</v>
      </c>
      <c r="AU9">
        <v>1</v>
      </c>
      <c r="BA9">
        <f>SUM(Pre[[#This Row],[1]:[46]])</f>
        <v>8</v>
      </c>
    </row>
    <row r="10" spans="1:53" x14ac:dyDescent="0.2">
      <c r="A10" t="s">
        <v>5</v>
      </c>
      <c r="B10" t="s">
        <v>6</v>
      </c>
      <c r="C10">
        <v>17706</v>
      </c>
      <c r="D10" t="s">
        <v>7</v>
      </c>
      <c r="E10" t="s">
        <v>12</v>
      </c>
      <c r="F10" t="s">
        <v>13</v>
      </c>
      <c r="BA10">
        <f>SUM(Pre[[#This Row],[1]:[46]])</f>
        <v>0</v>
      </c>
    </row>
    <row r="11" spans="1:53" x14ac:dyDescent="0.2">
      <c r="A11" t="s">
        <v>5</v>
      </c>
      <c r="B11" t="s">
        <v>6</v>
      </c>
      <c r="C11">
        <v>18578</v>
      </c>
      <c r="D11" t="s">
        <v>7</v>
      </c>
      <c r="E11" t="s">
        <v>12</v>
      </c>
      <c r="F11" t="s">
        <v>13</v>
      </c>
      <c r="BA11">
        <f>SUM(Pre[[#This Row],[1]:[46]])</f>
        <v>0</v>
      </c>
    </row>
    <row r="12" spans="1:53" x14ac:dyDescent="0.2">
      <c r="A12" t="s">
        <v>5</v>
      </c>
      <c r="B12" t="s">
        <v>6</v>
      </c>
      <c r="C12">
        <v>20802</v>
      </c>
      <c r="D12" t="s">
        <v>7</v>
      </c>
      <c r="E12" t="s">
        <v>12</v>
      </c>
      <c r="F12" t="s">
        <v>13</v>
      </c>
      <c r="BA12">
        <f>SUM(Pre[[#This Row],[1]:[46]])</f>
        <v>0</v>
      </c>
    </row>
    <row r="13" spans="1:53" x14ac:dyDescent="0.2">
      <c r="A13" t="s">
        <v>5</v>
      </c>
      <c r="B13" t="s">
        <v>6</v>
      </c>
      <c r="C13">
        <v>20844</v>
      </c>
      <c r="D13" t="s">
        <v>7</v>
      </c>
      <c r="E13" t="s">
        <v>14</v>
      </c>
      <c r="F13" t="s">
        <v>19</v>
      </c>
      <c r="BA13">
        <f>SUM(Pre[[#This Row],[1]:[46]])</f>
        <v>0</v>
      </c>
    </row>
    <row r="14" spans="1:53" x14ac:dyDescent="0.2">
      <c r="A14" t="s">
        <v>5</v>
      </c>
      <c r="B14" t="s">
        <v>6</v>
      </c>
      <c r="C14">
        <v>21263</v>
      </c>
      <c r="D14" t="s">
        <v>7</v>
      </c>
      <c r="E14" t="s">
        <v>12</v>
      </c>
      <c r="F14" t="s">
        <v>13</v>
      </c>
      <c r="BA14">
        <f>SUM(Pre[[#This Row],[1]:[46]])</f>
        <v>0</v>
      </c>
    </row>
    <row r="15" spans="1:53" x14ac:dyDescent="0.2">
      <c r="A15" t="s">
        <v>5</v>
      </c>
      <c r="B15" t="s">
        <v>6</v>
      </c>
      <c r="C15">
        <v>21461</v>
      </c>
      <c r="D15" t="s">
        <v>7</v>
      </c>
      <c r="E15" t="s">
        <v>14</v>
      </c>
      <c r="F15" t="s">
        <v>20</v>
      </c>
      <c r="AB15">
        <v>1</v>
      </c>
      <c r="BA15">
        <f>SUM(Pre[[#This Row],[1]:[46]])</f>
        <v>1</v>
      </c>
    </row>
    <row r="16" spans="1:53" x14ac:dyDescent="0.2">
      <c r="A16" t="s">
        <v>5</v>
      </c>
      <c r="B16" t="s">
        <v>6</v>
      </c>
      <c r="C16">
        <v>23618</v>
      </c>
      <c r="D16" t="s">
        <v>7</v>
      </c>
      <c r="E16" t="s">
        <v>12</v>
      </c>
      <c r="F16" t="s">
        <v>13</v>
      </c>
      <c r="AW16">
        <v>1</v>
      </c>
      <c r="BA16">
        <f>SUM(Pre[[#This Row],[1]:[46]])</f>
        <v>1</v>
      </c>
    </row>
    <row r="17" spans="1:53" x14ac:dyDescent="0.2">
      <c r="A17" t="s">
        <v>5</v>
      </c>
      <c r="B17" t="s">
        <v>6</v>
      </c>
      <c r="C17">
        <v>31893</v>
      </c>
      <c r="D17" t="s">
        <v>7</v>
      </c>
      <c r="E17" t="s">
        <v>14</v>
      </c>
      <c r="F17" t="s">
        <v>21</v>
      </c>
      <c r="BA17">
        <f>SUM(Pre[[#This Row],[1]:[46]])</f>
        <v>0</v>
      </c>
    </row>
    <row r="18" spans="1:53" x14ac:dyDescent="0.2">
      <c r="A18" t="s">
        <v>5</v>
      </c>
      <c r="B18" t="s">
        <v>6</v>
      </c>
      <c r="C18">
        <v>33272</v>
      </c>
      <c r="D18" t="s">
        <v>7</v>
      </c>
      <c r="E18" t="s">
        <v>12</v>
      </c>
      <c r="F18" t="s">
        <v>13</v>
      </c>
      <c r="BA18">
        <f>SUM(Pre[[#This Row],[1]:[46]])</f>
        <v>0</v>
      </c>
    </row>
    <row r="19" spans="1:53" x14ac:dyDescent="0.2">
      <c r="A19" t="s">
        <v>5</v>
      </c>
      <c r="B19" t="s">
        <v>6</v>
      </c>
      <c r="C19">
        <v>2057</v>
      </c>
      <c r="D19" t="s">
        <v>22</v>
      </c>
      <c r="E19" t="s">
        <v>14</v>
      </c>
      <c r="F19" t="s">
        <v>20</v>
      </c>
      <c r="AC19">
        <v>2</v>
      </c>
      <c r="AS19">
        <v>1</v>
      </c>
      <c r="BA19">
        <f>SUM(Pre[[#This Row],[1]:[46]])</f>
        <v>3</v>
      </c>
    </row>
    <row r="20" spans="1:53" x14ac:dyDescent="0.2">
      <c r="A20" t="s">
        <v>5</v>
      </c>
      <c r="B20" t="s">
        <v>6</v>
      </c>
      <c r="C20">
        <v>2352</v>
      </c>
      <c r="D20" t="s">
        <v>22</v>
      </c>
      <c r="E20" t="s">
        <v>8</v>
      </c>
      <c r="F20" t="s">
        <v>9</v>
      </c>
      <c r="K20">
        <v>1</v>
      </c>
      <c r="X20">
        <v>1</v>
      </c>
      <c r="AJ20">
        <v>1</v>
      </c>
      <c r="AX20">
        <v>1</v>
      </c>
      <c r="BA20">
        <f>SUM(Pre[[#This Row],[1]:[46]])</f>
        <v>4</v>
      </c>
    </row>
    <row r="21" spans="1:53" x14ac:dyDescent="0.2">
      <c r="A21" t="s">
        <v>5</v>
      </c>
      <c r="B21" t="s">
        <v>6</v>
      </c>
      <c r="C21">
        <v>2665</v>
      </c>
      <c r="D21" t="s">
        <v>22</v>
      </c>
      <c r="E21" t="s">
        <v>8</v>
      </c>
      <c r="F21" t="s">
        <v>23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f>SUM(Pre[[#This Row],[1]:[46]])</f>
        <v>46</v>
      </c>
    </row>
    <row r="22" spans="1:53" x14ac:dyDescent="0.2">
      <c r="A22" t="s">
        <v>5</v>
      </c>
      <c r="B22" t="s">
        <v>6</v>
      </c>
      <c r="C22">
        <v>4135</v>
      </c>
      <c r="D22" t="s">
        <v>22</v>
      </c>
      <c r="E22" t="s">
        <v>8</v>
      </c>
      <c r="F22" t="s">
        <v>23</v>
      </c>
      <c r="L22">
        <v>1</v>
      </c>
      <c r="W22">
        <v>1</v>
      </c>
      <c r="AC22">
        <v>1</v>
      </c>
      <c r="AO22">
        <v>2</v>
      </c>
      <c r="BA22">
        <f>SUM(Pre[[#This Row],[1]:[46]])</f>
        <v>5</v>
      </c>
    </row>
    <row r="23" spans="1:53" x14ac:dyDescent="0.2">
      <c r="A23" t="s">
        <v>5</v>
      </c>
      <c r="B23" t="s">
        <v>6</v>
      </c>
      <c r="C23">
        <v>5954</v>
      </c>
      <c r="D23" t="s">
        <v>22</v>
      </c>
      <c r="E23" t="s">
        <v>24</v>
      </c>
      <c r="F23" t="s">
        <v>25</v>
      </c>
      <c r="AF23">
        <v>2</v>
      </c>
      <c r="AT23">
        <v>1</v>
      </c>
      <c r="BA23">
        <f>SUM(Pre[[#This Row],[1]:[46]])</f>
        <v>3</v>
      </c>
    </row>
    <row r="24" spans="1:53" x14ac:dyDescent="0.2">
      <c r="A24" t="s">
        <v>5</v>
      </c>
      <c r="B24" t="s">
        <v>6</v>
      </c>
      <c r="C24">
        <v>7736</v>
      </c>
      <c r="D24" t="s">
        <v>22</v>
      </c>
      <c r="E24" t="s">
        <v>14</v>
      </c>
      <c r="F24" t="s">
        <v>19</v>
      </c>
      <c r="BA24">
        <f>SUM(Pre[[#This Row],[1]:[46]])</f>
        <v>0</v>
      </c>
    </row>
    <row r="25" spans="1:53" x14ac:dyDescent="0.2">
      <c r="A25" t="s">
        <v>5</v>
      </c>
      <c r="B25" t="s">
        <v>6</v>
      </c>
      <c r="C25">
        <v>9791</v>
      </c>
      <c r="D25" t="s">
        <v>22</v>
      </c>
      <c r="E25" t="s">
        <v>8</v>
      </c>
      <c r="F25" t="s">
        <v>23</v>
      </c>
      <c r="I25">
        <v>1</v>
      </c>
      <c r="V25">
        <v>1</v>
      </c>
      <c r="AI25">
        <v>1</v>
      </c>
      <c r="AV25">
        <v>1</v>
      </c>
      <c r="BA25">
        <f>SUM(Pre[[#This Row],[1]:[46]])</f>
        <v>4</v>
      </c>
    </row>
    <row r="26" spans="1:53" x14ac:dyDescent="0.2">
      <c r="A26" t="s">
        <v>5</v>
      </c>
      <c r="B26" t="s">
        <v>6</v>
      </c>
      <c r="C26">
        <v>10789</v>
      </c>
      <c r="D26" t="s">
        <v>22</v>
      </c>
      <c r="E26" t="s">
        <v>8</v>
      </c>
      <c r="F26" t="s">
        <v>9</v>
      </c>
      <c r="L26">
        <v>1</v>
      </c>
      <c r="AC26">
        <v>1</v>
      </c>
      <c r="AR26">
        <v>1</v>
      </c>
      <c r="BA26">
        <f>SUM(Pre[[#This Row],[1]:[46]])</f>
        <v>3</v>
      </c>
    </row>
    <row r="27" spans="1:53" x14ac:dyDescent="0.2">
      <c r="A27" t="s">
        <v>5</v>
      </c>
      <c r="B27" t="s">
        <v>6</v>
      </c>
      <c r="C27">
        <v>10789</v>
      </c>
      <c r="D27" t="s">
        <v>22</v>
      </c>
      <c r="E27" t="s">
        <v>26</v>
      </c>
      <c r="F27" t="s">
        <v>27</v>
      </c>
      <c r="L27">
        <v>1</v>
      </c>
      <c r="AC27">
        <v>1</v>
      </c>
      <c r="AR27">
        <v>1</v>
      </c>
      <c r="BA27">
        <f>SUM(Pre[[#This Row],[1]:[46]])</f>
        <v>3</v>
      </c>
    </row>
    <row r="28" spans="1:53" x14ac:dyDescent="0.2">
      <c r="A28" t="s">
        <v>5</v>
      </c>
      <c r="B28" t="s">
        <v>6</v>
      </c>
      <c r="C28">
        <v>10952</v>
      </c>
      <c r="D28" t="s">
        <v>22</v>
      </c>
      <c r="E28" t="s">
        <v>8</v>
      </c>
      <c r="F28" t="s">
        <v>23</v>
      </c>
      <c r="R28">
        <v>1</v>
      </c>
      <c r="AD28">
        <v>1</v>
      </c>
      <c r="AQ28">
        <v>1</v>
      </c>
      <c r="BA28">
        <f>SUM(Pre[[#This Row],[1]:[46]])</f>
        <v>3</v>
      </c>
    </row>
    <row r="29" spans="1:53" x14ac:dyDescent="0.2">
      <c r="A29" t="s">
        <v>5</v>
      </c>
      <c r="B29" t="s">
        <v>6</v>
      </c>
      <c r="C29">
        <v>13046</v>
      </c>
      <c r="D29" t="s">
        <v>22</v>
      </c>
      <c r="E29" t="s">
        <v>10</v>
      </c>
      <c r="F29" t="s">
        <v>11</v>
      </c>
      <c r="AW29">
        <v>1</v>
      </c>
      <c r="BA29">
        <f>SUM(Pre[[#This Row],[1]:[46]])</f>
        <v>1</v>
      </c>
    </row>
    <row r="30" spans="1:53" x14ac:dyDescent="0.2">
      <c r="A30" t="s">
        <v>5</v>
      </c>
      <c r="B30" t="s">
        <v>6</v>
      </c>
      <c r="C30">
        <v>14190</v>
      </c>
      <c r="D30" t="s">
        <v>22</v>
      </c>
      <c r="E30" t="s">
        <v>8</v>
      </c>
      <c r="F30" t="s">
        <v>23</v>
      </c>
      <c r="BA30">
        <f>SUM(Pre[[#This Row],[1]:[46]])</f>
        <v>0</v>
      </c>
    </row>
    <row r="31" spans="1:53" x14ac:dyDescent="0.2">
      <c r="A31" t="s">
        <v>5</v>
      </c>
      <c r="B31" t="s">
        <v>6</v>
      </c>
      <c r="C31">
        <v>14190</v>
      </c>
      <c r="D31" t="s">
        <v>22</v>
      </c>
      <c r="E31" t="s">
        <v>14</v>
      </c>
      <c r="F31" t="s">
        <v>28</v>
      </c>
      <c r="BA31">
        <f>SUM(Pre[[#This Row],[1]:[46]])</f>
        <v>0</v>
      </c>
    </row>
    <row r="32" spans="1:53" x14ac:dyDescent="0.2">
      <c r="A32" t="s">
        <v>5</v>
      </c>
      <c r="B32" t="s">
        <v>6</v>
      </c>
      <c r="C32">
        <v>18729</v>
      </c>
      <c r="D32" t="s">
        <v>22</v>
      </c>
      <c r="E32" t="s">
        <v>8</v>
      </c>
      <c r="F32" t="s">
        <v>29</v>
      </c>
      <c r="H32">
        <v>1</v>
      </c>
      <c r="L32">
        <v>1</v>
      </c>
      <c r="Q32">
        <v>1</v>
      </c>
      <c r="V32">
        <v>1</v>
      </c>
      <c r="W32">
        <v>1</v>
      </c>
      <c r="AB32">
        <v>1</v>
      </c>
      <c r="AE32">
        <v>1</v>
      </c>
      <c r="AJ32">
        <v>1</v>
      </c>
      <c r="AL32">
        <v>1</v>
      </c>
      <c r="AP32">
        <v>1</v>
      </c>
      <c r="AU32">
        <v>1</v>
      </c>
      <c r="AY32">
        <v>1</v>
      </c>
      <c r="BA32">
        <f>SUM(Pre[[#This Row],[1]:[46]])</f>
        <v>12</v>
      </c>
    </row>
    <row r="33" spans="1:53" x14ac:dyDescent="0.2">
      <c r="A33" t="s">
        <v>5</v>
      </c>
      <c r="B33" t="s">
        <v>6</v>
      </c>
      <c r="C33">
        <v>22592</v>
      </c>
      <c r="D33" t="s">
        <v>22</v>
      </c>
      <c r="E33" t="s">
        <v>14</v>
      </c>
      <c r="F33" t="s">
        <v>20</v>
      </c>
      <c r="H33">
        <v>2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BA33">
        <f>SUM(Pre[[#This Row],[1]:[46]])</f>
        <v>27</v>
      </c>
    </row>
    <row r="34" spans="1:53" x14ac:dyDescent="0.2">
      <c r="A34" t="s">
        <v>5</v>
      </c>
      <c r="B34" t="s">
        <v>6</v>
      </c>
      <c r="C34">
        <v>27792</v>
      </c>
      <c r="D34" t="s">
        <v>22</v>
      </c>
      <c r="E34" t="s">
        <v>14</v>
      </c>
      <c r="F34" t="s">
        <v>20</v>
      </c>
      <c r="AI34">
        <v>1</v>
      </c>
      <c r="AZ34">
        <v>1</v>
      </c>
      <c r="BA34">
        <f>SUM(Pre[[#This Row],[1]:[46]])</f>
        <v>2</v>
      </c>
    </row>
    <row r="35" spans="1:53" x14ac:dyDescent="0.2">
      <c r="A35" t="s">
        <v>5</v>
      </c>
      <c r="B35" t="s">
        <v>6</v>
      </c>
      <c r="C35">
        <v>30342</v>
      </c>
      <c r="D35" t="s">
        <v>22</v>
      </c>
      <c r="E35" t="s">
        <v>10</v>
      </c>
      <c r="F35" t="s">
        <v>11</v>
      </c>
      <c r="I35">
        <v>1</v>
      </c>
      <c r="V35">
        <v>1</v>
      </c>
      <c r="AC35">
        <v>2</v>
      </c>
      <c r="AD35">
        <v>1</v>
      </c>
      <c r="AE35">
        <v>1</v>
      </c>
      <c r="AG35">
        <v>1</v>
      </c>
      <c r="AH35">
        <v>2</v>
      </c>
      <c r="AI35">
        <v>1</v>
      </c>
      <c r="AK35">
        <v>2</v>
      </c>
      <c r="AO35">
        <v>1</v>
      </c>
      <c r="AT35">
        <v>1</v>
      </c>
      <c r="BA35">
        <f>SUM(Pre[[#This Row],[1]:[46]])</f>
        <v>14</v>
      </c>
    </row>
    <row r="36" spans="1:53" x14ac:dyDescent="0.2">
      <c r="A36" t="s">
        <v>5</v>
      </c>
      <c r="B36" t="s">
        <v>6</v>
      </c>
      <c r="C36">
        <v>30342</v>
      </c>
      <c r="D36" t="s">
        <v>22</v>
      </c>
      <c r="E36" t="s">
        <v>14</v>
      </c>
      <c r="F36" t="s">
        <v>20</v>
      </c>
      <c r="AV36">
        <v>1</v>
      </c>
      <c r="BA36">
        <f>SUM(Pre[[#This Row],[1]:[46]])</f>
        <v>1</v>
      </c>
    </row>
    <row r="37" spans="1:53" x14ac:dyDescent="0.2">
      <c r="A37" t="s">
        <v>5</v>
      </c>
      <c r="B37" t="s">
        <v>6</v>
      </c>
      <c r="C37">
        <v>33280</v>
      </c>
      <c r="D37" t="s">
        <v>22</v>
      </c>
      <c r="E37" t="s">
        <v>10</v>
      </c>
      <c r="F37" t="s">
        <v>11</v>
      </c>
      <c r="H37">
        <v>1</v>
      </c>
      <c r="M37">
        <v>2</v>
      </c>
      <c r="P37">
        <v>1</v>
      </c>
      <c r="U37">
        <v>1</v>
      </c>
      <c r="X37">
        <v>1</v>
      </c>
      <c r="Y37">
        <v>1</v>
      </c>
      <c r="AD37">
        <v>1</v>
      </c>
      <c r="AH37">
        <v>1</v>
      </c>
      <c r="AM37">
        <v>1</v>
      </c>
      <c r="AQ37">
        <v>1</v>
      </c>
      <c r="BA37">
        <f>SUM(Pre[[#This Row],[1]:[46]])</f>
        <v>11</v>
      </c>
    </row>
    <row r="38" spans="1:53" x14ac:dyDescent="0.2">
      <c r="A38" t="s">
        <v>5</v>
      </c>
      <c r="B38" t="s">
        <v>6</v>
      </c>
      <c r="C38">
        <v>33280</v>
      </c>
      <c r="D38" t="s">
        <v>22</v>
      </c>
      <c r="E38" t="s">
        <v>14</v>
      </c>
      <c r="F38" t="s">
        <v>19</v>
      </c>
      <c r="AQ38">
        <v>2</v>
      </c>
      <c r="AU38">
        <v>1</v>
      </c>
      <c r="AZ38">
        <v>1</v>
      </c>
      <c r="BA38">
        <f>SUM(Pre[[#This Row],[1]:[46]])</f>
        <v>4</v>
      </c>
    </row>
    <row r="39" spans="1:53" x14ac:dyDescent="0.2">
      <c r="A39" t="s">
        <v>5</v>
      </c>
      <c r="B39" t="s">
        <v>6</v>
      </c>
      <c r="C39">
        <v>969</v>
      </c>
      <c r="D39" t="s">
        <v>7</v>
      </c>
      <c r="E39" t="s">
        <v>14</v>
      </c>
      <c r="F39" t="s">
        <v>20</v>
      </c>
      <c r="G39">
        <v>1</v>
      </c>
      <c r="H39">
        <v>1</v>
      </c>
      <c r="I39">
        <v>1</v>
      </c>
      <c r="J39">
        <v>1</v>
      </c>
      <c r="K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f>SUM(Pre[[#This Row],[1]:[46]])</f>
        <v>45</v>
      </c>
    </row>
    <row r="40" spans="1:53" x14ac:dyDescent="0.2">
      <c r="A40" t="s">
        <v>5</v>
      </c>
      <c r="B40" t="s">
        <v>6</v>
      </c>
      <c r="C40">
        <v>975</v>
      </c>
      <c r="D40" t="s">
        <v>7</v>
      </c>
      <c r="E40" t="s">
        <v>8</v>
      </c>
      <c r="F40" t="s">
        <v>23</v>
      </c>
      <c r="Q40">
        <v>1</v>
      </c>
      <c r="AD40">
        <v>1</v>
      </c>
      <c r="AQ40">
        <v>2</v>
      </c>
      <c r="BA40">
        <f>SUM(Pre[[#This Row],[1]:[46]])</f>
        <v>4</v>
      </c>
    </row>
    <row r="41" spans="1:53" x14ac:dyDescent="0.2">
      <c r="A41" t="s">
        <v>5</v>
      </c>
      <c r="B41" t="s">
        <v>6</v>
      </c>
      <c r="C41">
        <v>1950</v>
      </c>
      <c r="D41" t="s">
        <v>7</v>
      </c>
      <c r="E41" t="s">
        <v>8</v>
      </c>
      <c r="F41" t="s">
        <v>23</v>
      </c>
      <c r="K41">
        <v>1</v>
      </c>
      <c r="Y41">
        <v>1</v>
      </c>
      <c r="AL41">
        <v>1</v>
      </c>
      <c r="BA41">
        <f>SUM(Pre[[#This Row],[1]:[46]])</f>
        <v>3</v>
      </c>
    </row>
    <row r="42" spans="1:53" x14ac:dyDescent="0.2">
      <c r="A42" t="s">
        <v>5</v>
      </c>
      <c r="B42" t="s">
        <v>6</v>
      </c>
      <c r="C42">
        <v>2258</v>
      </c>
      <c r="D42" t="s">
        <v>7</v>
      </c>
      <c r="E42" t="s">
        <v>14</v>
      </c>
      <c r="F42" t="s">
        <v>20</v>
      </c>
      <c r="G42">
        <v>1</v>
      </c>
      <c r="BA42">
        <f>SUM(Pre[[#This Row],[1]:[46]])</f>
        <v>1</v>
      </c>
    </row>
    <row r="43" spans="1:53" x14ac:dyDescent="0.2">
      <c r="A43" t="s">
        <v>5</v>
      </c>
      <c r="B43" t="s">
        <v>6</v>
      </c>
      <c r="C43">
        <v>2524</v>
      </c>
      <c r="D43" t="s">
        <v>7</v>
      </c>
      <c r="E43" t="s">
        <v>14</v>
      </c>
      <c r="F43" t="s">
        <v>20</v>
      </c>
      <c r="J43">
        <v>1</v>
      </c>
      <c r="W43">
        <v>1</v>
      </c>
      <c r="AJ43">
        <v>1</v>
      </c>
      <c r="AW43">
        <v>1</v>
      </c>
      <c r="BA43">
        <f>SUM(Pre[[#This Row],[1]:[46]])</f>
        <v>4</v>
      </c>
    </row>
    <row r="44" spans="1:53" x14ac:dyDescent="0.2">
      <c r="A44" t="s">
        <v>5</v>
      </c>
      <c r="B44" t="s">
        <v>6</v>
      </c>
      <c r="C44">
        <v>2931</v>
      </c>
      <c r="D44" t="s">
        <v>7</v>
      </c>
      <c r="E44" t="s">
        <v>8</v>
      </c>
      <c r="F44" t="s">
        <v>23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f>SUM(Pre[[#This Row],[1]:[46]])</f>
        <v>46</v>
      </c>
    </row>
    <row r="45" spans="1:53" x14ac:dyDescent="0.2">
      <c r="A45" t="s">
        <v>5</v>
      </c>
      <c r="B45" t="s">
        <v>6</v>
      </c>
      <c r="C45">
        <v>4062</v>
      </c>
      <c r="D45" t="s">
        <v>7</v>
      </c>
      <c r="E45" t="s">
        <v>8</v>
      </c>
      <c r="F45" t="s">
        <v>29</v>
      </c>
      <c r="U45">
        <v>1</v>
      </c>
      <c r="AC45">
        <v>1</v>
      </c>
      <c r="AT45">
        <v>1</v>
      </c>
      <c r="BA45">
        <f>SUM(Pre[[#This Row],[1]:[46]])</f>
        <v>3</v>
      </c>
    </row>
    <row r="46" spans="1:53" x14ac:dyDescent="0.2">
      <c r="A46" t="s">
        <v>5</v>
      </c>
      <c r="B46" t="s">
        <v>6</v>
      </c>
      <c r="C46">
        <v>4137</v>
      </c>
      <c r="D46" t="s">
        <v>7</v>
      </c>
      <c r="E46" t="s">
        <v>10</v>
      </c>
      <c r="F46" t="s">
        <v>11</v>
      </c>
      <c r="K46">
        <v>1</v>
      </c>
      <c r="W46">
        <v>1</v>
      </c>
      <c r="AK46">
        <v>1</v>
      </c>
      <c r="AX46">
        <v>1</v>
      </c>
      <c r="BA46">
        <f>SUM(Pre[[#This Row],[1]:[46]])</f>
        <v>4</v>
      </c>
    </row>
    <row r="47" spans="1:53" x14ac:dyDescent="0.2">
      <c r="A47" t="s">
        <v>5</v>
      </c>
      <c r="B47" t="s">
        <v>6</v>
      </c>
      <c r="C47">
        <v>4235</v>
      </c>
      <c r="D47" t="s">
        <v>7</v>
      </c>
      <c r="E47" t="s">
        <v>14</v>
      </c>
      <c r="F47" t="s">
        <v>20</v>
      </c>
      <c r="G47">
        <v>1</v>
      </c>
      <c r="O47">
        <v>1</v>
      </c>
      <c r="X47">
        <v>1</v>
      </c>
      <c r="AH47">
        <v>1</v>
      </c>
      <c r="AO47">
        <v>1</v>
      </c>
      <c r="BA47">
        <f>SUM(Pre[[#This Row],[1]:[46]])</f>
        <v>5</v>
      </c>
    </row>
    <row r="48" spans="1:53" x14ac:dyDescent="0.2">
      <c r="A48" t="s">
        <v>5</v>
      </c>
      <c r="B48" t="s">
        <v>6</v>
      </c>
      <c r="C48">
        <v>4296</v>
      </c>
      <c r="D48" t="s">
        <v>7</v>
      </c>
      <c r="E48" t="s">
        <v>14</v>
      </c>
      <c r="F48" t="s">
        <v>20</v>
      </c>
      <c r="S48">
        <v>1</v>
      </c>
      <c r="W48">
        <v>1</v>
      </c>
      <c r="AA48">
        <v>1</v>
      </c>
      <c r="AF48">
        <v>1</v>
      </c>
      <c r="AJ48">
        <v>1</v>
      </c>
      <c r="AO48">
        <v>1</v>
      </c>
      <c r="AS48">
        <v>1</v>
      </c>
      <c r="AW48">
        <v>2</v>
      </c>
      <c r="BA48">
        <f>SUM(Pre[[#This Row],[1]:[46]])</f>
        <v>9</v>
      </c>
    </row>
    <row r="49" spans="1:53" x14ac:dyDescent="0.2">
      <c r="A49" t="s">
        <v>5</v>
      </c>
      <c r="B49" t="s">
        <v>6</v>
      </c>
      <c r="C49">
        <v>6308</v>
      </c>
      <c r="D49" t="s">
        <v>7</v>
      </c>
      <c r="E49" t="s">
        <v>8</v>
      </c>
      <c r="F49" t="s">
        <v>9</v>
      </c>
      <c r="M49">
        <v>1</v>
      </c>
      <c r="O49">
        <v>1</v>
      </c>
      <c r="T49">
        <v>1</v>
      </c>
      <c r="Y49">
        <v>1</v>
      </c>
      <c r="AD49">
        <v>1</v>
      </c>
      <c r="AI49">
        <v>1</v>
      </c>
      <c r="AM49">
        <v>1</v>
      </c>
      <c r="AS49">
        <v>1</v>
      </c>
      <c r="AW49">
        <v>1</v>
      </c>
      <c r="BA49">
        <f>SUM(Pre[[#This Row],[1]:[46]])</f>
        <v>9</v>
      </c>
    </row>
    <row r="50" spans="1:53" x14ac:dyDescent="0.2">
      <c r="A50" t="s">
        <v>5</v>
      </c>
      <c r="B50" t="s">
        <v>6</v>
      </c>
      <c r="C50">
        <v>6802</v>
      </c>
      <c r="D50" t="s">
        <v>7</v>
      </c>
      <c r="E50" t="s">
        <v>8</v>
      </c>
      <c r="F50" t="s">
        <v>9</v>
      </c>
      <c r="J50">
        <v>2</v>
      </c>
      <c r="AB50">
        <v>2</v>
      </c>
      <c r="AV50">
        <v>4</v>
      </c>
      <c r="BA50">
        <f>SUM(Pre[[#This Row],[1]:[46]])</f>
        <v>8</v>
      </c>
    </row>
    <row r="51" spans="1:53" x14ac:dyDescent="0.2">
      <c r="A51" t="s">
        <v>5</v>
      </c>
      <c r="B51" t="s">
        <v>6</v>
      </c>
      <c r="C51">
        <v>7495</v>
      </c>
      <c r="D51" t="s">
        <v>7</v>
      </c>
      <c r="E51" t="s">
        <v>8</v>
      </c>
      <c r="F51" t="s">
        <v>9</v>
      </c>
      <c r="H51">
        <v>1</v>
      </c>
      <c r="M51">
        <v>1</v>
      </c>
      <c r="P51">
        <v>1</v>
      </c>
      <c r="U51">
        <v>1</v>
      </c>
      <c r="BA51">
        <f>SUM(Pre[[#This Row],[1]:[46]])</f>
        <v>4</v>
      </c>
    </row>
    <row r="52" spans="1:53" x14ac:dyDescent="0.2">
      <c r="A52" t="s">
        <v>5</v>
      </c>
      <c r="B52" t="s">
        <v>6</v>
      </c>
      <c r="C52">
        <v>9111</v>
      </c>
      <c r="D52" t="s">
        <v>7</v>
      </c>
      <c r="E52" t="s">
        <v>8</v>
      </c>
      <c r="F52" t="s">
        <v>30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BA52">
        <f>SUM(Pre[[#This Row],[1]:[46]])</f>
        <v>15</v>
      </c>
    </row>
    <row r="53" spans="1:53" x14ac:dyDescent="0.2">
      <c r="A53" t="s">
        <v>5</v>
      </c>
      <c r="B53" t="s">
        <v>6</v>
      </c>
      <c r="C53">
        <v>9952</v>
      </c>
      <c r="D53" t="s">
        <v>7</v>
      </c>
      <c r="E53" t="s">
        <v>14</v>
      </c>
      <c r="F53" t="s">
        <v>21</v>
      </c>
      <c r="J53">
        <v>1</v>
      </c>
      <c r="BA53">
        <f>SUM(Pre[[#This Row],[1]:[46]])</f>
        <v>1</v>
      </c>
    </row>
    <row r="54" spans="1:53" x14ac:dyDescent="0.2">
      <c r="A54" t="s">
        <v>5</v>
      </c>
      <c r="B54" t="s">
        <v>6</v>
      </c>
      <c r="C54">
        <v>9952</v>
      </c>
      <c r="D54" t="s">
        <v>7</v>
      </c>
      <c r="E54" t="s">
        <v>14</v>
      </c>
      <c r="F54" t="s">
        <v>20</v>
      </c>
      <c r="H54">
        <v>4</v>
      </c>
      <c r="J54">
        <v>2</v>
      </c>
      <c r="M54">
        <v>1</v>
      </c>
      <c r="P54">
        <v>1</v>
      </c>
      <c r="U54">
        <v>1</v>
      </c>
      <c r="Y54">
        <v>1</v>
      </c>
      <c r="AD54">
        <v>2</v>
      </c>
      <c r="AH54">
        <v>1</v>
      </c>
      <c r="AL54">
        <v>1</v>
      </c>
      <c r="AM54">
        <v>1</v>
      </c>
      <c r="AQ54">
        <v>1</v>
      </c>
      <c r="AU54">
        <v>1</v>
      </c>
      <c r="AV54">
        <v>1</v>
      </c>
      <c r="AZ54">
        <v>1</v>
      </c>
      <c r="BA54">
        <f>SUM(Pre[[#This Row],[1]:[46]])</f>
        <v>19</v>
      </c>
    </row>
    <row r="55" spans="1:53" x14ac:dyDescent="0.2">
      <c r="A55" t="s">
        <v>5</v>
      </c>
      <c r="B55" t="s">
        <v>6</v>
      </c>
      <c r="C55">
        <v>10090</v>
      </c>
      <c r="D55" t="s">
        <v>7</v>
      </c>
      <c r="E55" t="s">
        <v>17</v>
      </c>
      <c r="F55" t="s">
        <v>18</v>
      </c>
      <c r="U55">
        <v>1</v>
      </c>
      <c r="BA55">
        <f>SUM(Pre[[#This Row],[1]:[46]])</f>
        <v>1</v>
      </c>
    </row>
    <row r="56" spans="1:53" x14ac:dyDescent="0.2">
      <c r="A56" t="s">
        <v>5</v>
      </c>
      <c r="B56" t="s">
        <v>6</v>
      </c>
      <c r="C56">
        <v>10090</v>
      </c>
      <c r="D56" t="s">
        <v>7</v>
      </c>
      <c r="E56" t="s">
        <v>14</v>
      </c>
      <c r="F56" t="s">
        <v>20</v>
      </c>
      <c r="U56">
        <v>1</v>
      </c>
      <c r="BA56">
        <f>SUM(Pre[[#This Row],[1]:[46]])</f>
        <v>1</v>
      </c>
    </row>
    <row r="57" spans="1:53" x14ac:dyDescent="0.2">
      <c r="A57" t="s">
        <v>5</v>
      </c>
      <c r="B57" t="s">
        <v>6</v>
      </c>
      <c r="C57">
        <v>10777</v>
      </c>
      <c r="D57" t="s">
        <v>7</v>
      </c>
      <c r="E57" t="s">
        <v>14</v>
      </c>
      <c r="F57" t="s">
        <v>21</v>
      </c>
      <c r="BA57">
        <f>SUM(Pre[[#This Row],[1]:[46]])</f>
        <v>0</v>
      </c>
    </row>
    <row r="58" spans="1:53" x14ac:dyDescent="0.2">
      <c r="A58" t="s">
        <v>5</v>
      </c>
      <c r="B58" t="s">
        <v>6</v>
      </c>
      <c r="C58">
        <v>10790</v>
      </c>
      <c r="D58" t="s">
        <v>7</v>
      </c>
      <c r="E58" t="s">
        <v>14</v>
      </c>
      <c r="F58" t="s">
        <v>28</v>
      </c>
      <c r="BA58">
        <f>SUM(Pre[[#This Row],[1]:[46]])</f>
        <v>0</v>
      </c>
    </row>
    <row r="59" spans="1:53" x14ac:dyDescent="0.2">
      <c r="A59" t="s">
        <v>5</v>
      </c>
      <c r="B59" t="s">
        <v>6</v>
      </c>
      <c r="C59">
        <v>10790</v>
      </c>
      <c r="D59" t="s">
        <v>7</v>
      </c>
      <c r="E59" t="s">
        <v>14</v>
      </c>
      <c r="F59" t="s">
        <v>19</v>
      </c>
      <c r="AM59">
        <v>1</v>
      </c>
      <c r="AR59">
        <v>1</v>
      </c>
      <c r="BA59">
        <f>SUM(Pre[[#This Row],[1]:[46]])</f>
        <v>2</v>
      </c>
    </row>
    <row r="60" spans="1:53" x14ac:dyDescent="0.2">
      <c r="A60" t="s">
        <v>5</v>
      </c>
      <c r="B60" t="s">
        <v>6</v>
      </c>
      <c r="C60">
        <v>10983</v>
      </c>
      <c r="D60" t="s">
        <v>7</v>
      </c>
      <c r="E60" t="s">
        <v>14</v>
      </c>
      <c r="F60" t="s">
        <v>31</v>
      </c>
      <c r="G60">
        <v>1</v>
      </c>
      <c r="K60">
        <v>1</v>
      </c>
      <c r="O60">
        <v>1</v>
      </c>
      <c r="T60">
        <v>1</v>
      </c>
      <c r="X60">
        <v>1</v>
      </c>
      <c r="AB60">
        <v>1</v>
      </c>
      <c r="AG60">
        <v>1</v>
      </c>
      <c r="AK60">
        <v>1</v>
      </c>
      <c r="AO60">
        <v>1</v>
      </c>
      <c r="AT60">
        <v>1</v>
      </c>
      <c r="AX60">
        <v>1</v>
      </c>
      <c r="BA60">
        <f>SUM(Pre[[#This Row],[1]:[46]])</f>
        <v>11</v>
      </c>
    </row>
    <row r="61" spans="1:53" x14ac:dyDescent="0.2">
      <c r="A61" t="s">
        <v>5</v>
      </c>
      <c r="B61" t="s">
        <v>6</v>
      </c>
      <c r="C61">
        <v>12497</v>
      </c>
      <c r="D61" t="s">
        <v>7</v>
      </c>
      <c r="E61" t="s">
        <v>14</v>
      </c>
      <c r="F61" t="s">
        <v>19</v>
      </c>
      <c r="BA61">
        <f>SUM(Pre[[#This Row],[1]:[46]])</f>
        <v>0</v>
      </c>
    </row>
    <row r="62" spans="1:53" x14ac:dyDescent="0.2">
      <c r="A62" t="s">
        <v>5</v>
      </c>
      <c r="B62" t="s">
        <v>6</v>
      </c>
      <c r="C62">
        <v>12497</v>
      </c>
      <c r="D62" t="s">
        <v>7</v>
      </c>
      <c r="E62" t="s">
        <v>14</v>
      </c>
      <c r="F62" t="s">
        <v>21</v>
      </c>
      <c r="G62">
        <v>2</v>
      </c>
      <c r="K62">
        <v>1</v>
      </c>
      <c r="O62">
        <v>2</v>
      </c>
      <c r="T62">
        <v>2</v>
      </c>
      <c r="U62">
        <v>1</v>
      </c>
      <c r="V62">
        <v>1</v>
      </c>
      <c r="X62">
        <v>1</v>
      </c>
      <c r="AB62">
        <v>1</v>
      </c>
      <c r="AG62">
        <v>1</v>
      </c>
      <c r="AK62">
        <v>1</v>
      </c>
      <c r="AO62">
        <v>1</v>
      </c>
      <c r="AT62">
        <v>1</v>
      </c>
      <c r="AX62">
        <v>1</v>
      </c>
      <c r="BA62">
        <f>SUM(Pre[[#This Row],[1]:[46]])</f>
        <v>16</v>
      </c>
    </row>
    <row r="63" spans="1:53" x14ac:dyDescent="0.2">
      <c r="A63" t="s">
        <v>5</v>
      </c>
      <c r="B63" t="s">
        <v>6</v>
      </c>
      <c r="C63">
        <v>13345</v>
      </c>
      <c r="D63" t="s">
        <v>7</v>
      </c>
      <c r="E63" t="s">
        <v>14</v>
      </c>
      <c r="F63" t="s">
        <v>19</v>
      </c>
      <c r="AN63">
        <v>1</v>
      </c>
      <c r="AT63">
        <v>1</v>
      </c>
      <c r="BA63">
        <f>SUM(Pre[[#This Row],[1]:[46]])</f>
        <v>2</v>
      </c>
    </row>
    <row r="64" spans="1:53" x14ac:dyDescent="0.2">
      <c r="A64" t="s">
        <v>5</v>
      </c>
      <c r="B64" t="s">
        <v>6</v>
      </c>
      <c r="C64">
        <v>13345</v>
      </c>
      <c r="D64" t="s">
        <v>7</v>
      </c>
      <c r="E64" t="s">
        <v>14</v>
      </c>
      <c r="F64" t="s">
        <v>21</v>
      </c>
      <c r="AB64">
        <v>1</v>
      </c>
      <c r="AG64">
        <v>1</v>
      </c>
      <c r="AL64">
        <v>1</v>
      </c>
      <c r="AN64">
        <v>1</v>
      </c>
      <c r="BA64">
        <f>SUM(Pre[[#This Row],[1]:[46]])</f>
        <v>4</v>
      </c>
    </row>
    <row r="65" spans="1:53" x14ac:dyDescent="0.2">
      <c r="A65" t="s">
        <v>5</v>
      </c>
      <c r="B65" t="s">
        <v>6</v>
      </c>
      <c r="C65">
        <v>13672</v>
      </c>
      <c r="D65" t="s">
        <v>7</v>
      </c>
      <c r="E65" t="s">
        <v>32</v>
      </c>
      <c r="F65" t="s">
        <v>33</v>
      </c>
      <c r="J65">
        <v>1</v>
      </c>
      <c r="Q65">
        <v>1</v>
      </c>
      <c r="V65">
        <v>1</v>
      </c>
      <c r="AA65">
        <v>1</v>
      </c>
      <c r="AE65">
        <v>1</v>
      </c>
      <c r="AL65">
        <v>1</v>
      </c>
      <c r="AN65">
        <v>2</v>
      </c>
      <c r="AP65">
        <v>1</v>
      </c>
      <c r="AQ65">
        <v>1</v>
      </c>
      <c r="AU65">
        <v>1</v>
      </c>
      <c r="BA65">
        <f>SUM(Pre[[#This Row],[1]:[46]])</f>
        <v>11</v>
      </c>
    </row>
    <row r="66" spans="1:53" x14ac:dyDescent="0.2">
      <c r="A66" t="s">
        <v>5</v>
      </c>
      <c r="B66" t="s">
        <v>6</v>
      </c>
      <c r="C66">
        <v>13672</v>
      </c>
      <c r="D66" t="s">
        <v>7</v>
      </c>
      <c r="E66" t="s">
        <v>17</v>
      </c>
      <c r="F66" t="s">
        <v>18</v>
      </c>
      <c r="I66">
        <v>1</v>
      </c>
      <c r="M66">
        <v>1</v>
      </c>
      <c r="P66">
        <v>1</v>
      </c>
      <c r="R66">
        <v>1</v>
      </c>
      <c r="U66">
        <v>1</v>
      </c>
      <c r="W66">
        <v>1</v>
      </c>
      <c r="X66">
        <v>1</v>
      </c>
      <c r="Z66">
        <v>1</v>
      </c>
      <c r="AG66">
        <v>1</v>
      </c>
      <c r="AN66">
        <v>1</v>
      </c>
      <c r="AV66">
        <v>1</v>
      </c>
      <c r="BA66">
        <f>SUM(Pre[[#This Row],[1]:[46]])</f>
        <v>11</v>
      </c>
    </row>
    <row r="67" spans="1:53" x14ac:dyDescent="0.2">
      <c r="A67" t="s">
        <v>5</v>
      </c>
      <c r="B67" t="s">
        <v>6</v>
      </c>
      <c r="C67">
        <v>13672</v>
      </c>
      <c r="D67" t="s">
        <v>7</v>
      </c>
      <c r="E67" t="s">
        <v>14</v>
      </c>
      <c r="F67" t="s">
        <v>28</v>
      </c>
      <c r="G67">
        <v>1</v>
      </c>
      <c r="J67">
        <v>3</v>
      </c>
      <c r="P67">
        <v>1</v>
      </c>
      <c r="U67">
        <v>1</v>
      </c>
      <c r="V67">
        <v>1</v>
      </c>
      <c r="AB67">
        <v>1</v>
      </c>
      <c r="AG67">
        <v>1</v>
      </c>
      <c r="AK67">
        <v>1</v>
      </c>
      <c r="AN67">
        <v>2</v>
      </c>
      <c r="AQ67">
        <v>1</v>
      </c>
      <c r="AX67">
        <v>1</v>
      </c>
      <c r="BA67">
        <f>SUM(Pre[[#This Row],[1]:[46]])</f>
        <v>14</v>
      </c>
    </row>
    <row r="68" spans="1:53" x14ac:dyDescent="0.2">
      <c r="A68" t="s">
        <v>5</v>
      </c>
      <c r="B68" t="s">
        <v>6</v>
      </c>
      <c r="C68">
        <v>14521</v>
      </c>
      <c r="D68" t="s">
        <v>7</v>
      </c>
      <c r="E68" t="s">
        <v>14</v>
      </c>
      <c r="F68" t="s">
        <v>20</v>
      </c>
      <c r="G68">
        <v>1</v>
      </c>
      <c r="BA68">
        <f>SUM(Pre[[#This Row],[1]:[46]])</f>
        <v>1</v>
      </c>
    </row>
    <row r="69" spans="1:53" x14ac:dyDescent="0.2">
      <c r="A69" t="s">
        <v>5</v>
      </c>
      <c r="B69" t="s">
        <v>6</v>
      </c>
      <c r="C69">
        <v>14526</v>
      </c>
      <c r="D69" t="s">
        <v>7</v>
      </c>
      <c r="E69" t="s">
        <v>8</v>
      </c>
      <c r="F69" t="s">
        <v>23</v>
      </c>
      <c r="J69">
        <v>1</v>
      </c>
      <c r="BA69">
        <f>SUM(Pre[[#This Row],[1]:[46]])</f>
        <v>1</v>
      </c>
    </row>
    <row r="70" spans="1:53" x14ac:dyDescent="0.2">
      <c r="A70" t="s">
        <v>5</v>
      </c>
      <c r="B70" t="s">
        <v>6</v>
      </c>
      <c r="C70">
        <v>14526</v>
      </c>
      <c r="D70" t="s">
        <v>7</v>
      </c>
      <c r="E70" t="s">
        <v>8</v>
      </c>
      <c r="F70" t="s">
        <v>29</v>
      </c>
      <c r="G70">
        <v>1</v>
      </c>
      <c r="H70">
        <v>1</v>
      </c>
      <c r="I70">
        <v>1</v>
      </c>
      <c r="J70">
        <v>3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W70">
        <v>1</v>
      </c>
      <c r="BA70">
        <f>SUM(Pre[[#This Row],[1]:[46]])</f>
        <v>42</v>
      </c>
    </row>
    <row r="71" spans="1:53" x14ac:dyDescent="0.2">
      <c r="A71" t="s">
        <v>5</v>
      </c>
      <c r="B71" t="s">
        <v>6</v>
      </c>
      <c r="C71">
        <v>14715</v>
      </c>
      <c r="D71" t="s">
        <v>7</v>
      </c>
      <c r="E71" t="s">
        <v>14</v>
      </c>
      <c r="F71" t="s">
        <v>19</v>
      </c>
      <c r="BA71">
        <f>SUM(Pre[[#This Row],[1]:[46]])</f>
        <v>0</v>
      </c>
    </row>
    <row r="72" spans="1:53" x14ac:dyDescent="0.2">
      <c r="A72" t="s">
        <v>5</v>
      </c>
      <c r="B72" t="s">
        <v>6</v>
      </c>
      <c r="C72">
        <v>15286</v>
      </c>
      <c r="D72" t="s">
        <v>7</v>
      </c>
      <c r="E72" t="s">
        <v>10</v>
      </c>
      <c r="F72" t="s">
        <v>16</v>
      </c>
      <c r="AZ72">
        <v>3</v>
      </c>
      <c r="BA72">
        <f>SUM(Pre[[#This Row],[1]:[46]])</f>
        <v>3</v>
      </c>
    </row>
    <row r="73" spans="1:53" x14ac:dyDescent="0.2">
      <c r="A73" t="s">
        <v>5</v>
      </c>
      <c r="B73" t="s">
        <v>6</v>
      </c>
      <c r="C73">
        <v>15286</v>
      </c>
      <c r="D73" t="s">
        <v>7</v>
      </c>
      <c r="E73" t="s">
        <v>10</v>
      </c>
      <c r="F73" t="s">
        <v>11</v>
      </c>
      <c r="BA73">
        <f>SUM(Pre[[#This Row],[1]:[46]])</f>
        <v>0</v>
      </c>
    </row>
    <row r="74" spans="1:53" x14ac:dyDescent="0.2">
      <c r="A74" t="s">
        <v>5</v>
      </c>
      <c r="B74" t="s">
        <v>6</v>
      </c>
      <c r="C74">
        <v>17464</v>
      </c>
      <c r="D74" t="s">
        <v>7</v>
      </c>
      <c r="E74" t="s">
        <v>14</v>
      </c>
      <c r="F74" t="s">
        <v>21</v>
      </c>
      <c r="BA74">
        <f>SUM(Pre[[#This Row],[1]:[46]])</f>
        <v>0</v>
      </c>
    </row>
    <row r="75" spans="1:53" x14ac:dyDescent="0.2">
      <c r="A75" t="s">
        <v>5</v>
      </c>
      <c r="B75" t="s">
        <v>6</v>
      </c>
      <c r="C75">
        <v>20772</v>
      </c>
      <c r="D75" t="s">
        <v>7</v>
      </c>
      <c r="E75" t="s">
        <v>12</v>
      </c>
      <c r="F75" t="s">
        <v>13</v>
      </c>
      <c r="AW75">
        <v>1</v>
      </c>
      <c r="BA75">
        <f>SUM(Pre[[#This Row],[1]:[46]])</f>
        <v>1</v>
      </c>
    </row>
    <row r="76" spans="1:53" x14ac:dyDescent="0.2">
      <c r="A76" t="s">
        <v>5</v>
      </c>
      <c r="B76" t="s">
        <v>6</v>
      </c>
      <c r="C76">
        <v>29130</v>
      </c>
      <c r="D76" t="s">
        <v>7</v>
      </c>
      <c r="E76" t="s">
        <v>8</v>
      </c>
      <c r="F76" t="s">
        <v>9</v>
      </c>
      <c r="Q76">
        <v>1</v>
      </c>
      <c r="V76">
        <v>1</v>
      </c>
      <c r="AC76">
        <v>1</v>
      </c>
      <c r="AH76">
        <v>1</v>
      </c>
      <c r="AM76">
        <v>1</v>
      </c>
      <c r="AO76">
        <v>1</v>
      </c>
      <c r="BA76">
        <f>SUM(Pre[[#This Row],[1]:[46]])</f>
        <v>6</v>
      </c>
    </row>
    <row r="77" spans="1:53" x14ac:dyDescent="0.2">
      <c r="A77" t="s">
        <v>5</v>
      </c>
      <c r="B77" t="s">
        <v>6</v>
      </c>
      <c r="C77">
        <v>31836</v>
      </c>
      <c r="D77" t="s">
        <v>7</v>
      </c>
      <c r="E77" t="s">
        <v>12</v>
      </c>
      <c r="F77" t="s">
        <v>13</v>
      </c>
      <c r="BA77">
        <f>SUM(Pre[[#This Row],[1]:[46]])</f>
        <v>0</v>
      </c>
    </row>
    <row r="78" spans="1:53" x14ac:dyDescent="0.2">
      <c r="A78" t="s">
        <v>5</v>
      </c>
      <c r="B78" t="s">
        <v>6</v>
      </c>
      <c r="C78">
        <v>595</v>
      </c>
      <c r="D78" t="s">
        <v>22</v>
      </c>
      <c r="E78" t="s">
        <v>14</v>
      </c>
      <c r="F78" t="s">
        <v>28</v>
      </c>
      <c r="AM78">
        <v>2</v>
      </c>
      <c r="BA78">
        <f>SUM(Pre[[#This Row],[1]:[46]])</f>
        <v>2</v>
      </c>
    </row>
    <row r="79" spans="1:53" x14ac:dyDescent="0.2">
      <c r="A79" t="s">
        <v>5</v>
      </c>
      <c r="B79" t="s">
        <v>6</v>
      </c>
      <c r="C79">
        <v>1913</v>
      </c>
      <c r="D79" t="s">
        <v>22</v>
      </c>
      <c r="E79" t="s">
        <v>8</v>
      </c>
      <c r="F79" t="s">
        <v>9</v>
      </c>
      <c r="I79">
        <v>1</v>
      </c>
      <c r="Q79">
        <v>2</v>
      </c>
      <c r="Y79">
        <v>1</v>
      </c>
      <c r="AD79">
        <v>2</v>
      </c>
      <c r="AI79">
        <v>2</v>
      </c>
      <c r="AN79">
        <v>2</v>
      </c>
      <c r="AQ79">
        <v>2</v>
      </c>
      <c r="AV79">
        <v>1</v>
      </c>
      <c r="AZ79">
        <v>1</v>
      </c>
      <c r="BA79">
        <f>SUM(Pre[[#This Row],[1]:[46]])</f>
        <v>14</v>
      </c>
    </row>
    <row r="80" spans="1:53" x14ac:dyDescent="0.2">
      <c r="A80" t="s">
        <v>5</v>
      </c>
      <c r="B80" t="s">
        <v>6</v>
      </c>
      <c r="C80">
        <v>2034</v>
      </c>
      <c r="D80" t="s">
        <v>22</v>
      </c>
      <c r="E80" t="s">
        <v>14</v>
      </c>
      <c r="F80" t="s">
        <v>19</v>
      </c>
      <c r="I80">
        <v>1</v>
      </c>
      <c r="O80">
        <v>1</v>
      </c>
      <c r="U80">
        <v>1</v>
      </c>
      <c r="X80">
        <v>1</v>
      </c>
      <c r="AG80">
        <v>1</v>
      </c>
      <c r="AI80">
        <v>1</v>
      </c>
      <c r="AV80">
        <v>1</v>
      </c>
      <c r="BA80">
        <f>SUM(Pre[[#This Row],[1]:[46]])</f>
        <v>7</v>
      </c>
    </row>
    <row r="81" spans="1:53" x14ac:dyDescent="0.2">
      <c r="A81" t="s">
        <v>5</v>
      </c>
      <c r="B81" t="s">
        <v>6</v>
      </c>
      <c r="C81">
        <v>2374</v>
      </c>
      <c r="D81" t="s">
        <v>22</v>
      </c>
      <c r="E81" t="s">
        <v>8</v>
      </c>
      <c r="F81" t="s">
        <v>9</v>
      </c>
      <c r="L81">
        <v>1</v>
      </c>
      <c r="P81">
        <v>1</v>
      </c>
      <c r="U81">
        <v>1</v>
      </c>
      <c r="BA81">
        <f>SUM(Pre[[#This Row],[1]:[46]])</f>
        <v>3</v>
      </c>
    </row>
    <row r="82" spans="1:53" x14ac:dyDescent="0.2">
      <c r="A82" t="s">
        <v>5</v>
      </c>
      <c r="B82" t="s">
        <v>6</v>
      </c>
      <c r="C82">
        <v>2734</v>
      </c>
      <c r="D82" t="s">
        <v>22</v>
      </c>
      <c r="E82" t="s">
        <v>14</v>
      </c>
      <c r="F82" t="s">
        <v>20</v>
      </c>
      <c r="O82">
        <v>1</v>
      </c>
      <c r="BA82">
        <f>SUM(Pre[[#This Row],[1]:[46]])</f>
        <v>1</v>
      </c>
    </row>
    <row r="83" spans="1:53" x14ac:dyDescent="0.2">
      <c r="A83" t="s">
        <v>5</v>
      </c>
      <c r="B83" t="s">
        <v>6</v>
      </c>
      <c r="C83">
        <v>3042</v>
      </c>
      <c r="D83" t="s">
        <v>22</v>
      </c>
      <c r="E83" t="s">
        <v>8</v>
      </c>
      <c r="F83" t="s">
        <v>34</v>
      </c>
      <c r="J83">
        <v>1</v>
      </c>
      <c r="BA83">
        <f>SUM(Pre[[#This Row],[1]:[46]])</f>
        <v>1</v>
      </c>
    </row>
    <row r="84" spans="1:53" x14ac:dyDescent="0.2">
      <c r="A84" t="s">
        <v>5</v>
      </c>
      <c r="B84" t="s">
        <v>6</v>
      </c>
      <c r="C84">
        <v>3042</v>
      </c>
      <c r="D84" t="s">
        <v>22</v>
      </c>
      <c r="E84" t="s">
        <v>8</v>
      </c>
      <c r="F84" t="s">
        <v>29</v>
      </c>
      <c r="BA84">
        <f>SUM(Pre[[#This Row],[1]:[46]])</f>
        <v>0</v>
      </c>
    </row>
    <row r="85" spans="1:53" x14ac:dyDescent="0.2">
      <c r="A85" t="s">
        <v>5</v>
      </c>
      <c r="B85" t="s">
        <v>6</v>
      </c>
      <c r="C85">
        <v>3042</v>
      </c>
      <c r="D85" t="s">
        <v>22</v>
      </c>
      <c r="E85" t="s">
        <v>24</v>
      </c>
      <c r="F85" t="s">
        <v>25</v>
      </c>
      <c r="Q85">
        <v>1</v>
      </c>
      <c r="V85">
        <v>2</v>
      </c>
      <c r="AA85">
        <v>1</v>
      </c>
      <c r="AF85">
        <v>1</v>
      </c>
      <c r="BA85">
        <f>SUM(Pre[[#This Row],[1]:[46]])</f>
        <v>5</v>
      </c>
    </row>
    <row r="86" spans="1:53" x14ac:dyDescent="0.2">
      <c r="A86" t="s">
        <v>5</v>
      </c>
      <c r="B86" t="s">
        <v>6</v>
      </c>
      <c r="C86">
        <v>3258</v>
      </c>
      <c r="D86" t="s">
        <v>22</v>
      </c>
      <c r="E86" t="s">
        <v>8</v>
      </c>
      <c r="F86" t="s">
        <v>9</v>
      </c>
      <c r="J86">
        <v>1</v>
      </c>
      <c r="O86">
        <v>1</v>
      </c>
      <c r="T86">
        <v>1</v>
      </c>
      <c r="Y86">
        <v>1</v>
      </c>
      <c r="AD86">
        <v>1</v>
      </c>
      <c r="AI86">
        <v>1</v>
      </c>
      <c r="AM86">
        <v>1</v>
      </c>
      <c r="AS86">
        <v>1</v>
      </c>
      <c r="AW86">
        <v>1</v>
      </c>
      <c r="BA86">
        <f>SUM(Pre[[#This Row],[1]:[46]])</f>
        <v>9</v>
      </c>
    </row>
    <row r="87" spans="1:53" x14ac:dyDescent="0.2">
      <c r="A87" t="s">
        <v>5</v>
      </c>
      <c r="B87" t="s">
        <v>6</v>
      </c>
      <c r="C87">
        <v>3258</v>
      </c>
      <c r="D87" t="s">
        <v>22</v>
      </c>
      <c r="E87" t="s">
        <v>14</v>
      </c>
      <c r="F87" t="s">
        <v>20</v>
      </c>
      <c r="J87">
        <v>1</v>
      </c>
      <c r="O87">
        <v>1</v>
      </c>
      <c r="T87">
        <v>1</v>
      </c>
      <c r="Y87">
        <v>1</v>
      </c>
      <c r="AD87">
        <v>1</v>
      </c>
      <c r="AI87">
        <v>1</v>
      </c>
      <c r="AM87">
        <v>1</v>
      </c>
      <c r="AS87">
        <v>1</v>
      </c>
      <c r="AW87">
        <v>1</v>
      </c>
      <c r="BA87">
        <f>SUM(Pre[[#This Row],[1]:[46]])</f>
        <v>9</v>
      </c>
    </row>
    <row r="88" spans="1:53" x14ac:dyDescent="0.2">
      <c r="A88" t="s">
        <v>5</v>
      </c>
      <c r="B88" t="s">
        <v>6</v>
      </c>
      <c r="C88">
        <v>5217</v>
      </c>
      <c r="D88" t="s">
        <v>22</v>
      </c>
      <c r="E88" t="s">
        <v>14</v>
      </c>
      <c r="F88" t="s">
        <v>15</v>
      </c>
      <c r="AN88">
        <v>3</v>
      </c>
      <c r="AO88">
        <v>2</v>
      </c>
      <c r="BA88">
        <f>SUM(Pre[[#This Row],[1]:[46]])</f>
        <v>5</v>
      </c>
    </row>
    <row r="89" spans="1:53" x14ac:dyDescent="0.2">
      <c r="A89" t="s">
        <v>5</v>
      </c>
      <c r="B89" t="s">
        <v>6</v>
      </c>
      <c r="C89">
        <v>5217</v>
      </c>
      <c r="D89" t="s">
        <v>22</v>
      </c>
      <c r="E89" t="s">
        <v>14</v>
      </c>
      <c r="F89" t="s">
        <v>19</v>
      </c>
      <c r="AO89">
        <v>1</v>
      </c>
      <c r="AS89">
        <v>1</v>
      </c>
      <c r="AT89">
        <v>1</v>
      </c>
      <c r="AX89">
        <v>1</v>
      </c>
      <c r="BA89">
        <f>SUM(Pre[[#This Row],[1]:[46]])</f>
        <v>4</v>
      </c>
    </row>
    <row r="90" spans="1:53" x14ac:dyDescent="0.2">
      <c r="A90" t="s">
        <v>5</v>
      </c>
      <c r="B90" t="s">
        <v>6</v>
      </c>
      <c r="C90">
        <v>5297</v>
      </c>
      <c r="D90" t="s">
        <v>22</v>
      </c>
      <c r="E90" t="s">
        <v>14</v>
      </c>
      <c r="F90" t="s">
        <v>15</v>
      </c>
      <c r="BA90">
        <f>SUM(Pre[[#This Row],[1]:[46]])</f>
        <v>0</v>
      </c>
    </row>
    <row r="91" spans="1:53" x14ac:dyDescent="0.2">
      <c r="A91" t="s">
        <v>5</v>
      </c>
      <c r="B91" t="s">
        <v>6</v>
      </c>
      <c r="C91">
        <v>5510</v>
      </c>
      <c r="D91" t="s">
        <v>22</v>
      </c>
      <c r="E91" t="s">
        <v>10</v>
      </c>
      <c r="F91" t="s">
        <v>11</v>
      </c>
      <c r="U91">
        <v>2</v>
      </c>
      <c r="W91">
        <v>1</v>
      </c>
      <c r="AW91">
        <v>3</v>
      </c>
      <c r="BA91">
        <f>SUM(Pre[[#This Row],[1]:[46]])</f>
        <v>6</v>
      </c>
    </row>
    <row r="92" spans="1:53" x14ac:dyDescent="0.2">
      <c r="A92" t="s">
        <v>5</v>
      </c>
      <c r="B92" t="s">
        <v>6</v>
      </c>
      <c r="C92">
        <v>5920</v>
      </c>
      <c r="D92" t="s">
        <v>22</v>
      </c>
      <c r="E92" t="s">
        <v>8</v>
      </c>
      <c r="F92" t="s">
        <v>9</v>
      </c>
      <c r="J92">
        <v>1</v>
      </c>
      <c r="M92">
        <v>2</v>
      </c>
      <c r="O92">
        <v>2</v>
      </c>
      <c r="T92">
        <v>2</v>
      </c>
      <c r="Y92">
        <v>2</v>
      </c>
      <c r="AD92">
        <v>2</v>
      </c>
      <c r="AI92">
        <v>2</v>
      </c>
      <c r="AM92">
        <v>2</v>
      </c>
      <c r="AS92">
        <v>2</v>
      </c>
      <c r="AW92">
        <v>2</v>
      </c>
      <c r="BA92">
        <f>SUM(Pre[[#This Row],[1]:[46]])</f>
        <v>19</v>
      </c>
    </row>
    <row r="93" spans="1:53" x14ac:dyDescent="0.2">
      <c r="A93" t="s">
        <v>5</v>
      </c>
      <c r="B93" t="s">
        <v>6</v>
      </c>
      <c r="C93">
        <v>6036</v>
      </c>
      <c r="D93" t="s">
        <v>22</v>
      </c>
      <c r="E93" t="s">
        <v>8</v>
      </c>
      <c r="F93" t="s">
        <v>23</v>
      </c>
      <c r="H93">
        <v>1</v>
      </c>
      <c r="J93">
        <v>1</v>
      </c>
      <c r="M93">
        <v>1</v>
      </c>
      <c r="P93">
        <v>1</v>
      </c>
      <c r="U93">
        <v>1</v>
      </c>
      <c r="Y93">
        <v>1</v>
      </c>
      <c r="AD93">
        <v>1</v>
      </c>
      <c r="AH93">
        <v>1</v>
      </c>
      <c r="AM93">
        <v>1</v>
      </c>
      <c r="AQ93">
        <v>1</v>
      </c>
      <c r="AU93">
        <v>1</v>
      </c>
      <c r="AV93">
        <v>1</v>
      </c>
      <c r="AZ93">
        <v>1</v>
      </c>
      <c r="BA93">
        <f>SUM(Pre[[#This Row],[1]:[46]])</f>
        <v>13</v>
      </c>
    </row>
    <row r="94" spans="1:53" x14ac:dyDescent="0.2">
      <c r="A94" t="s">
        <v>5</v>
      </c>
      <c r="B94" t="s">
        <v>6</v>
      </c>
      <c r="C94">
        <v>6036</v>
      </c>
      <c r="D94" t="s">
        <v>22</v>
      </c>
      <c r="E94" t="s">
        <v>8</v>
      </c>
      <c r="F94" t="s">
        <v>9</v>
      </c>
      <c r="BA94">
        <f>SUM(Pre[[#This Row],[1]:[46]])</f>
        <v>0</v>
      </c>
    </row>
    <row r="95" spans="1:53" x14ac:dyDescent="0.2">
      <c r="A95" t="s">
        <v>5</v>
      </c>
      <c r="B95" t="s">
        <v>6</v>
      </c>
      <c r="C95">
        <v>6249</v>
      </c>
      <c r="D95" t="s">
        <v>22</v>
      </c>
      <c r="E95" t="s">
        <v>8</v>
      </c>
      <c r="F95" t="s">
        <v>9</v>
      </c>
      <c r="T95">
        <v>1</v>
      </c>
      <c r="X95">
        <v>1</v>
      </c>
      <c r="AB95">
        <v>1</v>
      </c>
      <c r="BA95">
        <f>SUM(Pre[[#This Row],[1]:[46]])</f>
        <v>3</v>
      </c>
    </row>
    <row r="96" spans="1:53" x14ac:dyDescent="0.2">
      <c r="A96" t="s">
        <v>5</v>
      </c>
      <c r="B96" t="s">
        <v>6</v>
      </c>
      <c r="C96">
        <v>6249</v>
      </c>
      <c r="D96" t="s">
        <v>22</v>
      </c>
      <c r="E96" t="s">
        <v>14</v>
      </c>
      <c r="F96" t="s">
        <v>35</v>
      </c>
      <c r="G96">
        <v>2</v>
      </c>
      <c r="K96">
        <v>1</v>
      </c>
      <c r="AF96">
        <v>1</v>
      </c>
      <c r="BA96">
        <f>SUM(Pre[[#This Row],[1]:[46]])</f>
        <v>4</v>
      </c>
    </row>
    <row r="97" spans="1:53" x14ac:dyDescent="0.2">
      <c r="A97" t="s">
        <v>5</v>
      </c>
      <c r="B97" t="s">
        <v>6</v>
      </c>
      <c r="C97">
        <v>6249</v>
      </c>
      <c r="D97" t="s">
        <v>22</v>
      </c>
      <c r="E97" t="s">
        <v>14</v>
      </c>
      <c r="F97" t="s">
        <v>19</v>
      </c>
      <c r="BA97">
        <f>SUM(Pre[[#This Row],[1]:[46]])</f>
        <v>0</v>
      </c>
    </row>
    <row r="98" spans="1:53" x14ac:dyDescent="0.2">
      <c r="A98" t="s">
        <v>5</v>
      </c>
      <c r="B98" t="s">
        <v>6</v>
      </c>
      <c r="C98">
        <v>7021</v>
      </c>
      <c r="D98" t="s">
        <v>22</v>
      </c>
      <c r="E98" t="s">
        <v>8</v>
      </c>
      <c r="F98" t="s">
        <v>9</v>
      </c>
      <c r="K98">
        <v>1</v>
      </c>
      <c r="S98">
        <v>1</v>
      </c>
      <c r="U98">
        <v>1</v>
      </c>
      <c r="Y98">
        <v>1</v>
      </c>
      <c r="AA98">
        <v>1</v>
      </c>
      <c r="AB98">
        <v>1</v>
      </c>
      <c r="AE98">
        <v>1</v>
      </c>
      <c r="AF98">
        <v>1</v>
      </c>
      <c r="AI98">
        <v>1</v>
      </c>
      <c r="AM98">
        <v>1</v>
      </c>
      <c r="AQ98">
        <v>1</v>
      </c>
      <c r="AT98">
        <v>1</v>
      </c>
      <c r="AX98">
        <v>1</v>
      </c>
      <c r="BA98">
        <f>SUM(Pre[[#This Row],[1]:[46]])</f>
        <v>13</v>
      </c>
    </row>
    <row r="99" spans="1:53" x14ac:dyDescent="0.2">
      <c r="A99" t="s">
        <v>5</v>
      </c>
      <c r="B99" t="s">
        <v>6</v>
      </c>
      <c r="C99">
        <v>7351</v>
      </c>
      <c r="D99" t="s">
        <v>22</v>
      </c>
      <c r="E99" t="s">
        <v>8</v>
      </c>
      <c r="F99" t="s">
        <v>29</v>
      </c>
      <c r="G99">
        <v>1</v>
      </c>
      <c r="K99">
        <v>1</v>
      </c>
      <c r="O99">
        <v>1</v>
      </c>
      <c r="BA99">
        <f>SUM(Pre[[#This Row],[1]:[46]])</f>
        <v>3</v>
      </c>
    </row>
    <row r="100" spans="1:53" x14ac:dyDescent="0.2">
      <c r="A100" t="s">
        <v>5</v>
      </c>
      <c r="B100" t="s">
        <v>6</v>
      </c>
      <c r="C100">
        <v>8000</v>
      </c>
      <c r="D100" t="s">
        <v>22</v>
      </c>
      <c r="E100" t="s">
        <v>14</v>
      </c>
      <c r="F100" t="s">
        <v>20</v>
      </c>
      <c r="BA100">
        <f>SUM(Pre[[#This Row],[1]:[46]])</f>
        <v>0</v>
      </c>
    </row>
    <row r="101" spans="1:53" x14ac:dyDescent="0.2">
      <c r="A101" t="s">
        <v>5</v>
      </c>
      <c r="B101" t="s">
        <v>6</v>
      </c>
      <c r="C101">
        <v>8100</v>
      </c>
      <c r="D101" t="s">
        <v>22</v>
      </c>
      <c r="E101" t="s">
        <v>8</v>
      </c>
      <c r="F101" t="s">
        <v>23</v>
      </c>
      <c r="G101">
        <v>1</v>
      </c>
      <c r="L101">
        <v>1</v>
      </c>
      <c r="W101">
        <v>1</v>
      </c>
      <c r="BA101">
        <f>SUM(Pre[[#This Row],[1]:[46]])</f>
        <v>3</v>
      </c>
    </row>
    <row r="102" spans="1:53" x14ac:dyDescent="0.2">
      <c r="A102" t="s">
        <v>5</v>
      </c>
      <c r="B102" t="s">
        <v>6</v>
      </c>
      <c r="C102">
        <v>8497</v>
      </c>
      <c r="D102" t="s">
        <v>22</v>
      </c>
      <c r="E102" t="s">
        <v>10</v>
      </c>
      <c r="F102" t="s">
        <v>11</v>
      </c>
      <c r="BA102">
        <f>SUM(Pre[[#This Row],[1]:[46]])</f>
        <v>0</v>
      </c>
    </row>
    <row r="103" spans="1:53" x14ac:dyDescent="0.2">
      <c r="A103" t="s">
        <v>5</v>
      </c>
      <c r="B103" t="s">
        <v>6</v>
      </c>
      <c r="C103">
        <v>8497</v>
      </c>
      <c r="D103" t="s">
        <v>22</v>
      </c>
      <c r="E103" t="s">
        <v>14</v>
      </c>
      <c r="F103" t="s">
        <v>19</v>
      </c>
      <c r="BA103">
        <f>SUM(Pre[[#This Row],[1]:[46]])</f>
        <v>0</v>
      </c>
    </row>
    <row r="104" spans="1:53" x14ac:dyDescent="0.2">
      <c r="A104" t="s">
        <v>5</v>
      </c>
      <c r="B104" t="s">
        <v>6</v>
      </c>
      <c r="C104">
        <v>10110</v>
      </c>
      <c r="D104" t="s">
        <v>22</v>
      </c>
      <c r="E104" t="s">
        <v>10</v>
      </c>
      <c r="F104" t="s">
        <v>11</v>
      </c>
      <c r="J104">
        <v>1</v>
      </c>
      <c r="N104">
        <v>1</v>
      </c>
      <c r="S104">
        <v>1</v>
      </c>
      <c r="X104">
        <v>1</v>
      </c>
      <c r="Y104">
        <v>1</v>
      </c>
      <c r="AC104">
        <v>1</v>
      </c>
      <c r="BA104">
        <f>SUM(Pre[[#This Row],[1]:[46]])</f>
        <v>6</v>
      </c>
    </row>
    <row r="105" spans="1:53" x14ac:dyDescent="0.2">
      <c r="A105" t="s">
        <v>5</v>
      </c>
      <c r="B105" t="s">
        <v>6</v>
      </c>
      <c r="C105">
        <v>10110</v>
      </c>
      <c r="D105" t="s">
        <v>22</v>
      </c>
      <c r="E105" t="s">
        <v>8</v>
      </c>
      <c r="F105" t="s">
        <v>23</v>
      </c>
      <c r="J105">
        <v>1</v>
      </c>
      <c r="N105">
        <v>1</v>
      </c>
      <c r="S105">
        <v>1</v>
      </c>
      <c r="X105">
        <v>1</v>
      </c>
      <c r="Y105">
        <v>1</v>
      </c>
      <c r="AC105">
        <v>1</v>
      </c>
      <c r="BA105">
        <f>SUM(Pre[[#This Row],[1]:[46]])</f>
        <v>6</v>
      </c>
    </row>
    <row r="106" spans="1:53" x14ac:dyDescent="0.2">
      <c r="A106" t="s">
        <v>5</v>
      </c>
      <c r="B106" t="s">
        <v>6</v>
      </c>
      <c r="C106">
        <v>10110</v>
      </c>
      <c r="D106" t="s">
        <v>22</v>
      </c>
      <c r="E106" t="s">
        <v>14</v>
      </c>
      <c r="F106" t="s">
        <v>21</v>
      </c>
      <c r="AF106">
        <v>1</v>
      </c>
      <c r="AH106">
        <v>1</v>
      </c>
      <c r="AI106">
        <v>2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BA106">
        <f>SUM(Pre[[#This Row],[1]:[46]])</f>
        <v>11</v>
      </c>
    </row>
    <row r="107" spans="1:53" x14ac:dyDescent="0.2">
      <c r="A107" t="s">
        <v>5</v>
      </c>
      <c r="B107" t="s">
        <v>6</v>
      </c>
      <c r="C107">
        <v>11938</v>
      </c>
      <c r="D107" t="s">
        <v>22</v>
      </c>
      <c r="E107" t="s">
        <v>8</v>
      </c>
      <c r="F107" t="s">
        <v>29</v>
      </c>
      <c r="R107">
        <v>1</v>
      </c>
      <c r="AE107">
        <v>1</v>
      </c>
      <c r="AR107">
        <v>1</v>
      </c>
      <c r="BA107">
        <f>SUM(Pre[[#This Row],[1]:[46]])</f>
        <v>3</v>
      </c>
    </row>
    <row r="108" spans="1:53" x14ac:dyDescent="0.2">
      <c r="A108" t="s">
        <v>5</v>
      </c>
      <c r="B108" t="s">
        <v>6</v>
      </c>
      <c r="C108">
        <v>13514</v>
      </c>
      <c r="D108" t="s">
        <v>22</v>
      </c>
      <c r="E108" t="s">
        <v>14</v>
      </c>
      <c r="F108" t="s">
        <v>35</v>
      </c>
      <c r="S108">
        <v>1</v>
      </c>
      <c r="AE108">
        <v>1</v>
      </c>
      <c r="AU108">
        <v>1</v>
      </c>
      <c r="BA108">
        <f>SUM(Pre[[#This Row],[1]:[46]])</f>
        <v>3</v>
      </c>
    </row>
    <row r="109" spans="1:53" x14ac:dyDescent="0.2">
      <c r="A109" t="s">
        <v>5</v>
      </c>
      <c r="B109" t="s">
        <v>6</v>
      </c>
      <c r="C109">
        <v>13589</v>
      </c>
      <c r="D109" t="s">
        <v>22</v>
      </c>
      <c r="E109" t="s">
        <v>8</v>
      </c>
      <c r="F109" t="s">
        <v>9</v>
      </c>
      <c r="K109">
        <v>1</v>
      </c>
      <c r="O109">
        <v>1</v>
      </c>
      <c r="T109">
        <v>1</v>
      </c>
      <c r="Y109">
        <v>1</v>
      </c>
      <c r="AC109">
        <v>1</v>
      </c>
      <c r="AG109">
        <v>1</v>
      </c>
      <c r="AL109">
        <v>1</v>
      </c>
      <c r="AQ109">
        <v>1</v>
      </c>
      <c r="AT109">
        <v>1</v>
      </c>
      <c r="AY109">
        <v>1</v>
      </c>
      <c r="BA109">
        <f>SUM(Pre[[#This Row],[1]:[46]])</f>
        <v>10</v>
      </c>
    </row>
    <row r="110" spans="1:53" x14ac:dyDescent="0.2">
      <c r="A110" t="s">
        <v>5</v>
      </c>
      <c r="B110" t="s">
        <v>6</v>
      </c>
      <c r="C110">
        <v>14378</v>
      </c>
      <c r="D110" t="s">
        <v>22</v>
      </c>
      <c r="E110" t="s">
        <v>10</v>
      </c>
      <c r="F110" t="s">
        <v>11</v>
      </c>
      <c r="J110">
        <v>1</v>
      </c>
      <c r="BA110">
        <f>SUM(Pre[[#This Row],[1]:[46]])</f>
        <v>1</v>
      </c>
    </row>
    <row r="111" spans="1:53" x14ac:dyDescent="0.2">
      <c r="A111" t="s">
        <v>5</v>
      </c>
      <c r="B111" t="s">
        <v>6</v>
      </c>
      <c r="C111">
        <v>15751</v>
      </c>
      <c r="D111" t="s">
        <v>22</v>
      </c>
      <c r="E111" t="s">
        <v>14</v>
      </c>
      <c r="F111" t="s">
        <v>31</v>
      </c>
      <c r="M111">
        <v>2</v>
      </c>
      <c r="AP111">
        <v>1</v>
      </c>
      <c r="BA111">
        <f>SUM(Pre[[#This Row],[1]:[46]])</f>
        <v>3</v>
      </c>
    </row>
    <row r="112" spans="1:53" x14ac:dyDescent="0.2">
      <c r="A112" t="s">
        <v>5</v>
      </c>
      <c r="B112" t="s">
        <v>6</v>
      </c>
      <c r="C112">
        <v>15921</v>
      </c>
      <c r="D112" t="s">
        <v>22</v>
      </c>
      <c r="E112" t="s">
        <v>14</v>
      </c>
      <c r="F112" t="s">
        <v>20</v>
      </c>
      <c r="AF112">
        <v>1</v>
      </c>
      <c r="BA112">
        <f>SUM(Pre[[#This Row],[1]:[46]])</f>
        <v>1</v>
      </c>
    </row>
    <row r="113" spans="1:53" x14ac:dyDescent="0.2">
      <c r="A113" t="s">
        <v>5</v>
      </c>
      <c r="B113" t="s">
        <v>6</v>
      </c>
      <c r="C113">
        <v>16032</v>
      </c>
      <c r="D113" t="s">
        <v>22</v>
      </c>
      <c r="E113" t="s">
        <v>8</v>
      </c>
      <c r="F113" t="s">
        <v>9</v>
      </c>
      <c r="BA113">
        <f>SUM(Pre[[#This Row],[1]:[46]])</f>
        <v>0</v>
      </c>
    </row>
    <row r="114" spans="1:53" x14ac:dyDescent="0.2">
      <c r="A114" t="s">
        <v>5</v>
      </c>
      <c r="B114" t="s">
        <v>6</v>
      </c>
      <c r="C114">
        <v>16032</v>
      </c>
      <c r="D114" t="s">
        <v>22</v>
      </c>
      <c r="E114" t="s">
        <v>14</v>
      </c>
      <c r="F114" t="s">
        <v>20</v>
      </c>
      <c r="N114">
        <v>1</v>
      </c>
      <c r="R114">
        <v>1</v>
      </c>
      <c r="W114">
        <v>2</v>
      </c>
      <c r="AB114">
        <v>1</v>
      </c>
      <c r="AE114">
        <v>1</v>
      </c>
      <c r="AJ114">
        <v>1</v>
      </c>
      <c r="AO114">
        <v>2</v>
      </c>
      <c r="AS114">
        <v>1</v>
      </c>
      <c r="AW114">
        <v>1</v>
      </c>
      <c r="AZ114">
        <v>1</v>
      </c>
      <c r="BA114">
        <f>SUM(Pre[[#This Row],[1]:[46]])</f>
        <v>12</v>
      </c>
    </row>
    <row r="115" spans="1:53" x14ac:dyDescent="0.2">
      <c r="A115" t="s">
        <v>5</v>
      </c>
      <c r="B115" t="s">
        <v>6</v>
      </c>
      <c r="C115">
        <v>17238</v>
      </c>
      <c r="D115" t="s">
        <v>22</v>
      </c>
      <c r="E115" t="s">
        <v>14</v>
      </c>
      <c r="F115" t="s">
        <v>35</v>
      </c>
      <c r="K115">
        <v>1</v>
      </c>
      <c r="T115">
        <v>1</v>
      </c>
      <c r="AC115">
        <v>1</v>
      </c>
      <c r="AI115">
        <v>1</v>
      </c>
      <c r="AL115">
        <v>1</v>
      </c>
      <c r="AN115">
        <v>1</v>
      </c>
      <c r="AS115">
        <v>1</v>
      </c>
      <c r="AW115">
        <v>1</v>
      </c>
      <c r="BA115">
        <f>SUM(Pre[[#This Row],[1]:[46]])</f>
        <v>8</v>
      </c>
    </row>
    <row r="116" spans="1:53" x14ac:dyDescent="0.2">
      <c r="A116" t="s">
        <v>5</v>
      </c>
      <c r="B116" t="s">
        <v>6</v>
      </c>
      <c r="C116">
        <v>17499</v>
      </c>
      <c r="D116" t="s">
        <v>22</v>
      </c>
      <c r="E116" t="s">
        <v>14</v>
      </c>
      <c r="F116" t="s">
        <v>19</v>
      </c>
      <c r="BA116">
        <f>SUM(Pre[[#This Row],[1]:[46]])</f>
        <v>0</v>
      </c>
    </row>
    <row r="117" spans="1:53" x14ac:dyDescent="0.2">
      <c r="A117" t="s">
        <v>5</v>
      </c>
      <c r="B117" t="s">
        <v>6</v>
      </c>
      <c r="C117">
        <v>18128</v>
      </c>
      <c r="D117" t="s">
        <v>22</v>
      </c>
      <c r="E117" t="s">
        <v>10</v>
      </c>
      <c r="F117" t="s">
        <v>11</v>
      </c>
      <c r="BA117">
        <f>SUM(Pre[[#This Row],[1]:[46]])</f>
        <v>0</v>
      </c>
    </row>
    <row r="118" spans="1:53" x14ac:dyDescent="0.2">
      <c r="A118" t="s">
        <v>5</v>
      </c>
      <c r="B118" t="s">
        <v>6</v>
      </c>
      <c r="C118">
        <v>18176</v>
      </c>
      <c r="D118" t="s">
        <v>22</v>
      </c>
      <c r="E118" t="s">
        <v>14</v>
      </c>
      <c r="F118" t="s">
        <v>19</v>
      </c>
      <c r="BA118">
        <f>SUM(Pre[[#This Row],[1]:[46]])</f>
        <v>0</v>
      </c>
    </row>
    <row r="119" spans="1:53" x14ac:dyDescent="0.2">
      <c r="A119" t="s">
        <v>5</v>
      </c>
      <c r="B119" t="s">
        <v>6</v>
      </c>
      <c r="C119">
        <v>18324</v>
      </c>
      <c r="D119" t="s">
        <v>22</v>
      </c>
      <c r="E119" t="s">
        <v>8</v>
      </c>
      <c r="F119" t="s">
        <v>9</v>
      </c>
      <c r="Q119">
        <v>1</v>
      </c>
      <c r="T119">
        <v>1</v>
      </c>
      <c r="Y119">
        <v>1</v>
      </c>
      <c r="AD119">
        <v>1</v>
      </c>
      <c r="AI119">
        <v>1</v>
      </c>
      <c r="AM119">
        <v>1</v>
      </c>
      <c r="AS119">
        <v>1</v>
      </c>
      <c r="AW119">
        <v>1</v>
      </c>
      <c r="BA119">
        <f>SUM(Pre[[#This Row],[1]:[46]])</f>
        <v>8</v>
      </c>
    </row>
    <row r="120" spans="1:53" x14ac:dyDescent="0.2">
      <c r="A120" t="s">
        <v>5</v>
      </c>
      <c r="B120" t="s">
        <v>6</v>
      </c>
      <c r="C120">
        <v>18664</v>
      </c>
      <c r="D120" t="s">
        <v>22</v>
      </c>
      <c r="E120" t="s">
        <v>14</v>
      </c>
      <c r="F120" t="s">
        <v>20</v>
      </c>
      <c r="J120">
        <v>1</v>
      </c>
      <c r="N120">
        <v>1</v>
      </c>
      <c r="Q120">
        <v>1</v>
      </c>
      <c r="R120">
        <v>1</v>
      </c>
      <c r="V120">
        <v>1</v>
      </c>
      <c r="Y120">
        <v>1</v>
      </c>
      <c r="AA120">
        <v>1</v>
      </c>
      <c r="AE120">
        <v>1</v>
      </c>
      <c r="AJ120">
        <v>1</v>
      </c>
      <c r="AN120">
        <v>1</v>
      </c>
      <c r="AR120">
        <v>1</v>
      </c>
      <c r="AW120">
        <v>1</v>
      </c>
      <c r="BA120">
        <f>SUM(Pre[[#This Row],[1]:[46]])</f>
        <v>12</v>
      </c>
    </row>
    <row r="121" spans="1:53" x14ac:dyDescent="0.2">
      <c r="A121" t="s">
        <v>5</v>
      </c>
      <c r="B121" t="s">
        <v>6</v>
      </c>
      <c r="C121">
        <v>18682</v>
      </c>
      <c r="D121" t="s">
        <v>22</v>
      </c>
      <c r="E121" t="s">
        <v>8</v>
      </c>
      <c r="F121" t="s">
        <v>9</v>
      </c>
      <c r="G121">
        <v>1</v>
      </c>
      <c r="H121">
        <v>1</v>
      </c>
      <c r="I121">
        <v>1</v>
      </c>
      <c r="J121">
        <v>1</v>
      </c>
      <c r="N121">
        <v>1</v>
      </c>
      <c r="R121">
        <v>1</v>
      </c>
      <c r="V121">
        <v>1</v>
      </c>
      <c r="AA121">
        <v>1</v>
      </c>
      <c r="AE121">
        <v>1</v>
      </c>
      <c r="AI121">
        <v>1</v>
      </c>
      <c r="AN121">
        <v>1</v>
      </c>
      <c r="AR121">
        <v>1</v>
      </c>
      <c r="AW121">
        <v>1</v>
      </c>
      <c r="BA121">
        <f>SUM(Pre[[#This Row],[1]:[46]])</f>
        <v>13</v>
      </c>
    </row>
    <row r="122" spans="1:53" x14ac:dyDescent="0.2">
      <c r="A122" t="s">
        <v>5</v>
      </c>
      <c r="B122" t="s">
        <v>6</v>
      </c>
      <c r="C122">
        <v>20458</v>
      </c>
      <c r="D122" t="s">
        <v>22</v>
      </c>
      <c r="E122" t="s">
        <v>8</v>
      </c>
      <c r="F122" t="s">
        <v>29</v>
      </c>
      <c r="H122">
        <v>1</v>
      </c>
      <c r="U122">
        <v>1</v>
      </c>
      <c r="AI122">
        <v>1</v>
      </c>
      <c r="AV122">
        <v>1</v>
      </c>
      <c r="AW122">
        <v>1</v>
      </c>
      <c r="BA122">
        <f>SUM(Pre[[#This Row],[1]:[46]])</f>
        <v>5</v>
      </c>
    </row>
    <row r="123" spans="1:53" x14ac:dyDescent="0.2">
      <c r="A123" t="s">
        <v>5</v>
      </c>
      <c r="B123" t="s">
        <v>6</v>
      </c>
      <c r="C123">
        <v>20458</v>
      </c>
      <c r="D123" t="s">
        <v>22</v>
      </c>
      <c r="E123" t="s">
        <v>14</v>
      </c>
      <c r="F123" t="s">
        <v>20</v>
      </c>
      <c r="H123">
        <v>1</v>
      </c>
      <c r="U123">
        <v>1</v>
      </c>
      <c r="AI123">
        <v>1</v>
      </c>
      <c r="AV123">
        <v>1</v>
      </c>
      <c r="AW123">
        <v>1</v>
      </c>
      <c r="BA123">
        <f>SUM(Pre[[#This Row],[1]:[46]])</f>
        <v>5</v>
      </c>
    </row>
    <row r="124" spans="1:53" x14ac:dyDescent="0.2">
      <c r="A124" t="s">
        <v>5</v>
      </c>
      <c r="B124" t="s">
        <v>6</v>
      </c>
      <c r="C124">
        <v>21455</v>
      </c>
      <c r="D124" t="s">
        <v>22</v>
      </c>
      <c r="E124" t="s">
        <v>10</v>
      </c>
      <c r="F124" t="s">
        <v>11</v>
      </c>
      <c r="AY124">
        <v>1</v>
      </c>
      <c r="BA124">
        <f>SUM(Pre[[#This Row],[1]:[46]])</f>
        <v>1</v>
      </c>
    </row>
    <row r="125" spans="1:53" x14ac:dyDescent="0.2">
      <c r="A125" t="s">
        <v>5</v>
      </c>
      <c r="B125" t="s">
        <v>6</v>
      </c>
      <c r="C125">
        <v>22368</v>
      </c>
      <c r="D125" t="s">
        <v>22</v>
      </c>
      <c r="E125" t="s">
        <v>10</v>
      </c>
      <c r="F125" t="s">
        <v>11</v>
      </c>
      <c r="I125">
        <v>1</v>
      </c>
      <c r="BA125">
        <f>SUM(Pre[[#This Row],[1]:[46]])</f>
        <v>1</v>
      </c>
    </row>
    <row r="126" spans="1:53" x14ac:dyDescent="0.2">
      <c r="A126" t="s">
        <v>5</v>
      </c>
      <c r="B126" t="s">
        <v>6</v>
      </c>
      <c r="C126">
        <v>25198</v>
      </c>
      <c r="D126" t="s">
        <v>22</v>
      </c>
      <c r="E126" t="s">
        <v>10</v>
      </c>
      <c r="F126" t="s">
        <v>11</v>
      </c>
      <c r="AY126">
        <v>1</v>
      </c>
      <c r="BA126">
        <f>SUM(Pre[[#This Row],[1]:[46]])</f>
        <v>1</v>
      </c>
    </row>
    <row r="127" spans="1:53" x14ac:dyDescent="0.2">
      <c r="A127" t="s">
        <v>5</v>
      </c>
      <c r="B127" t="s">
        <v>6</v>
      </c>
      <c r="C127">
        <v>1143</v>
      </c>
      <c r="D127" t="s">
        <v>7</v>
      </c>
      <c r="E127" t="s">
        <v>14</v>
      </c>
      <c r="F127" t="s">
        <v>19</v>
      </c>
      <c r="AI127">
        <v>1</v>
      </c>
      <c r="AK127">
        <v>2</v>
      </c>
      <c r="BA127">
        <f>SUM(Pre[[#This Row],[1]:[46]])</f>
        <v>3</v>
      </c>
    </row>
    <row r="128" spans="1:53" x14ac:dyDescent="0.2">
      <c r="A128" t="s">
        <v>5</v>
      </c>
      <c r="B128" t="s">
        <v>6</v>
      </c>
      <c r="C128">
        <v>13606</v>
      </c>
      <c r="D128" t="s">
        <v>7</v>
      </c>
      <c r="E128" t="s">
        <v>14</v>
      </c>
      <c r="F128" t="s">
        <v>19</v>
      </c>
      <c r="AY128">
        <v>1</v>
      </c>
      <c r="BA128">
        <f>SUM(Pre[[#This Row],[1]:[46]])</f>
        <v>1</v>
      </c>
    </row>
    <row r="129" spans="1:53" x14ac:dyDescent="0.2">
      <c r="A129" t="s">
        <v>5</v>
      </c>
      <c r="B129" t="s">
        <v>6</v>
      </c>
      <c r="C129">
        <v>13606</v>
      </c>
      <c r="D129" t="s">
        <v>7</v>
      </c>
      <c r="E129" t="s">
        <v>14</v>
      </c>
      <c r="F129" t="s">
        <v>21</v>
      </c>
      <c r="U129">
        <v>1</v>
      </c>
      <c r="AD129">
        <v>1</v>
      </c>
      <c r="AL129">
        <v>1</v>
      </c>
      <c r="BA129">
        <f>SUM(Pre[[#This Row],[1]:[46]])</f>
        <v>3</v>
      </c>
    </row>
    <row r="130" spans="1:53" x14ac:dyDescent="0.2">
      <c r="A130" t="s">
        <v>5</v>
      </c>
      <c r="B130" t="s">
        <v>6</v>
      </c>
      <c r="C130">
        <v>22808</v>
      </c>
      <c r="D130" t="s">
        <v>7</v>
      </c>
      <c r="E130" t="s">
        <v>14</v>
      </c>
      <c r="F130" t="s">
        <v>20</v>
      </c>
      <c r="Z130">
        <v>1</v>
      </c>
      <c r="BA130">
        <f>SUM(Pre[[#This Row],[1]:[46]])</f>
        <v>1</v>
      </c>
    </row>
    <row r="131" spans="1:53" x14ac:dyDescent="0.2">
      <c r="A131" t="s">
        <v>5</v>
      </c>
      <c r="B131" t="s">
        <v>6</v>
      </c>
      <c r="C131">
        <v>31355</v>
      </c>
      <c r="D131" t="s">
        <v>7</v>
      </c>
      <c r="E131" t="s">
        <v>14</v>
      </c>
      <c r="F131" t="s">
        <v>20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f>SUM(Pre[[#This Row],[1]:[46]])</f>
        <v>45</v>
      </c>
    </row>
    <row r="132" spans="1:53" x14ac:dyDescent="0.2">
      <c r="A132" t="s">
        <v>5</v>
      </c>
      <c r="B132" t="s">
        <v>6</v>
      </c>
      <c r="C132">
        <v>3042</v>
      </c>
      <c r="D132" t="s">
        <v>22</v>
      </c>
      <c r="E132" t="s">
        <v>10</v>
      </c>
      <c r="F132" t="s">
        <v>36</v>
      </c>
      <c r="Q132">
        <v>1</v>
      </c>
      <c r="V132">
        <v>1</v>
      </c>
      <c r="AA132">
        <v>1</v>
      </c>
      <c r="AF132">
        <v>1</v>
      </c>
      <c r="AI132">
        <v>1</v>
      </c>
      <c r="AN132">
        <v>1</v>
      </c>
      <c r="BA132">
        <f>SUM(Pre[[#This Row],[1]:[46]])</f>
        <v>6</v>
      </c>
    </row>
    <row r="133" spans="1:53" x14ac:dyDescent="0.2">
      <c r="A133" t="s">
        <v>5</v>
      </c>
      <c r="B133" t="s">
        <v>6</v>
      </c>
      <c r="C133">
        <v>3042</v>
      </c>
      <c r="D133" t="s">
        <v>22</v>
      </c>
      <c r="E133" t="s">
        <v>14</v>
      </c>
      <c r="F133" t="s">
        <v>15</v>
      </c>
      <c r="BA133">
        <f>SUM(Pre[[#This Row],[1]:[46]])</f>
        <v>0</v>
      </c>
    </row>
    <row r="134" spans="1:53" x14ac:dyDescent="0.2">
      <c r="A134" t="s">
        <v>5</v>
      </c>
      <c r="B134" t="s">
        <v>6</v>
      </c>
      <c r="C134">
        <v>3042</v>
      </c>
      <c r="D134" t="s">
        <v>22</v>
      </c>
      <c r="E134" t="s">
        <v>14</v>
      </c>
      <c r="F134" t="s">
        <v>19</v>
      </c>
      <c r="AF134">
        <v>2</v>
      </c>
      <c r="AQ134">
        <v>1</v>
      </c>
      <c r="AU134">
        <v>1</v>
      </c>
      <c r="AY134">
        <v>1</v>
      </c>
      <c r="BA134">
        <f>SUM(Pre[[#This Row],[1]:[46]])</f>
        <v>5</v>
      </c>
    </row>
    <row r="135" spans="1:53" x14ac:dyDescent="0.2">
      <c r="A135" t="s">
        <v>5</v>
      </c>
      <c r="B135" t="s">
        <v>6</v>
      </c>
      <c r="C135">
        <v>1892</v>
      </c>
      <c r="D135" t="s">
        <v>7</v>
      </c>
      <c r="E135" t="s">
        <v>10</v>
      </c>
      <c r="F135" t="s">
        <v>11</v>
      </c>
      <c r="BA135">
        <f>SUM(Pre[[#This Row],[1]:[46]])</f>
        <v>0</v>
      </c>
    </row>
    <row r="136" spans="1:53" x14ac:dyDescent="0.2">
      <c r="A136" t="s">
        <v>5</v>
      </c>
      <c r="B136" t="s">
        <v>6</v>
      </c>
      <c r="C136">
        <v>2021</v>
      </c>
      <c r="D136" t="s">
        <v>7</v>
      </c>
      <c r="E136" t="s">
        <v>14</v>
      </c>
      <c r="F136" t="s">
        <v>19</v>
      </c>
      <c r="BA136">
        <f>SUM(Pre[[#This Row],[1]:[46]])</f>
        <v>0</v>
      </c>
    </row>
    <row r="137" spans="1:53" x14ac:dyDescent="0.2">
      <c r="A137" t="s">
        <v>5</v>
      </c>
      <c r="B137" t="s">
        <v>6</v>
      </c>
      <c r="C137">
        <v>4062</v>
      </c>
      <c r="D137" t="s">
        <v>7</v>
      </c>
      <c r="E137" t="s">
        <v>14</v>
      </c>
      <c r="F137" t="s">
        <v>19</v>
      </c>
      <c r="AX137">
        <v>1</v>
      </c>
      <c r="BA137">
        <f>SUM(Pre[[#This Row],[1]:[46]])</f>
        <v>1</v>
      </c>
    </row>
    <row r="138" spans="1:53" x14ac:dyDescent="0.2">
      <c r="A138" t="s">
        <v>5</v>
      </c>
      <c r="B138" t="s">
        <v>6</v>
      </c>
      <c r="C138">
        <v>7021</v>
      </c>
      <c r="D138" t="s">
        <v>22</v>
      </c>
      <c r="E138" t="s">
        <v>14</v>
      </c>
      <c r="F138" t="s">
        <v>20</v>
      </c>
      <c r="K138">
        <v>1</v>
      </c>
      <c r="S138">
        <v>1</v>
      </c>
      <c r="U138">
        <v>1</v>
      </c>
      <c r="Y138">
        <v>1</v>
      </c>
      <c r="AA138">
        <v>1</v>
      </c>
      <c r="AB138">
        <v>1</v>
      </c>
      <c r="AE138">
        <v>1</v>
      </c>
      <c r="AF138">
        <v>1</v>
      </c>
      <c r="AI138">
        <v>1</v>
      </c>
      <c r="AM138">
        <v>1</v>
      </c>
      <c r="AQ138">
        <v>1</v>
      </c>
      <c r="AT138">
        <v>1</v>
      </c>
      <c r="AX138">
        <v>1</v>
      </c>
      <c r="BA138">
        <f>SUM(Pre[[#This Row],[1]:[46]])</f>
        <v>13</v>
      </c>
    </row>
    <row r="139" spans="1:53" x14ac:dyDescent="0.2">
      <c r="A139" t="s">
        <v>5</v>
      </c>
      <c r="B139" t="s">
        <v>6</v>
      </c>
      <c r="C139">
        <v>18682</v>
      </c>
      <c r="D139" t="s">
        <v>22</v>
      </c>
      <c r="E139" t="s">
        <v>10</v>
      </c>
      <c r="F139" t="s">
        <v>11</v>
      </c>
      <c r="BA139">
        <f>SUM(Pre[[#This Row],[1]:[46]])</f>
        <v>0</v>
      </c>
    </row>
    <row r="140" spans="1:53" x14ac:dyDescent="0.2">
      <c r="A140" t="s">
        <v>5</v>
      </c>
      <c r="B140" t="s">
        <v>6</v>
      </c>
      <c r="C140">
        <v>18682</v>
      </c>
      <c r="D140" t="s">
        <v>22</v>
      </c>
      <c r="E140" t="s">
        <v>14</v>
      </c>
      <c r="F140" t="s">
        <v>20</v>
      </c>
      <c r="G140">
        <v>1</v>
      </c>
      <c r="H140">
        <v>2</v>
      </c>
      <c r="I140">
        <v>2</v>
      </c>
      <c r="BA140">
        <f>SUM(Pre[[#This Row],[1]:[46]])</f>
        <v>5</v>
      </c>
    </row>
    <row r="141" spans="1:53" x14ac:dyDescent="0.2">
      <c r="A141" t="s">
        <v>5</v>
      </c>
      <c r="B141" t="s">
        <v>6</v>
      </c>
      <c r="C141">
        <v>9111</v>
      </c>
      <c r="D141" t="s">
        <v>7</v>
      </c>
      <c r="E141" t="s">
        <v>14</v>
      </c>
      <c r="F141" t="s">
        <v>21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D141">
        <v>1</v>
      </c>
      <c r="AI141">
        <v>1</v>
      </c>
      <c r="AJ141">
        <v>1</v>
      </c>
      <c r="AM141">
        <v>1</v>
      </c>
      <c r="AS141">
        <v>2</v>
      </c>
      <c r="BA141">
        <f>SUM(Pre[[#This Row],[1]:[46]])</f>
        <v>27</v>
      </c>
    </row>
    <row r="142" spans="1:53" x14ac:dyDescent="0.2">
      <c r="A142" t="s">
        <v>5</v>
      </c>
      <c r="B142" t="s">
        <v>6</v>
      </c>
      <c r="C142">
        <v>29130</v>
      </c>
      <c r="D142" t="s">
        <v>7</v>
      </c>
      <c r="E142" t="s">
        <v>10</v>
      </c>
      <c r="F142" t="s">
        <v>11</v>
      </c>
      <c r="V142">
        <v>1</v>
      </c>
      <c r="AC142">
        <v>1</v>
      </c>
      <c r="AH142">
        <v>1</v>
      </c>
      <c r="AM142">
        <v>1</v>
      </c>
      <c r="AO142">
        <v>1</v>
      </c>
      <c r="BA142">
        <f>SUM(Pre[[#This Row],[1]:[46]])</f>
        <v>5</v>
      </c>
    </row>
    <row r="143" spans="1:53" x14ac:dyDescent="0.2">
      <c r="A143" t="s">
        <v>5</v>
      </c>
      <c r="B143" t="s">
        <v>6</v>
      </c>
      <c r="C143">
        <v>9110</v>
      </c>
      <c r="D143" t="s">
        <v>22</v>
      </c>
      <c r="E143" t="s">
        <v>10</v>
      </c>
      <c r="F143" t="s">
        <v>11</v>
      </c>
      <c r="G143">
        <v>1</v>
      </c>
      <c r="H143">
        <v>1</v>
      </c>
      <c r="I143">
        <v>1</v>
      </c>
      <c r="AN143">
        <v>1</v>
      </c>
      <c r="AS143">
        <v>1</v>
      </c>
      <c r="BA143">
        <f>SUM(Pre[[#This Row],[1]:[46]])</f>
        <v>5</v>
      </c>
    </row>
    <row r="144" spans="1:53" x14ac:dyDescent="0.2">
      <c r="A144" t="s">
        <v>5</v>
      </c>
      <c r="B144" t="s">
        <v>6</v>
      </c>
      <c r="C144">
        <v>9110</v>
      </c>
      <c r="D144" t="s">
        <v>22</v>
      </c>
      <c r="E144" t="s">
        <v>14</v>
      </c>
      <c r="F144" t="s">
        <v>35</v>
      </c>
      <c r="AJ144">
        <v>1</v>
      </c>
      <c r="AP144">
        <v>2</v>
      </c>
      <c r="BA144">
        <f>SUM(Pre[[#This Row],[1]:[46]])</f>
        <v>3</v>
      </c>
    </row>
    <row r="145" spans="1:53" x14ac:dyDescent="0.2">
      <c r="A145" t="s">
        <v>5</v>
      </c>
      <c r="B145" t="s">
        <v>6</v>
      </c>
      <c r="C145">
        <v>9110</v>
      </c>
      <c r="D145" t="s">
        <v>22</v>
      </c>
      <c r="E145" t="s">
        <v>14</v>
      </c>
      <c r="F145" t="s">
        <v>19</v>
      </c>
      <c r="AJ145">
        <v>1</v>
      </c>
      <c r="AT145">
        <v>1</v>
      </c>
      <c r="BA145">
        <f>SUM(Pre[[#This Row],[1]:[46]])</f>
        <v>2</v>
      </c>
    </row>
    <row r="146" spans="1:53" x14ac:dyDescent="0.2">
      <c r="A146" t="s">
        <v>5</v>
      </c>
      <c r="B146" t="s">
        <v>6</v>
      </c>
      <c r="C146">
        <v>9110</v>
      </c>
      <c r="D146" t="s">
        <v>22</v>
      </c>
      <c r="E146" t="s">
        <v>14</v>
      </c>
      <c r="F146" t="s">
        <v>20</v>
      </c>
      <c r="AQ146">
        <v>1</v>
      </c>
      <c r="AS146">
        <v>1</v>
      </c>
      <c r="BA146">
        <f>SUM(Pre[[#This Row],[1]:[46]])</f>
        <v>2</v>
      </c>
    </row>
    <row r="147" spans="1:53" x14ac:dyDescent="0.2">
      <c r="A147" t="s">
        <v>5</v>
      </c>
      <c r="B147" t="s">
        <v>6</v>
      </c>
      <c r="C147">
        <v>4277</v>
      </c>
      <c r="D147" t="s">
        <v>7</v>
      </c>
      <c r="E147" t="s">
        <v>8</v>
      </c>
      <c r="F147" t="s">
        <v>23</v>
      </c>
      <c r="H147">
        <v>1</v>
      </c>
      <c r="M147">
        <v>1</v>
      </c>
      <c r="P147">
        <v>1</v>
      </c>
      <c r="U147">
        <v>1</v>
      </c>
      <c r="Y147">
        <v>1</v>
      </c>
      <c r="AD147">
        <v>1</v>
      </c>
      <c r="BA147">
        <f>SUM(Pre[[#This Row],[1]:[46]])</f>
        <v>6</v>
      </c>
    </row>
    <row r="148" spans="1:53" x14ac:dyDescent="0.2">
      <c r="A148" t="s">
        <v>5</v>
      </c>
      <c r="B148" t="s">
        <v>6</v>
      </c>
      <c r="C148">
        <v>7080</v>
      </c>
      <c r="D148" t="s">
        <v>7</v>
      </c>
      <c r="E148" t="s">
        <v>8</v>
      </c>
      <c r="F148" t="s">
        <v>23</v>
      </c>
      <c r="R148">
        <v>1</v>
      </c>
      <c r="AE148">
        <v>1</v>
      </c>
      <c r="AR148">
        <v>1</v>
      </c>
      <c r="BA148">
        <f>SUM(Pre[[#This Row],[1]:[46]])</f>
        <v>3</v>
      </c>
    </row>
    <row r="149" spans="1:53" x14ac:dyDescent="0.2">
      <c r="A149" t="s">
        <v>5</v>
      </c>
      <c r="B149" t="s">
        <v>6</v>
      </c>
      <c r="C149">
        <v>8684</v>
      </c>
      <c r="D149" t="s">
        <v>7</v>
      </c>
      <c r="E149" t="s">
        <v>8</v>
      </c>
      <c r="F149" t="s">
        <v>23</v>
      </c>
      <c r="H149">
        <v>1</v>
      </c>
      <c r="M149">
        <v>1</v>
      </c>
      <c r="P149">
        <v>1</v>
      </c>
      <c r="U149">
        <v>1</v>
      </c>
      <c r="Y149">
        <v>1</v>
      </c>
      <c r="AD149">
        <v>1</v>
      </c>
      <c r="AH149">
        <v>1</v>
      </c>
      <c r="AM149">
        <v>1</v>
      </c>
      <c r="AQ149">
        <v>1</v>
      </c>
      <c r="AU149">
        <v>1</v>
      </c>
      <c r="AZ149">
        <v>1</v>
      </c>
      <c r="BA149">
        <f>SUM(Pre[[#This Row],[1]:[46]])</f>
        <v>11</v>
      </c>
    </row>
    <row r="150" spans="1:53" x14ac:dyDescent="0.2">
      <c r="A150" t="s">
        <v>5</v>
      </c>
      <c r="B150" t="s">
        <v>6</v>
      </c>
      <c r="C150">
        <v>20630</v>
      </c>
      <c r="D150" t="s">
        <v>7</v>
      </c>
      <c r="E150" t="s">
        <v>8</v>
      </c>
      <c r="F150" t="s">
        <v>29</v>
      </c>
      <c r="I150">
        <v>1</v>
      </c>
      <c r="L150">
        <v>2</v>
      </c>
      <c r="X150">
        <v>1</v>
      </c>
      <c r="AM150">
        <v>1</v>
      </c>
      <c r="AZ150">
        <v>1</v>
      </c>
      <c r="BA150">
        <f>SUM(Pre[[#This Row],[1]:[46]])</f>
        <v>6</v>
      </c>
    </row>
    <row r="151" spans="1:53" x14ac:dyDescent="0.2">
      <c r="A151" t="s">
        <v>5</v>
      </c>
      <c r="B151" t="s">
        <v>6</v>
      </c>
      <c r="C151">
        <v>535</v>
      </c>
      <c r="D151" t="s">
        <v>22</v>
      </c>
      <c r="E151" t="s">
        <v>8</v>
      </c>
      <c r="F151" t="s">
        <v>9</v>
      </c>
      <c r="BA151">
        <f>SUM(Pre[[#This Row],[1]:[46]])</f>
        <v>0</v>
      </c>
    </row>
    <row r="152" spans="1:53" x14ac:dyDescent="0.2">
      <c r="A152" t="s">
        <v>5</v>
      </c>
      <c r="B152" t="s">
        <v>6</v>
      </c>
      <c r="C152">
        <v>535</v>
      </c>
      <c r="D152" t="s">
        <v>22</v>
      </c>
      <c r="E152" t="s">
        <v>8</v>
      </c>
      <c r="F152" t="s">
        <v>29</v>
      </c>
      <c r="J152">
        <v>1</v>
      </c>
      <c r="BA152">
        <f>SUM(Pre[[#This Row],[1]:[46]])</f>
        <v>1</v>
      </c>
    </row>
    <row r="153" spans="1:53" x14ac:dyDescent="0.2">
      <c r="A153" t="s">
        <v>5</v>
      </c>
      <c r="B153" t="s">
        <v>6</v>
      </c>
      <c r="C153">
        <v>976</v>
      </c>
      <c r="D153" t="s">
        <v>22</v>
      </c>
      <c r="E153" t="s">
        <v>8</v>
      </c>
      <c r="F153" t="s">
        <v>23</v>
      </c>
      <c r="BA153">
        <f>SUM(Pre[[#This Row],[1]:[46]])</f>
        <v>0</v>
      </c>
    </row>
    <row r="154" spans="1:53" x14ac:dyDescent="0.2">
      <c r="A154" t="s">
        <v>5</v>
      </c>
      <c r="B154" t="s">
        <v>6</v>
      </c>
      <c r="C154">
        <v>976</v>
      </c>
      <c r="D154" t="s">
        <v>22</v>
      </c>
      <c r="E154" t="s">
        <v>8</v>
      </c>
      <c r="F154" t="s">
        <v>9</v>
      </c>
      <c r="G154">
        <v>1</v>
      </c>
      <c r="J154">
        <v>1</v>
      </c>
      <c r="K154">
        <v>1</v>
      </c>
      <c r="O154">
        <v>1</v>
      </c>
      <c r="S154">
        <v>1</v>
      </c>
      <c r="W154">
        <v>1</v>
      </c>
      <c r="AA154">
        <v>1</v>
      </c>
      <c r="AD154">
        <v>1</v>
      </c>
      <c r="AE154">
        <v>1</v>
      </c>
      <c r="AI154">
        <v>1</v>
      </c>
      <c r="AM154">
        <v>1</v>
      </c>
      <c r="AQ154">
        <v>2</v>
      </c>
      <c r="AR154">
        <v>1</v>
      </c>
      <c r="AV154">
        <v>1</v>
      </c>
      <c r="AZ154">
        <v>2</v>
      </c>
      <c r="BA154">
        <f>SUM(Pre[[#This Row],[1]:[46]])</f>
        <v>17</v>
      </c>
    </row>
    <row r="155" spans="1:53" x14ac:dyDescent="0.2">
      <c r="A155" t="s">
        <v>5</v>
      </c>
      <c r="B155" t="s">
        <v>6</v>
      </c>
      <c r="C155">
        <v>976</v>
      </c>
      <c r="D155" t="s">
        <v>22</v>
      </c>
      <c r="E155" t="s">
        <v>24</v>
      </c>
      <c r="F155" t="s">
        <v>25</v>
      </c>
      <c r="BA155">
        <f>SUM(Pre[[#This Row],[1]:[46]])</f>
        <v>0</v>
      </c>
    </row>
    <row r="156" spans="1:53" x14ac:dyDescent="0.2">
      <c r="A156" t="s">
        <v>5</v>
      </c>
      <c r="B156" t="s">
        <v>6</v>
      </c>
      <c r="C156">
        <v>1548</v>
      </c>
      <c r="D156" t="s">
        <v>22</v>
      </c>
      <c r="E156" t="s">
        <v>8</v>
      </c>
      <c r="F156" t="s">
        <v>9</v>
      </c>
      <c r="L156">
        <v>1</v>
      </c>
      <c r="P156">
        <v>1</v>
      </c>
      <c r="U156">
        <v>1</v>
      </c>
      <c r="Y156">
        <v>1</v>
      </c>
      <c r="AC156">
        <v>1</v>
      </c>
      <c r="AG156">
        <v>1</v>
      </c>
      <c r="AL156">
        <v>1</v>
      </c>
      <c r="AP156">
        <v>1</v>
      </c>
      <c r="AT156">
        <v>1</v>
      </c>
      <c r="AY156">
        <v>1</v>
      </c>
      <c r="BA156">
        <f>SUM(Pre[[#This Row],[1]:[46]])</f>
        <v>10</v>
      </c>
    </row>
    <row r="157" spans="1:53" x14ac:dyDescent="0.2">
      <c r="A157" t="s">
        <v>5</v>
      </c>
      <c r="B157" t="s">
        <v>6</v>
      </c>
      <c r="C157">
        <v>1949</v>
      </c>
      <c r="D157" t="s">
        <v>22</v>
      </c>
      <c r="E157" t="s">
        <v>8</v>
      </c>
      <c r="F157" t="s">
        <v>23</v>
      </c>
      <c r="I157">
        <v>1</v>
      </c>
      <c r="L157">
        <v>1</v>
      </c>
      <c r="O157">
        <v>1</v>
      </c>
      <c r="S157">
        <v>1</v>
      </c>
      <c r="W157">
        <v>1</v>
      </c>
      <c r="Y157">
        <v>1</v>
      </c>
      <c r="AB157">
        <v>1</v>
      </c>
      <c r="AF157">
        <v>1</v>
      </c>
      <c r="AJ157">
        <v>1</v>
      </c>
      <c r="AL157">
        <v>1</v>
      </c>
      <c r="AO157">
        <v>1</v>
      </c>
      <c r="AS157">
        <v>1</v>
      </c>
      <c r="AW157">
        <v>1</v>
      </c>
      <c r="AY157">
        <v>1</v>
      </c>
      <c r="BA157">
        <f>SUM(Pre[[#This Row],[1]:[46]])</f>
        <v>14</v>
      </c>
    </row>
    <row r="158" spans="1:53" x14ac:dyDescent="0.2">
      <c r="A158" t="s">
        <v>5</v>
      </c>
      <c r="B158" t="s">
        <v>6</v>
      </c>
      <c r="C158">
        <v>2273</v>
      </c>
      <c r="D158" t="s">
        <v>22</v>
      </c>
      <c r="E158" t="s">
        <v>8</v>
      </c>
      <c r="F158" t="s">
        <v>23</v>
      </c>
      <c r="M158">
        <v>1</v>
      </c>
      <c r="AA158">
        <v>2</v>
      </c>
      <c r="AO158">
        <v>1</v>
      </c>
      <c r="BA158">
        <f>SUM(Pre[[#This Row],[1]:[46]])</f>
        <v>4</v>
      </c>
    </row>
    <row r="159" spans="1:53" x14ac:dyDescent="0.2">
      <c r="A159" t="s">
        <v>5</v>
      </c>
      <c r="B159" t="s">
        <v>6</v>
      </c>
      <c r="C159">
        <v>6177</v>
      </c>
      <c r="D159" t="s">
        <v>22</v>
      </c>
      <c r="E159" t="s">
        <v>8</v>
      </c>
      <c r="F159" t="s">
        <v>9</v>
      </c>
      <c r="BA159">
        <f>SUM(Pre[[#This Row],[1]:[46]])</f>
        <v>0</v>
      </c>
    </row>
    <row r="160" spans="1:53" x14ac:dyDescent="0.2">
      <c r="A160" t="s">
        <v>5</v>
      </c>
      <c r="B160" t="s">
        <v>6</v>
      </c>
      <c r="C160">
        <v>8786</v>
      </c>
      <c r="D160" t="s">
        <v>22</v>
      </c>
      <c r="E160" t="s">
        <v>37</v>
      </c>
      <c r="F160" t="s">
        <v>38</v>
      </c>
      <c r="L160">
        <v>1</v>
      </c>
      <c r="X160">
        <v>1</v>
      </c>
      <c r="AK160">
        <v>1</v>
      </c>
      <c r="AX160">
        <v>1</v>
      </c>
      <c r="BA160">
        <f>SUM(Pre[[#This Row],[1]:[46]])</f>
        <v>4</v>
      </c>
    </row>
    <row r="161" spans="1:53" x14ac:dyDescent="0.2">
      <c r="A161" t="s">
        <v>5</v>
      </c>
      <c r="B161" t="s">
        <v>6</v>
      </c>
      <c r="C161">
        <v>8786</v>
      </c>
      <c r="D161" t="s">
        <v>22</v>
      </c>
      <c r="E161" t="s">
        <v>8</v>
      </c>
      <c r="F161" t="s">
        <v>23</v>
      </c>
      <c r="L161">
        <v>1</v>
      </c>
      <c r="T161">
        <v>1</v>
      </c>
      <c r="X161">
        <v>1</v>
      </c>
      <c r="AK161">
        <v>2</v>
      </c>
      <c r="AX161">
        <v>1</v>
      </c>
      <c r="BA161">
        <f>SUM(Pre[[#This Row],[1]:[46]])</f>
        <v>6</v>
      </c>
    </row>
    <row r="162" spans="1:53" x14ac:dyDescent="0.2">
      <c r="A162" t="s">
        <v>5</v>
      </c>
      <c r="B162" t="s">
        <v>6</v>
      </c>
      <c r="C162">
        <v>9330</v>
      </c>
      <c r="D162" t="s">
        <v>22</v>
      </c>
      <c r="E162" t="s">
        <v>8</v>
      </c>
      <c r="F162" t="s">
        <v>29</v>
      </c>
      <c r="L162">
        <v>1</v>
      </c>
      <c r="AE162">
        <v>1</v>
      </c>
      <c r="AR162">
        <v>1</v>
      </c>
      <c r="BA162">
        <f>SUM(Pre[[#This Row],[1]:[46]])</f>
        <v>3</v>
      </c>
    </row>
    <row r="163" spans="1:53" x14ac:dyDescent="0.2">
      <c r="A163" t="s">
        <v>5</v>
      </c>
      <c r="B163" t="s">
        <v>6</v>
      </c>
      <c r="C163">
        <v>9928</v>
      </c>
      <c r="D163" t="s">
        <v>22</v>
      </c>
      <c r="E163" t="s">
        <v>8</v>
      </c>
      <c r="F163" t="s">
        <v>29</v>
      </c>
      <c r="G163">
        <v>2</v>
      </c>
      <c r="K163">
        <v>1</v>
      </c>
      <c r="BA163">
        <f>SUM(Pre[[#This Row],[1]:[46]])</f>
        <v>3</v>
      </c>
    </row>
    <row r="164" spans="1:53" x14ac:dyDescent="0.2">
      <c r="A164" t="s">
        <v>5</v>
      </c>
      <c r="B164" t="s">
        <v>6</v>
      </c>
      <c r="C164">
        <v>9928</v>
      </c>
      <c r="D164" t="s">
        <v>22</v>
      </c>
      <c r="E164" t="s">
        <v>24</v>
      </c>
      <c r="F164" t="s">
        <v>25</v>
      </c>
      <c r="P164">
        <v>1</v>
      </c>
      <c r="T164">
        <v>1</v>
      </c>
      <c r="W164">
        <v>1</v>
      </c>
      <c r="AB164">
        <v>2</v>
      </c>
      <c r="AF164">
        <v>1</v>
      </c>
      <c r="AK164">
        <v>1</v>
      </c>
      <c r="AP164">
        <v>1</v>
      </c>
      <c r="BA164">
        <f>SUM(Pre[[#This Row],[1]:[46]])</f>
        <v>8</v>
      </c>
    </row>
    <row r="165" spans="1:53" x14ac:dyDescent="0.2">
      <c r="A165" t="s">
        <v>5</v>
      </c>
      <c r="B165" t="s">
        <v>6</v>
      </c>
      <c r="C165">
        <v>9935</v>
      </c>
      <c r="D165" t="s">
        <v>22</v>
      </c>
      <c r="E165" t="s">
        <v>8</v>
      </c>
      <c r="F165" t="s">
        <v>9</v>
      </c>
      <c r="Q165">
        <v>1</v>
      </c>
      <c r="AD165">
        <v>2</v>
      </c>
      <c r="BA165">
        <f>SUM(Pre[[#This Row],[1]:[46]])</f>
        <v>3</v>
      </c>
    </row>
    <row r="166" spans="1:53" x14ac:dyDescent="0.2">
      <c r="A166" t="s">
        <v>5</v>
      </c>
      <c r="B166" t="s">
        <v>6</v>
      </c>
      <c r="C166">
        <v>11256</v>
      </c>
      <c r="D166" t="s">
        <v>22</v>
      </c>
      <c r="E166" t="s">
        <v>8</v>
      </c>
      <c r="F166" t="s">
        <v>23</v>
      </c>
      <c r="K166">
        <v>1</v>
      </c>
      <c r="X166">
        <v>1</v>
      </c>
      <c r="AK166">
        <v>1</v>
      </c>
      <c r="AX166">
        <v>1</v>
      </c>
      <c r="BA166">
        <f>SUM(Pre[[#This Row],[1]:[46]])</f>
        <v>4</v>
      </c>
    </row>
    <row r="167" spans="1:53" x14ac:dyDescent="0.2">
      <c r="A167" t="s">
        <v>5</v>
      </c>
      <c r="B167" t="s">
        <v>6</v>
      </c>
      <c r="C167">
        <v>11312</v>
      </c>
      <c r="D167" t="s">
        <v>22</v>
      </c>
      <c r="E167" t="s">
        <v>8</v>
      </c>
      <c r="F167" t="s">
        <v>23</v>
      </c>
      <c r="I167">
        <v>1</v>
      </c>
      <c r="W167">
        <v>1</v>
      </c>
      <c r="AJ167">
        <v>1</v>
      </c>
      <c r="AV167">
        <v>1</v>
      </c>
      <c r="BA167">
        <f>SUM(Pre[[#This Row],[1]:[46]])</f>
        <v>4</v>
      </c>
    </row>
    <row r="168" spans="1:53" x14ac:dyDescent="0.2">
      <c r="A168" t="s">
        <v>5</v>
      </c>
      <c r="B168" t="s">
        <v>6</v>
      </c>
      <c r="C168">
        <v>11977</v>
      </c>
      <c r="D168" t="s">
        <v>22</v>
      </c>
      <c r="E168" t="s">
        <v>8</v>
      </c>
      <c r="F168" t="s">
        <v>9</v>
      </c>
      <c r="I168">
        <v>1</v>
      </c>
      <c r="W168">
        <v>1</v>
      </c>
      <c r="AM168">
        <v>1</v>
      </c>
      <c r="AY168">
        <v>1</v>
      </c>
      <c r="BA168">
        <f>SUM(Pre[[#This Row],[1]:[46]])</f>
        <v>4</v>
      </c>
    </row>
    <row r="169" spans="1:53" x14ac:dyDescent="0.2">
      <c r="A169" t="s">
        <v>5</v>
      </c>
      <c r="B169" t="s">
        <v>6</v>
      </c>
      <c r="C169">
        <v>12602</v>
      </c>
      <c r="D169" t="s">
        <v>22</v>
      </c>
      <c r="E169" t="s">
        <v>37</v>
      </c>
      <c r="F169" t="s">
        <v>39</v>
      </c>
      <c r="H169">
        <v>1</v>
      </c>
      <c r="L169">
        <v>1</v>
      </c>
      <c r="P169">
        <v>1</v>
      </c>
      <c r="T169">
        <v>1</v>
      </c>
      <c r="Y169">
        <v>1</v>
      </c>
      <c r="AC169">
        <v>1</v>
      </c>
      <c r="AG169">
        <v>1</v>
      </c>
      <c r="AK169">
        <v>1</v>
      </c>
      <c r="AO169">
        <v>1</v>
      </c>
      <c r="AT169">
        <v>1</v>
      </c>
      <c r="AX169">
        <v>1</v>
      </c>
      <c r="BA169">
        <f>SUM(Pre[[#This Row],[1]:[46]])</f>
        <v>11</v>
      </c>
    </row>
    <row r="170" spans="1:53" x14ac:dyDescent="0.2">
      <c r="A170" t="s">
        <v>5</v>
      </c>
      <c r="B170" t="s">
        <v>6</v>
      </c>
      <c r="C170">
        <v>12602</v>
      </c>
      <c r="D170" t="s">
        <v>22</v>
      </c>
      <c r="E170" t="s">
        <v>8</v>
      </c>
      <c r="F170" t="s">
        <v>9</v>
      </c>
      <c r="H170">
        <v>1</v>
      </c>
      <c r="L170">
        <v>1</v>
      </c>
      <c r="P170">
        <v>1</v>
      </c>
      <c r="U170">
        <v>1</v>
      </c>
      <c r="Y170">
        <v>1</v>
      </c>
      <c r="AC170">
        <v>1</v>
      </c>
      <c r="AG170">
        <v>1</v>
      </c>
      <c r="AK170">
        <v>1</v>
      </c>
      <c r="AO170">
        <v>1</v>
      </c>
      <c r="BA170">
        <f>SUM(Pre[[#This Row],[1]:[46]])</f>
        <v>9</v>
      </c>
    </row>
    <row r="171" spans="1:53" x14ac:dyDescent="0.2">
      <c r="A171" t="s">
        <v>5</v>
      </c>
      <c r="B171" t="s">
        <v>6</v>
      </c>
      <c r="C171">
        <v>12602</v>
      </c>
      <c r="D171" t="s">
        <v>22</v>
      </c>
      <c r="E171" t="s">
        <v>26</v>
      </c>
      <c r="F171" t="s">
        <v>27</v>
      </c>
      <c r="AG171">
        <v>1</v>
      </c>
      <c r="AK171">
        <v>1</v>
      </c>
      <c r="AO171">
        <v>1</v>
      </c>
      <c r="BA171">
        <f>SUM(Pre[[#This Row],[1]:[46]])</f>
        <v>3</v>
      </c>
    </row>
    <row r="172" spans="1:53" x14ac:dyDescent="0.2">
      <c r="A172" t="s">
        <v>5</v>
      </c>
      <c r="B172" t="s">
        <v>6</v>
      </c>
      <c r="C172">
        <v>13081</v>
      </c>
      <c r="D172" t="s">
        <v>22</v>
      </c>
      <c r="E172" t="s">
        <v>8</v>
      </c>
      <c r="F172" t="s">
        <v>9</v>
      </c>
      <c r="AI172">
        <v>1</v>
      </c>
      <c r="AZ172">
        <v>1</v>
      </c>
      <c r="BA172">
        <f>SUM(Pre[[#This Row],[1]:[46]])</f>
        <v>2</v>
      </c>
    </row>
    <row r="173" spans="1:53" x14ac:dyDescent="0.2">
      <c r="A173" t="s">
        <v>5</v>
      </c>
      <c r="B173" t="s">
        <v>6</v>
      </c>
      <c r="C173">
        <v>15935</v>
      </c>
      <c r="D173" t="s">
        <v>22</v>
      </c>
      <c r="E173" t="s">
        <v>8</v>
      </c>
      <c r="F173" t="s">
        <v>23</v>
      </c>
      <c r="P173">
        <v>1</v>
      </c>
      <c r="AD173">
        <v>1</v>
      </c>
      <c r="AI173">
        <v>1</v>
      </c>
      <c r="AW173">
        <v>1</v>
      </c>
      <c r="BA173">
        <f>SUM(Pre[[#This Row],[1]:[46]])</f>
        <v>4</v>
      </c>
    </row>
    <row r="174" spans="1:53" x14ac:dyDescent="0.2">
      <c r="A174" t="s">
        <v>5</v>
      </c>
      <c r="B174" t="s">
        <v>6</v>
      </c>
      <c r="C174">
        <v>20214</v>
      </c>
      <c r="D174" t="s">
        <v>22</v>
      </c>
      <c r="E174" t="s">
        <v>8</v>
      </c>
      <c r="F174" t="s">
        <v>9</v>
      </c>
      <c r="BA174">
        <f>SUM(Pre[[#This Row],[1]:[46]])</f>
        <v>0</v>
      </c>
    </row>
    <row r="175" spans="1:53" x14ac:dyDescent="0.2">
      <c r="A175" t="s">
        <v>5</v>
      </c>
      <c r="B175" t="s">
        <v>6</v>
      </c>
      <c r="C175">
        <v>20559</v>
      </c>
      <c r="D175" t="s">
        <v>22</v>
      </c>
      <c r="E175" t="s">
        <v>8</v>
      </c>
      <c r="F175" t="s">
        <v>9</v>
      </c>
      <c r="G175">
        <v>1</v>
      </c>
      <c r="L175">
        <v>1</v>
      </c>
      <c r="P175">
        <v>1</v>
      </c>
      <c r="T175">
        <v>1</v>
      </c>
      <c r="X175">
        <v>1</v>
      </c>
      <c r="AB175">
        <v>1</v>
      </c>
      <c r="AG175">
        <v>1</v>
      </c>
      <c r="AK175">
        <v>1</v>
      </c>
      <c r="AO175">
        <v>1</v>
      </c>
      <c r="AT175">
        <v>1</v>
      </c>
      <c r="AY175">
        <v>1</v>
      </c>
      <c r="BA175">
        <f>SUM(Pre[[#This Row],[1]:[46]])</f>
        <v>11</v>
      </c>
    </row>
    <row r="176" spans="1:53" x14ac:dyDescent="0.2">
      <c r="A176" t="s">
        <v>5</v>
      </c>
      <c r="B176" t="s">
        <v>6</v>
      </c>
      <c r="C176">
        <v>20923</v>
      </c>
      <c r="D176" t="s">
        <v>22</v>
      </c>
      <c r="E176" t="s">
        <v>8</v>
      </c>
      <c r="F176" t="s">
        <v>23</v>
      </c>
      <c r="J176">
        <v>2</v>
      </c>
      <c r="Q176">
        <v>1</v>
      </c>
      <c r="T176">
        <v>1</v>
      </c>
      <c r="AJ176">
        <v>1</v>
      </c>
      <c r="AL176">
        <v>2</v>
      </c>
      <c r="AV176">
        <v>1</v>
      </c>
      <c r="BA176">
        <f>SUM(Pre[[#This Row],[1]:[46]])</f>
        <v>8</v>
      </c>
    </row>
    <row r="177" spans="1:53" x14ac:dyDescent="0.2">
      <c r="A177" t="s">
        <v>5</v>
      </c>
      <c r="B177" t="s">
        <v>6</v>
      </c>
      <c r="C177">
        <v>969</v>
      </c>
      <c r="D177" t="s">
        <v>7</v>
      </c>
      <c r="E177" t="s">
        <v>8</v>
      </c>
      <c r="F177" t="s">
        <v>23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f>SUM(Pre[[#This Row],[1]:[46]])</f>
        <v>28</v>
      </c>
    </row>
    <row r="178" spans="1:53" x14ac:dyDescent="0.2">
      <c r="A178" t="s">
        <v>5</v>
      </c>
      <c r="B178" t="s">
        <v>6</v>
      </c>
      <c r="C178">
        <v>1143</v>
      </c>
      <c r="D178" t="s">
        <v>7</v>
      </c>
      <c r="E178" t="s">
        <v>40</v>
      </c>
      <c r="F178" t="s">
        <v>41</v>
      </c>
      <c r="T178">
        <v>2</v>
      </c>
      <c r="BA178">
        <f>SUM(Pre[[#This Row],[1]:[46]])</f>
        <v>2</v>
      </c>
    </row>
    <row r="179" spans="1:53" x14ac:dyDescent="0.2">
      <c r="A179" t="s">
        <v>5</v>
      </c>
      <c r="B179" t="s">
        <v>6</v>
      </c>
      <c r="C179">
        <v>4296</v>
      </c>
      <c r="D179" t="s">
        <v>7</v>
      </c>
      <c r="E179" t="s">
        <v>8</v>
      </c>
      <c r="F179" t="s">
        <v>23</v>
      </c>
      <c r="P179">
        <v>1</v>
      </c>
      <c r="S179">
        <v>1</v>
      </c>
      <c r="W179">
        <v>1</v>
      </c>
      <c r="AA179">
        <v>1</v>
      </c>
      <c r="AF179">
        <v>1</v>
      </c>
      <c r="AJ179">
        <v>1</v>
      </c>
      <c r="AO179">
        <v>1</v>
      </c>
      <c r="AS179">
        <v>1</v>
      </c>
      <c r="AW179">
        <v>1</v>
      </c>
      <c r="BA179">
        <f>SUM(Pre[[#This Row],[1]:[46]])</f>
        <v>9</v>
      </c>
    </row>
    <row r="180" spans="1:53" x14ac:dyDescent="0.2">
      <c r="A180" t="s">
        <v>5</v>
      </c>
      <c r="B180" t="s">
        <v>6</v>
      </c>
      <c r="C180">
        <v>12497</v>
      </c>
      <c r="D180" t="s">
        <v>7</v>
      </c>
      <c r="E180" t="s">
        <v>8</v>
      </c>
      <c r="F180" t="s">
        <v>23</v>
      </c>
      <c r="G180">
        <v>1</v>
      </c>
      <c r="K180">
        <v>1</v>
      </c>
      <c r="O180">
        <v>1</v>
      </c>
      <c r="T180">
        <v>1</v>
      </c>
      <c r="X180">
        <v>1</v>
      </c>
      <c r="AB180">
        <v>1</v>
      </c>
      <c r="BA180">
        <f>SUM(Pre[[#This Row],[1]:[46]])</f>
        <v>6</v>
      </c>
    </row>
    <row r="181" spans="1:53" x14ac:dyDescent="0.2">
      <c r="A181" t="s">
        <v>5</v>
      </c>
      <c r="B181" t="s">
        <v>6</v>
      </c>
      <c r="C181">
        <v>31355</v>
      </c>
      <c r="D181" t="s">
        <v>7</v>
      </c>
      <c r="E181" t="s">
        <v>8</v>
      </c>
      <c r="F181" t="s">
        <v>23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1</v>
      </c>
      <c r="BA181">
        <f>SUM(Pre[[#This Row],[1]:[46]])</f>
        <v>45</v>
      </c>
    </row>
    <row r="182" spans="1:53" x14ac:dyDescent="0.2">
      <c r="A182" t="s">
        <v>5</v>
      </c>
      <c r="B182" t="s">
        <v>6</v>
      </c>
      <c r="C182">
        <v>33035</v>
      </c>
      <c r="D182" t="s">
        <v>7</v>
      </c>
      <c r="E182" t="s">
        <v>24</v>
      </c>
      <c r="F182" t="s">
        <v>25</v>
      </c>
      <c r="BA182">
        <f>SUM(Pre[[#This Row],[1]:[46]])</f>
        <v>0</v>
      </c>
    </row>
    <row r="183" spans="1:53" x14ac:dyDescent="0.2">
      <c r="A183" t="s">
        <v>5</v>
      </c>
      <c r="B183" t="s">
        <v>6</v>
      </c>
      <c r="C183">
        <v>650</v>
      </c>
      <c r="D183" t="s">
        <v>22</v>
      </c>
      <c r="E183" t="s">
        <v>8</v>
      </c>
      <c r="F183" t="s">
        <v>29</v>
      </c>
      <c r="T183">
        <v>1</v>
      </c>
      <c r="AI183">
        <v>1</v>
      </c>
      <c r="BA183">
        <f>SUM(Pre[[#This Row],[1]:[46]])</f>
        <v>2</v>
      </c>
    </row>
    <row r="184" spans="1:53" x14ac:dyDescent="0.2">
      <c r="A184" t="s">
        <v>5</v>
      </c>
      <c r="B184" t="s">
        <v>6</v>
      </c>
      <c r="C184">
        <v>974</v>
      </c>
      <c r="D184" t="s">
        <v>22</v>
      </c>
      <c r="E184" t="s">
        <v>24</v>
      </c>
      <c r="F184" t="s">
        <v>25</v>
      </c>
      <c r="AU184">
        <v>1</v>
      </c>
      <c r="BA184">
        <f>SUM(Pre[[#This Row],[1]:[46]])</f>
        <v>1</v>
      </c>
    </row>
    <row r="185" spans="1:53" x14ac:dyDescent="0.2">
      <c r="A185" t="s">
        <v>5</v>
      </c>
      <c r="B185" t="s">
        <v>6</v>
      </c>
      <c r="C185">
        <v>2034</v>
      </c>
      <c r="D185" t="s">
        <v>22</v>
      </c>
      <c r="E185" t="s">
        <v>8</v>
      </c>
      <c r="F185" t="s">
        <v>9</v>
      </c>
      <c r="BA185">
        <f>SUM(Pre[[#This Row],[1]:[46]])</f>
        <v>0</v>
      </c>
    </row>
    <row r="186" spans="1:53" x14ac:dyDescent="0.2">
      <c r="A186" t="s">
        <v>5</v>
      </c>
      <c r="B186" t="s">
        <v>6</v>
      </c>
      <c r="C186">
        <v>2034</v>
      </c>
      <c r="D186" t="s">
        <v>22</v>
      </c>
      <c r="E186" t="s">
        <v>26</v>
      </c>
      <c r="F186" t="s">
        <v>27</v>
      </c>
      <c r="I186">
        <v>1</v>
      </c>
      <c r="BA186">
        <f>SUM(Pre[[#This Row],[1]:[46]])</f>
        <v>1</v>
      </c>
    </row>
    <row r="187" spans="1:53" x14ac:dyDescent="0.2">
      <c r="A187" t="s">
        <v>5</v>
      </c>
      <c r="B187" t="s">
        <v>6</v>
      </c>
      <c r="C187">
        <v>5947</v>
      </c>
      <c r="D187" t="s">
        <v>22</v>
      </c>
      <c r="E187" t="s">
        <v>8</v>
      </c>
      <c r="F187" t="s">
        <v>23</v>
      </c>
      <c r="AQ187">
        <v>1</v>
      </c>
      <c r="AT187">
        <v>1</v>
      </c>
      <c r="BA187">
        <f>SUM(Pre[[#This Row],[1]:[46]])</f>
        <v>2</v>
      </c>
    </row>
    <row r="188" spans="1:53" x14ac:dyDescent="0.2">
      <c r="A188" t="s">
        <v>5</v>
      </c>
      <c r="B188" t="s">
        <v>6</v>
      </c>
      <c r="C188">
        <v>5947</v>
      </c>
      <c r="D188" t="s">
        <v>22</v>
      </c>
      <c r="E188" t="s">
        <v>24</v>
      </c>
      <c r="F188" t="s">
        <v>25</v>
      </c>
      <c r="AQ188">
        <v>1</v>
      </c>
      <c r="BA188">
        <f>SUM(Pre[[#This Row],[1]:[46]])</f>
        <v>1</v>
      </c>
    </row>
    <row r="189" spans="1:53" x14ac:dyDescent="0.2">
      <c r="A189" t="s">
        <v>5</v>
      </c>
      <c r="B189" t="s">
        <v>6</v>
      </c>
      <c r="C189">
        <v>6373</v>
      </c>
      <c r="D189" t="s">
        <v>22</v>
      </c>
      <c r="E189" t="s">
        <v>8</v>
      </c>
      <c r="F189" t="s">
        <v>29</v>
      </c>
      <c r="O189">
        <v>1</v>
      </c>
      <c r="AB189">
        <v>1</v>
      </c>
      <c r="AO189">
        <v>1</v>
      </c>
      <c r="BA189">
        <f>SUM(Pre[[#This Row],[1]:[46]])</f>
        <v>3</v>
      </c>
    </row>
    <row r="190" spans="1:53" x14ac:dyDescent="0.2">
      <c r="A190" t="s">
        <v>5</v>
      </c>
      <c r="B190" t="s">
        <v>6</v>
      </c>
      <c r="C190">
        <v>9656</v>
      </c>
      <c r="D190" t="s">
        <v>22</v>
      </c>
      <c r="E190" t="s">
        <v>8</v>
      </c>
      <c r="F190" t="s">
        <v>9</v>
      </c>
      <c r="J190">
        <v>1</v>
      </c>
      <c r="Y190">
        <v>1</v>
      </c>
      <c r="AK190">
        <v>1</v>
      </c>
      <c r="AY190">
        <v>1</v>
      </c>
      <c r="BA190">
        <f>SUM(Pre[[#This Row],[1]:[46]])</f>
        <v>4</v>
      </c>
    </row>
    <row r="191" spans="1:53" x14ac:dyDescent="0.2">
      <c r="A191" t="s">
        <v>5</v>
      </c>
      <c r="B191" t="s">
        <v>6</v>
      </c>
      <c r="C191">
        <v>12144</v>
      </c>
      <c r="D191" t="s">
        <v>22</v>
      </c>
      <c r="E191" t="s">
        <v>8</v>
      </c>
      <c r="F191" t="s">
        <v>23</v>
      </c>
      <c r="I191">
        <v>1</v>
      </c>
      <c r="N191">
        <v>1</v>
      </c>
      <c r="S191">
        <v>1</v>
      </c>
      <c r="W191">
        <v>1</v>
      </c>
      <c r="Y191">
        <v>1</v>
      </c>
      <c r="AD191">
        <v>1</v>
      </c>
      <c r="AI191">
        <v>1</v>
      </c>
      <c r="AN191">
        <v>1</v>
      </c>
      <c r="AS191">
        <v>1</v>
      </c>
      <c r="AW191">
        <v>1</v>
      </c>
      <c r="BA191">
        <f>SUM(Pre[[#This Row],[1]:[46]])</f>
        <v>10</v>
      </c>
    </row>
    <row r="192" spans="1:53" x14ac:dyDescent="0.2">
      <c r="A192" t="s">
        <v>5</v>
      </c>
      <c r="B192" t="s">
        <v>6</v>
      </c>
      <c r="C192">
        <v>13514</v>
      </c>
      <c r="D192" t="s">
        <v>22</v>
      </c>
      <c r="E192" t="s">
        <v>8</v>
      </c>
      <c r="F192" t="s">
        <v>9</v>
      </c>
      <c r="S192">
        <v>1</v>
      </c>
      <c r="BA192">
        <f>SUM(Pre[[#This Row],[1]:[46]])</f>
        <v>1</v>
      </c>
    </row>
    <row r="193" spans="1:53" x14ac:dyDescent="0.2">
      <c r="A193" t="s">
        <v>5</v>
      </c>
      <c r="B193" t="s">
        <v>6</v>
      </c>
      <c r="C193">
        <v>13514</v>
      </c>
      <c r="D193" t="s">
        <v>22</v>
      </c>
      <c r="E193" t="s">
        <v>24</v>
      </c>
      <c r="F193" t="s">
        <v>25</v>
      </c>
      <c r="AE193">
        <v>1</v>
      </c>
      <c r="AU193">
        <v>3</v>
      </c>
      <c r="BA193">
        <f>SUM(Pre[[#This Row],[1]:[46]])</f>
        <v>4</v>
      </c>
    </row>
    <row r="194" spans="1:53" x14ac:dyDescent="0.2">
      <c r="A194" t="s">
        <v>5</v>
      </c>
      <c r="B194" t="s">
        <v>6</v>
      </c>
      <c r="C194">
        <v>18786</v>
      </c>
      <c r="D194" t="s">
        <v>22</v>
      </c>
      <c r="E194" t="s">
        <v>8</v>
      </c>
      <c r="F194" t="s">
        <v>9</v>
      </c>
      <c r="I194">
        <v>1</v>
      </c>
      <c r="L194">
        <v>1</v>
      </c>
      <c r="O194">
        <v>1</v>
      </c>
      <c r="S194">
        <v>1</v>
      </c>
      <c r="Y194">
        <v>1</v>
      </c>
      <c r="AD194">
        <v>1</v>
      </c>
      <c r="AQ194">
        <v>1</v>
      </c>
      <c r="BA194">
        <f>SUM(Pre[[#This Row],[1]:[46]])</f>
        <v>7</v>
      </c>
    </row>
    <row r="195" spans="1:53" x14ac:dyDescent="0.2">
      <c r="A195" t="s">
        <v>42</v>
      </c>
      <c r="B195" t="s">
        <v>6</v>
      </c>
      <c r="C195">
        <v>864</v>
      </c>
      <c r="D195" t="s">
        <v>7</v>
      </c>
      <c r="E195" t="s">
        <v>37</v>
      </c>
      <c r="F195" t="s">
        <v>43</v>
      </c>
      <c r="K195">
        <v>2</v>
      </c>
      <c r="AC195">
        <v>1</v>
      </c>
      <c r="AU195">
        <v>1</v>
      </c>
      <c r="BA195">
        <f>SUM(Pre[[#This Row],[1]:[46]])</f>
        <v>4</v>
      </c>
    </row>
    <row r="196" spans="1:53" x14ac:dyDescent="0.2">
      <c r="A196" t="s">
        <v>42</v>
      </c>
      <c r="B196" t="s">
        <v>6</v>
      </c>
      <c r="C196">
        <v>864</v>
      </c>
      <c r="D196" t="s">
        <v>7</v>
      </c>
      <c r="E196" t="s">
        <v>37</v>
      </c>
      <c r="F196" t="s">
        <v>38</v>
      </c>
      <c r="K196">
        <v>1</v>
      </c>
      <c r="BA196">
        <f>SUM(Pre[[#This Row],[1]:[46]])</f>
        <v>1</v>
      </c>
    </row>
    <row r="197" spans="1:53" x14ac:dyDescent="0.2">
      <c r="A197" t="s">
        <v>42</v>
      </c>
      <c r="B197" t="s">
        <v>6</v>
      </c>
      <c r="C197">
        <v>1373</v>
      </c>
      <c r="D197" t="s">
        <v>7</v>
      </c>
      <c r="E197" t="s">
        <v>10</v>
      </c>
      <c r="F197" t="s">
        <v>16</v>
      </c>
      <c r="AQ197">
        <v>2</v>
      </c>
      <c r="BA197">
        <f>SUM(Pre[[#This Row],[1]:[46]])</f>
        <v>2</v>
      </c>
    </row>
    <row r="198" spans="1:53" x14ac:dyDescent="0.2">
      <c r="A198" t="s">
        <v>42</v>
      </c>
      <c r="B198" t="s">
        <v>6</v>
      </c>
      <c r="C198">
        <v>1733</v>
      </c>
      <c r="D198" t="s">
        <v>7</v>
      </c>
      <c r="E198" t="s">
        <v>14</v>
      </c>
      <c r="F198" t="s">
        <v>20</v>
      </c>
      <c r="AP198">
        <v>1</v>
      </c>
      <c r="BA198">
        <f>SUM(Pre[[#This Row],[1]:[46]])</f>
        <v>1</v>
      </c>
    </row>
    <row r="199" spans="1:53" x14ac:dyDescent="0.2">
      <c r="A199" t="s">
        <v>42</v>
      </c>
      <c r="B199" t="s">
        <v>6</v>
      </c>
      <c r="C199">
        <v>1897</v>
      </c>
      <c r="D199" t="s">
        <v>7</v>
      </c>
      <c r="E199" t="s">
        <v>14</v>
      </c>
      <c r="F199" t="s">
        <v>20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4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1</v>
      </c>
      <c r="AZ199">
        <v>1</v>
      </c>
      <c r="BA199">
        <f>SUM(Pre[[#This Row],[1]:[46]])</f>
        <v>53</v>
      </c>
    </row>
    <row r="200" spans="1:53" x14ac:dyDescent="0.2">
      <c r="A200" t="s">
        <v>42</v>
      </c>
      <c r="B200" t="s">
        <v>6</v>
      </c>
      <c r="C200">
        <v>2377</v>
      </c>
      <c r="D200" t="s">
        <v>7</v>
      </c>
      <c r="E200" t="s">
        <v>14</v>
      </c>
      <c r="F200" t="s">
        <v>20</v>
      </c>
      <c r="I200">
        <v>2</v>
      </c>
      <c r="S200">
        <v>2</v>
      </c>
      <c r="BA200">
        <f>SUM(Pre[[#This Row],[1]:[46]])</f>
        <v>4</v>
      </c>
    </row>
    <row r="201" spans="1:53" x14ac:dyDescent="0.2">
      <c r="A201" t="s">
        <v>42</v>
      </c>
      <c r="B201" t="s">
        <v>6</v>
      </c>
      <c r="C201">
        <v>2788</v>
      </c>
      <c r="D201" t="s">
        <v>7</v>
      </c>
      <c r="E201" t="s">
        <v>10</v>
      </c>
      <c r="F201" t="s">
        <v>11</v>
      </c>
      <c r="BA201">
        <f>SUM(Pre[[#This Row],[1]:[46]])</f>
        <v>0</v>
      </c>
    </row>
    <row r="202" spans="1:53" x14ac:dyDescent="0.2">
      <c r="A202" t="s">
        <v>42</v>
      </c>
      <c r="B202" t="s">
        <v>6</v>
      </c>
      <c r="C202">
        <v>2788</v>
      </c>
      <c r="D202" t="s">
        <v>7</v>
      </c>
      <c r="E202" t="s">
        <v>14</v>
      </c>
      <c r="F202" t="s">
        <v>19</v>
      </c>
      <c r="BA202">
        <f>SUM(Pre[[#This Row],[1]:[46]])</f>
        <v>0</v>
      </c>
    </row>
    <row r="203" spans="1:53" x14ac:dyDescent="0.2">
      <c r="A203" t="s">
        <v>42</v>
      </c>
      <c r="B203" t="s">
        <v>6</v>
      </c>
      <c r="C203">
        <v>2788</v>
      </c>
      <c r="D203" t="s">
        <v>7</v>
      </c>
      <c r="E203" t="s">
        <v>14</v>
      </c>
      <c r="F203" t="s">
        <v>21</v>
      </c>
      <c r="AO203">
        <v>1</v>
      </c>
      <c r="BA203">
        <f>SUM(Pre[[#This Row],[1]:[46]])</f>
        <v>1</v>
      </c>
    </row>
    <row r="204" spans="1:53" x14ac:dyDescent="0.2">
      <c r="A204" t="s">
        <v>42</v>
      </c>
      <c r="B204" t="s">
        <v>6</v>
      </c>
      <c r="C204">
        <v>3720</v>
      </c>
      <c r="D204" t="s">
        <v>7</v>
      </c>
      <c r="E204" t="s">
        <v>14</v>
      </c>
      <c r="F204" t="s">
        <v>35</v>
      </c>
      <c r="J204">
        <v>1</v>
      </c>
      <c r="N204">
        <v>1</v>
      </c>
      <c r="R204">
        <v>1</v>
      </c>
      <c r="Z204">
        <v>1</v>
      </c>
      <c r="AI204">
        <v>1</v>
      </c>
      <c r="AO204">
        <v>1</v>
      </c>
      <c r="AT204">
        <v>1</v>
      </c>
      <c r="AY204">
        <v>1</v>
      </c>
      <c r="BA204">
        <f>SUM(Pre[[#This Row],[1]:[46]])</f>
        <v>8</v>
      </c>
    </row>
    <row r="205" spans="1:53" x14ac:dyDescent="0.2">
      <c r="A205" t="s">
        <v>42</v>
      </c>
      <c r="B205" t="s">
        <v>6</v>
      </c>
      <c r="C205">
        <v>5621</v>
      </c>
      <c r="D205" t="s">
        <v>7</v>
      </c>
      <c r="E205" t="s">
        <v>14</v>
      </c>
      <c r="F205" t="s">
        <v>19</v>
      </c>
      <c r="R205">
        <v>1</v>
      </c>
      <c r="BA205">
        <f>SUM(Pre[[#This Row],[1]:[46]])</f>
        <v>1</v>
      </c>
    </row>
    <row r="206" spans="1:53" x14ac:dyDescent="0.2">
      <c r="A206" t="s">
        <v>42</v>
      </c>
      <c r="B206" t="s">
        <v>6</v>
      </c>
      <c r="C206">
        <v>6053</v>
      </c>
      <c r="D206" t="s">
        <v>7</v>
      </c>
      <c r="E206" t="s">
        <v>10</v>
      </c>
      <c r="F206" t="s">
        <v>11</v>
      </c>
      <c r="BA206">
        <f>SUM(Pre[[#This Row],[1]:[46]])</f>
        <v>0</v>
      </c>
    </row>
    <row r="207" spans="1:53" x14ac:dyDescent="0.2">
      <c r="A207" t="s">
        <v>42</v>
      </c>
      <c r="B207" t="s">
        <v>6</v>
      </c>
      <c r="C207">
        <v>6053</v>
      </c>
      <c r="D207" t="s">
        <v>7</v>
      </c>
      <c r="E207" t="s">
        <v>14</v>
      </c>
      <c r="F207" t="s">
        <v>21</v>
      </c>
      <c r="AC207">
        <v>1</v>
      </c>
      <c r="BA207">
        <f>SUM(Pre[[#This Row],[1]:[46]])</f>
        <v>1</v>
      </c>
    </row>
    <row r="208" spans="1:53" x14ac:dyDescent="0.2">
      <c r="A208" t="s">
        <v>42</v>
      </c>
      <c r="B208" t="s">
        <v>6</v>
      </c>
      <c r="C208">
        <v>6458</v>
      </c>
      <c r="D208" t="s">
        <v>7</v>
      </c>
      <c r="E208" t="s">
        <v>14</v>
      </c>
      <c r="F208" t="s">
        <v>28</v>
      </c>
      <c r="W208">
        <v>1</v>
      </c>
      <c r="BA208">
        <f>SUM(Pre[[#This Row],[1]:[46]])</f>
        <v>1</v>
      </c>
    </row>
    <row r="209" spans="1:53" x14ac:dyDescent="0.2">
      <c r="A209" t="s">
        <v>42</v>
      </c>
      <c r="B209" t="s">
        <v>6</v>
      </c>
      <c r="C209">
        <v>6657</v>
      </c>
      <c r="D209" t="s">
        <v>7</v>
      </c>
      <c r="E209" t="s">
        <v>8</v>
      </c>
      <c r="F209" t="s">
        <v>23</v>
      </c>
      <c r="I209">
        <v>2</v>
      </c>
      <c r="U209">
        <v>1</v>
      </c>
      <c r="AJ209">
        <v>2</v>
      </c>
      <c r="AQ209">
        <v>1</v>
      </c>
      <c r="AV209">
        <v>1</v>
      </c>
      <c r="BA209">
        <f>SUM(Pre[[#This Row],[1]:[46]])</f>
        <v>7</v>
      </c>
    </row>
    <row r="210" spans="1:53" x14ac:dyDescent="0.2">
      <c r="A210" t="s">
        <v>42</v>
      </c>
      <c r="B210" t="s">
        <v>6</v>
      </c>
      <c r="C210">
        <v>6657</v>
      </c>
      <c r="D210" t="s">
        <v>7</v>
      </c>
      <c r="E210" t="s">
        <v>14</v>
      </c>
      <c r="F210" t="s">
        <v>20</v>
      </c>
      <c r="J210">
        <v>1</v>
      </c>
      <c r="N210">
        <v>1</v>
      </c>
      <c r="S210">
        <v>1</v>
      </c>
      <c r="W210">
        <v>1</v>
      </c>
      <c r="AB210">
        <v>1</v>
      </c>
      <c r="AF210">
        <v>1</v>
      </c>
      <c r="AS210">
        <v>1</v>
      </c>
      <c r="BA210">
        <f>SUM(Pre[[#This Row],[1]:[46]])</f>
        <v>7</v>
      </c>
    </row>
    <row r="211" spans="1:53" x14ac:dyDescent="0.2">
      <c r="A211" t="s">
        <v>42</v>
      </c>
      <c r="B211" t="s">
        <v>6</v>
      </c>
      <c r="C211">
        <v>7171</v>
      </c>
      <c r="D211" t="s">
        <v>7</v>
      </c>
      <c r="E211" t="s">
        <v>8</v>
      </c>
      <c r="F211" t="s">
        <v>29</v>
      </c>
      <c r="K211">
        <v>1</v>
      </c>
      <c r="AZ211">
        <v>1</v>
      </c>
      <c r="BA211">
        <f>SUM(Pre[[#This Row],[1]:[46]])</f>
        <v>2</v>
      </c>
    </row>
    <row r="212" spans="1:53" x14ac:dyDescent="0.2">
      <c r="A212" t="s">
        <v>42</v>
      </c>
      <c r="B212" t="s">
        <v>6</v>
      </c>
      <c r="C212">
        <v>7502</v>
      </c>
      <c r="D212" t="s">
        <v>7</v>
      </c>
      <c r="E212" t="s">
        <v>8</v>
      </c>
      <c r="F212" t="s">
        <v>29</v>
      </c>
      <c r="K212">
        <v>1</v>
      </c>
      <c r="X212">
        <v>1</v>
      </c>
      <c r="AK212">
        <v>1</v>
      </c>
      <c r="AY212">
        <v>1</v>
      </c>
      <c r="BA212">
        <f>SUM(Pre[[#This Row],[1]:[46]])</f>
        <v>4</v>
      </c>
    </row>
    <row r="213" spans="1:53" x14ac:dyDescent="0.2">
      <c r="A213" t="s">
        <v>42</v>
      </c>
      <c r="B213" t="s">
        <v>6</v>
      </c>
      <c r="C213">
        <v>7654</v>
      </c>
      <c r="D213" t="s">
        <v>7</v>
      </c>
      <c r="E213" t="s">
        <v>14</v>
      </c>
      <c r="F213" t="s">
        <v>19</v>
      </c>
      <c r="R213">
        <v>1</v>
      </c>
      <c r="BA213">
        <f>SUM(Pre[[#This Row],[1]:[46]])</f>
        <v>1</v>
      </c>
    </row>
    <row r="214" spans="1:53" x14ac:dyDescent="0.2">
      <c r="A214" t="s">
        <v>42</v>
      </c>
      <c r="B214" t="s">
        <v>6</v>
      </c>
      <c r="C214">
        <v>8296</v>
      </c>
      <c r="D214" t="s">
        <v>7</v>
      </c>
      <c r="E214" t="s">
        <v>14</v>
      </c>
      <c r="F214" t="s">
        <v>19</v>
      </c>
      <c r="BA214">
        <f>SUM(Pre[[#This Row],[1]:[46]])</f>
        <v>0</v>
      </c>
    </row>
    <row r="215" spans="1:53" x14ac:dyDescent="0.2">
      <c r="A215" t="s">
        <v>42</v>
      </c>
      <c r="B215" t="s">
        <v>6</v>
      </c>
      <c r="C215">
        <v>14791</v>
      </c>
      <c r="D215" t="s">
        <v>7</v>
      </c>
      <c r="E215" t="s">
        <v>14</v>
      </c>
      <c r="F215" t="s">
        <v>20</v>
      </c>
      <c r="S215">
        <v>1</v>
      </c>
      <c r="AQ215">
        <v>1</v>
      </c>
      <c r="BA215">
        <f>SUM(Pre[[#This Row],[1]:[46]])</f>
        <v>2</v>
      </c>
    </row>
    <row r="216" spans="1:53" x14ac:dyDescent="0.2">
      <c r="A216" t="s">
        <v>42</v>
      </c>
      <c r="B216" t="s">
        <v>6</v>
      </c>
      <c r="C216">
        <v>15211</v>
      </c>
      <c r="D216" t="s">
        <v>7</v>
      </c>
      <c r="E216" t="s">
        <v>10</v>
      </c>
      <c r="F216" t="s">
        <v>11</v>
      </c>
      <c r="U216">
        <v>1</v>
      </c>
      <c r="X216">
        <v>2</v>
      </c>
      <c r="BA216">
        <f>SUM(Pre[[#This Row],[1]:[46]])</f>
        <v>3</v>
      </c>
    </row>
    <row r="217" spans="1:53" x14ac:dyDescent="0.2">
      <c r="A217" t="s">
        <v>42</v>
      </c>
      <c r="B217" t="s">
        <v>6</v>
      </c>
      <c r="C217">
        <v>16954</v>
      </c>
      <c r="D217" t="s">
        <v>7</v>
      </c>
      <c r="E217" t="s">
        <v>8</v>
      </c>
      <c r="F217" t="s">
        <v>29</v>
      </c>
      <c r="K217">
        <v>1</v>
      </c>
      <c r="Y217">
        <v>1</v>
      </c>
      <c r="BA217">
        <f>SUM(Pre[[#This Row],[1]:[46]])</f>
        <v>2</v>
      </c>
    </row>
    <row r="218" spans="1:53" x14ac:dyDescent="0.2">
      <c r="A218" t="s">
        <v>42</v>
      </c>
      <c r="B218" t="s">
        <v>6</v>
      </c>
      <c r="C218">
        <v>17562</v>
      </c>
      <c r="D218" t="s">
        <v>7</v>
      </c>
      <c r="E218" t="s">
        <v>10</v>
      </c>
      <c r="F218" t="s">
        <v>11</v>
      </c>
      <c r="BA218">
        <f>SUM(Pre[[#This Row],[1]:[46]])</f>
        <v>0</v>
      </c>
    </row>
    <row r="219" spans="1:53" x14ac:dyDescent="0.2">
      <c r="A219" t="s">
        <v>42</v>
      </c>
      <c r="B219" t="s">
        <v>6</v>
      </c>
      <c r="C219">
        <v>17753</v>
      </c>
      <c r="D219" t="s">
        <v>7</v>
      </c>
      <c r="E219" t="s">
        <v>14</v>
      </c>
      <c r="F219" t="s">
        <v>21</v>
      </c>
      <c r="BA219">
        <f>SUM(Pre[[#This Row],[1]:[46]])</f>
        <v>0</v>
      </c>
    </row>
    <row r="220" spans="1:53" x14ac:dyDescent="0.2">
      <c r="A220" t="s">
        <v>42</v>
      </c>
      <c r="B220" t="s">
        <v>6</v>
      </c>
      <c r="C220">
        <v>17759</v>
      </c>
      <c r="D220" t="s">
        <v>7</v>
      </c>
      <c r="E220" t="s">
        <v>8</v>
      </c>
      <c r="F220" t="s">
        <v>29</v>
      </c>
      <c r="I220">
        <v>2</v>
      </c>
      <c r="M220">
        <v>1</v>
      </c>
      <c r="BA220">
        <f>SUM(Pre[[#This Row],[1]:[46]])</f>
        <v>3</v>
      </c>
    </row>
    <row r="221" spans="1:53" x14ac:dyDescent="0.2">
      <c r="A221" t="s">
        <v>42</v>
      </c>
      <c r="B221" t="s">
        <v>6</v>
      </c>
      <c r="C221">
        <v>18339</v>
      </c>
      <c r="D221" t="s">
        <v>7</v>
      </c>
      <c r="E221" t="s">
        <v>14</v>
      </c>
      <c r="F221" t="s">
        <v>19</v>
      </c>
      <c r="BA221">
        <f>SUM(Pre[[#This Row],[1]:[46]])</f>
        <v>0</v>
      </c>
    </row>
    <row r="222" spans="1:53" x14ac:dyDescent="0.2">
      <c r="A222" t="s">
        <v>42</v>
      </c>
      <c r="B222" t="s">
        <v>6</v>
      </c>
      <c r="C222">
        <v>19710</v>
      </c>
      <c r="D222" t="s">
        <v>7</v>
      </c>
      <c r="E222" t="s">
        <v>14</v>
      </c>
      <c r="F222" t="s">
        <v>19</v>
      </c>
      <c r="BA222">
        <f>SUM(Pre[[#This Row],[1]:[46]])</f>
        <v>0</v>
      </c>
    </row>
    <row r="223" spans="1:53" x14ac:dyDescent="0.2">
      <c r="A223" t="s">
        <v>42</v>
      </c>
      <c r="B223" t="s">
        <v>6</v>
      </c>
      <c r="C223">
        <v>20822</v>
      </c>
      <c r="D223" t="s">
        <v>7</v>
      </c>
      <c r="E223" t="s">
        <v>14</v>
      </c>
      <c r="F223" t="s">
        <v>20</v>
      </c>
      <c r="S223">
        <v>1</v>
      </c>
      <c r="AD223">
        <v>1</v>
      </c>
      <c r="AY223">
        <v>1</v>
      </c>
      <c r="BA223">
        <f>SUM(Pre[[#This Row],[1]:[46]])</f>
        <v>3</v>
      </c>
    </row>
    <row r="224" spans="1:53" x14ac:dyDescent="0.2">
      <c r="A224" t="s">
        <v>42</v>
      </c>
      <c r="B224" t="s">
        <v>6</v>
      </c>
      <c r="C224">
        <v>22399</v>
      </c>
      <c r="D224" t="s">
        <v>7</v>
      </c>
      <c r="E224" t="s">
        <v>14</v>
      </c>
      <c r="F224" t="s">
        <v>19</v>
      </c>
      <c r="BA224">
        <f>SUM(Pre[[#This Row],[1]:[46]])</f>
        <v>0</v>
      </c>
    </row>
    <row r="225" spans="1:53" x14ac:dyDescent="0.2">
      <c r="A225" t="s">
        <v>42</v>
      </c>
      <c r="B225" t="s">
        <v>6</v>
      </c>
      <c r="C225">
        <v>30512</v>
      </c>
      <c r="D225" t="s">
        <v>7</v>
      </c>
      <c r="E225" t="s">
        <v>8</v>
      </c>
      <c r="F225" t="s">
        <v>29</v>
      </c>
      <c r="W225">
        <v>1</v>
      </c>
      <c r="AJ225">
        <v>1</v>
      </c>
      <c r="AW225">
        <v>1</v>
      </c>
      <c r="BA225">
        <f>SUM(Pre[[#This Row],[1]:[46]])</f>
        <v>3</v>
      </c>
    </row>
    <row r="226" spans="1:53" x14ac:dyDescent="0.2">
      <c r="A226" t="s">
        <v>42</v>
      </c>
      <c r="B226" t="s">
        <v>6</v>
      </c>
      <c r="C226">
        <v>30512</v>
      </c>
      <c r="D226" t="s">
        <v>7</v>
      </c>
      <c r="E226" t="s">
        <v>14</v>
      </c>
      <c r="F226" t="s">
        <v>20</v>
      </c>
      <c r="L226">
        <v>1</v>
      </c>
      <c r="BA226">
        <f>SUM(Pre[[#This Row],[1]:[46]])</f>
        <v>1</v>
      </c>
    </row>
    <row r="227" spans="1:53" x14ac:dyDescent="0.2">
      <c r="A227" t="s">
        <v>42</v>
      </c>
      <c r="B227" t="s">
        <v>6</v>
      </c>
      <c r="C227">
        <v>30651</v>
      </c>
      <c r="D227" t="s">
        <v>7</v>
      </c>
      <c r="E227" t="s">
        <v>10</v>
      </c>
      <c r="F227" t="s">
        <v>11</v>
      </c>
      <c r="BA227">
        <f>SUM(Pre[[#This Row],[1]:[46]])</f>
        <v>0</v>
      </c>
    </row>
    <row r="228" spans="1:53" x14ac:dyDescent="0.2">
      <c r="A228" t="s">
        <v>42</v>
      </c>
      <c r="B228" t="s">
        <v>6</v>
      </c>
      <c r="C228">
        <v>30651</v>
      </c>
      <c r="D228" t="s">
        <v>7</v>
      </c>
      <c r="E228" t="s">
        <v>14</v>
      </c>
      <c r="F228" t="s">
        <v>19</v>
      </c>
      <c r="BA228">
        <f>SUM(Pre[[#This Row],[1]:[46]])</f>
        <v>0</v>
      </c>
    </row>
    <row r="229" spans="1:53" x14ac:dyDescent="0.2">
      <c r="A229" t="s">
        <v>42</v>
      </c>
      <c r="B229" t="s">
        <v>6</v>
      </c>
      <c r="C229">
        <v>32234</v>
      </c>
      <c r="D229" t="s">
        <v>7</v>
      </c>
      <c r="E229" t="s">
        <v>14</v>
      </c>
      <c r="F229" t="s">
        <v>35</v>
      </c>
      <c r="M229">
        <v>1</v>
      </c>
      <c r="Z229">
        <v>1</v>
      </c>
      <c r="AN229">
        <v>1</v>
      </c>
      <c r="BA229">
        <f>SUM(Pre[[#This Row],[1]:[46]])</f>
        <v>3</v>
      </c>
    </row>
    <row r="230" spans="1:53" x14ac:dyDescent="0.2">
      <c r="A230" t="s">
        <v>42</v>
      </c>
      <c r="B230" t="s">
        <v>6</v>
      </c>
      <c r="C230">
        <v>32234</v>
      </c>
      <c r="D230" t="s">
        <v>7</v>
      </c>
      <c r="E230" t="s">
        <v>14</v>
      </c>
      <c r="F230" t="s">
        <v>21</v>
      </c>
      <c r="BA230">
        <f>SUM(Pre[[#This Row],[1]:[46]])</f>
        <v>0</v>
      </c>
    </row>
    <row r="231" spans="1:53" x14ac:dyDescent="0.2">
      <c r="A231" t="s">
        <v>42</v>
      </c>
      <c r="B231" t="s">
        <v>6</v>
      </c>
      <c r="C231">
        <v>32315</v>
      </c>
      <c r="D231" t="s">
        <v>7</v>
      </c>
      <c r="E231" t="s">
        <v>14</v>
      </c>
      <c r="F231" t="s">
        <v>19</v>
      </c>
      <c r="AX231">
        <v>1</v>
      </c>
      <c r="BA231">
        <f>SUM(Pre[[#This Row],[1]:[46]])</f>
        <v>1</v>
      </c>
    </row>
    <row r="232" spans="1:53" x14ac:dyDescent="0.2">
      <c r="A232" t="s">
        <v>42</v>
      </c>
      <c r="B232" t="s">
        <v>6</v>
      </c>
      <c r="C232">
        <v>32315</v>
      </c>
      <c r="D232" t="s">
        <v>7</v>
      </c>
      <c r="E232" t="s">
        <v>14</v>
      </c>
      <c r="F232" t="s">
        <v>20</v>
      </c>
      <c r="K232">
        <v>2</v>
      </c>
      <c r="Y232">
        <v>1</v>
      </c>
      <c r="AL232">
        <v>1</v>
      </c>
      <c r="BA232">
        <f>SUM(Pre[[#This Row],[1]:[46]])</f>
        <v>4</v>
      </c>
    </row>
    <row r="233" spans="1:53" x14ac:dyDescent="0.2">
      <c r="A233" t="s">
        <v>42</v>
      </c>
      <c r="B233" t="s">
        <v>6</v>
      </c>
      <c r="C233">
        <v>32414</v>
      </c>
      <c r="D233" t="s">
        <v>7</v>
      </c>
      <c r="E233" t="s">
        <v>10</v>
      </c>
      <c r="F233" t="s">
        <v>11</v>
      </c>
      <c r="P233">
        <v>1</v>
      </c>
      <c r="AF233">
        <v>1</v>
      </c>
      <c r="AO233">
        <v>1</v>
      </c>
      <c r="AT233">
        <v>1</v>
      </c>
      <c r="BA233">
        <f>SUM(Pre[[#This Row],[1]:[46]])</f>
        <v>4</v>
      </c>
    </row>
    <row r="234" spans="1:53" x14ac:dyDescent="0.2">
      <c r="A234" t="s">
        <v>42</v>
      </c>
      <c r="B234" t="s">
        <v>6</v>
      </c>
      <c r="C234">
        <v>32683</v>
      </c>
      <c r="D234" t="s">
        <v>7</v>
      </c>
      <c r="E234" t="s">
        <v>10</v>
      </c>
      <c r="F234" t="s">
        <v>11</v>
      </c>
      <c r="BA234">
        <f>SUM(Pre[[#This Row],[1]:[46]])</f>
        <v>0</v>
      </c>
    </row>
    <row r="235" spans="1:53" x14ac:dyDescent="0.2">
      <c r="A235" t="s">
        <v>42</v>
      </c>
      <c r="B235" t="s">
        <v>6</v>
      </c>
      <c r="C235">
        <v>32683</v>
      </c>
      <c r="D235" t="s">
        <v>7</v>
      </c>
      <c r="E235" t="s">
        <v>14</v>
      </c>
      <c r="F235" t="s">
        <v>20</v>
      </c>
      <c r="M235">
        <v>1</v>
      </c>
      <c r="S235">
        <v>1</v>
      </c>
      <c r="X235">
        <v>1</v>
      </c>
      <c r="AJ235">
        <v>1</v>
      </c>
      <c r="AQ235">
        <v>1</v>
      </c>
      <c r="AX235">
        <v>1</v>
      </c>
      <c r="BA235">
        <f>SUM(Pre[[#This Row],[1]:[46]])</f>
        <v>6</v>
      </c>
    </row>
    <row r="236" spans="1:53" x14ac:dyDescent="0.2">
      <c r="A236" t="s">
        <v>42</v>
      </c>
      <c r="B236" t="s">
        <v>6</v>
      </c>
      <c r="C236">
        <v>32795</v>
      </c>
      <c r="D236" t="s">
        <v>7</v>
      </c>
      <c r="E236" t="s">
        <v>14</v>
      </c>
      <c r="F236" t="s">
        <v>31</v>
      </c>
      <c r="G236">
        <v>1</v>
      </c>
      <c r="AR236">
        <v>1</v>
      </c>
      <c r="AW236">
        <v>1</v>
      </c>
      <c r="BA236">
        <f>SUM(Pre[[#This Row],[1]:[46]])</f>
        <v>3</v>
      </c>
    </row>
    <row r="237" spans="1:53" x14ac:dyDescent="0.2">
      <c r="A237" t="s">
        <v>42</v>
      </c>
      <c r="B237" t="s">
        <v>6</v>
      </c>
      <c r="C237">
        <v>32795</v>
      </c>
      <c r="D237" t="s">
        <v>7</v>
      </c>
      <c r="E237" t="s">
        <v>14</v>
      </c>
      <c r="F237" t="s">
        <v>28</v>
      </c>
      <c r="G237">
        <v>1</v>
      </c>
      <c r="M237">
        <v>3</v>
      </c>
      <c r="O237">
        <v>2</v>
      </c>
      <c r="U237">
        <v>1</v>
      </c>
      <c r="Z237">
        <v>1</v>
      </c>
      <c r="AD237">
        <v>1</v>
      </c>
      <c r="AI237">
        <v>1</v>
      </c>
      <c r="AN237">
        <v>1</v>
      </c>
      <c r="BA237">
        <f>SUM(Pre[[#This Row],[1]:[46]])</f>
        <v>11</v>
      </c>
    </row>
    <row r="238" spans="1:53" x14ac:dyDescent="0.2">
      <c r="A238" t="s">
        <v>42</v>
      </c>
      <c r="B238" t="s">
        <v>6</v>
      </c>
      <c r="C238">
        <v>32830</v>
      </c>
      <c r="D238" t="s">
        <v>7</v>
      </c>
      <c r="E238" t="s">
        <v>10</v>
      </c>
      <c r="F238" t="s">
        <v>11</v>
      </c>
      <c r="BA238">
        <f>SUM(Pre[[#This Row],[1]:[46]])</f>
        <v>0</v>
      </c>
    </row>
    <row r="239" spans="1:53" x14ac:dyDescent="0.2">
      <c r="A239" t="s">
        <v>42</v>
      </c>
      <c r="B239" t="s">
        <v>6</v>
      </c>
      <c r="C239">
        <v>33211</v>
      </c>
      <c r="D239" t="s">
        <v>7</v>
      </c>
      <c r="E239" t="s">
        <v>8</v>
      </c>
      <c r="F239" t="s">
        <v>29</v>
      </c>
      <c r="J239">
        <v>1</v>
      </c>
      <c r="K239">
        <v>1</v>
      </c>
      <c r="M239">
        <v>1</v>
      </c>
      <c r="O239">
        <v>1</v>
      </c>
      <c r="Q239">
        <v>1</v>
      </c>
      <c r="S239">
        <v>1</v>
      </c>
      <c r="U239">
        <v>1</v>
      </c>
      <c r="X239">
        <v>1</v>
      </c>
      <c r="Y239">
        <v>1</v>
      </c>
      <c r="AA239">
        <v>1</v>
      </c>
      <c r="AC239">
        <v>1</v>
      </c>
      <c r="AE239">
        <v>2</v>
      </c>
      <c r="AF239">
        <v>1</v>
      </c>
      <c r="AG239">
        <v>1</v>
      </c>
      <c r="AH239">
        <v>1</v>
      </c>
      <c r="AI239">
        <v>1</v>
      </c>
      <c r="AK239">
        <v>1</v>
      </c>
      <c r="AM239">
        <v>1</v>
      </c>
      <c r="AO239">
        <v>1</v>
      </c>
      <c r="AQ239">
        <v>1</v>
      </c>
      <c r="AT239">
        <v>1</v>
      </c>
      <c r="AV239">
        <v>1</v>
      </c>
      <c r="AW239">
        <v>1</v>
      </c>
      <c r="AY239">
        <v>1</v>
      </c>
      <c r="BA239">
        <f>SUM(Pre[[#This Row],[1]:[46]])</f>
        <v>25</v>
      </c>
    </row>
    <row r="240" spans="1:53" x14ac:dyDescent="0.2">
      <c r="A240" t="s">
        <v>42</v>
      </c>
      <c r="B240" t="s">
        <v>6</v>
      </c>
      <c r="C240">
        <v>33211</v>
      </c>
      <c r="D240" t="s">
        <v>7</v>
      </c>
      <c r="E240" t="s">
        <v>14</v>
      </c>
      <c r="F240" t="s">
        <v>21</v>
      </c>
      <c r="J240">
        <v>2</v>
      </c>
      <c r="K240">
        <v>1</v>
      </c>
      <c r="N240">
        <v>1</v>
      </c>
      <c r="O240">
        <v>1</v>
      </c>
      <c r="Q240">
        <v>1</v>
      </c>
      <c r="T240">
        <v>1</v>
      </c>
      <c r="U240">
        <v>1</v>
      </c>
      <c r="X240">
        <v>1</v>
      </c>
      <c r="Y240">
        <v>1</v>
      </c>
      <c r="AA240">
        <v>1</v>
      </c>
      <c r="AC240">
        <v>1</v>
      </c>
      <c r="AE240">
        <v>2</v>
      </c>
      <c r="AF240">
        <v>1</v>
      </c>
      <c r="AH240">
        <v>2</v>
      </c>
      <c r="AJ240">
        <v>2</v>
      </c>
      <c r="AK240">
        <v>1</v>
      </c>
      <c r="AM240">
        <v>2</v>
      </c>
      <c r="AO240">
        <v>1</v>
      </c>
      <c r="AQ240">
        <v>1</v>
      </c>
      <c r="AT240">
        <v>1</v>
      </c>
      <c r="AV240">
        <v>1</v>
      </c>
      <c r="AW240">
        <v>1</v>
      </c>
      <c r="AY240">
        <v>1</v>
      </c>
      <c r="BA240">
        <f>SUM(Pre[[#This Row],[1]:[46]])</f>
        <v>28</v>
      </c>
    </row>
    <row r="241" spans="1:53" x14ac:dyDescent="0.2">
      <c r="A241" t="s">
        <v>42</v>
      </c>
      <c r="B241" t="s">
        <v>6</v>
      </c>
      <c r="C241">
        <v>33730</v>
      </c>
      <c r="D241" t="s">
        <v>7</v>
      </c>
      <c r="E241" t="s">
        <v>14</v>
      </c>
      <c r="F241" t="s">
        <v>21</v>
      </c>
      <c r="AZ241">
        <v>1</v>
      </c>
      <c r="BA241">
        <f>SUM(Pre[[#This Row],[1]:[46]])</f>
        <v>1</v>
      </c>
    </row>
    <row r="242" spans="1:53" x14ac:dyDescent="0.2">
      <c r="A242" t="s">
        <v>42</v>
      </c>
      <c r="B242" t="s">
        <v>6</v>
      </c>
      <c r="C242">
        <v>33835</v>
      </c>
      <c r="D242" t="s">
        <v>7</v>
      </c>
      <c r="E242" t="s">
        <v>8</v>
      </c>
      <c r="F242" t="s">
        <v>29</v>
      </c>
      <c r="P242">
        <v>1</v>
      </c>
      <c r="AC242">
        <v>1</v>
      </c>
      <c r="AP242">
        <v>2</v>
      </c>
      <c r="BA242">
        <f>SUM(Pre[[#This Row],[1]:[46]])</f>
        <v>4</v>
      </c>
    </row>
    <row r="243" spans="1:53" x14ac:dyDescent="0.2">
      <c r="A243" t="s">
        <v>42</v>
      </c>
      <c r="B243" t="s">
        <v>6</v>
      </c>
      <c r="C243">
        <v>33843</v>
      </c>
      <c r="D243" t="s">
        <v>7</v>
      </c>
      <c r="E243" t="s">
        <v>14</v>
      </c>
      <c r="F243" t="s">
        <v>35</v>
      </c>
      <c r="Y243">
        <v>1</v>
      </c>
      <c r="BA243">
        <f>SUM(Pre[[#This Row],[1]:[46]])</f>
        <v>1</v>
      </c>
    </row>
    <row r="244" spans="1:53" x14ac:dyDescent="0.2">
      <c r="A244" t="s">
        <v>42</v>
      </c>
      <c r="B244" t="s">
        <v>6</v>
      </c>
      <c r="C244">
        <v>2429</v>
      </c>
      <c r="D244" t="s">
        <v>22</v>
      </c>
      <c r="E244" t="s">
        <v>14</v>
      </c>
      <c r="F244" t="s">
        <v>21</v>
      </c>
      <c r="BA244">
        <f>SUM(Pre[[#This Row],[1]:[46]])</f>
        <v>0</v>
      </c>
    </row>
    <row r="245" spans="1:53" x14ac:dyDescent="0.2">
      <c r="A245" t="s">
        <v>42</v>
      </c>
      <c r="B245" t="s">
        <v>6</v>
      </c>
      <c r="C245">
        <v>5351</v>
      </c>
      <c r="D245" t="s">
        <v>22</v>
      </c>
      <c r="E245" t="s">
        <v>8</v>
      </c>
      <c r="F245" t="s">
        <v>9</v>
      </c>
      <c r="Z245">
        <v>1</v>
      </c>
      <c r="AR245">
        <v>1</v>
      </c>
      <c r="BA245">
        <f>SUM(Pre[[#This Row],[1]:[46]])</f>
        <v>2</v>
      </c>
    </row>
    <row r="246" spans="1:53" x14ac:dyDescent="0.2">
      <c r="A246" t="s">
        <v>42</v>
      </c>
      <c r="B246" t="s">
        <v>6</v>
      </c>
      <c r="C246">
        <v>8489</v>
      </c>
      <c r="D246" t="s">
        <v>22</v>
      </c>
      <c r="E246" t="s">
        <v>8</v>
      </c>
      <c r="F246" t="s">
        <v>29</v>
      </c>
      <c r="G246">
        <v>1</v>
      </c>
      <c r="Q246">
        <v>1</v>
      </c>
      <c r="AF246">
        <v>1</v>
      </c>
      <c r="AS246">
        <v>1</v>
      </c>
      <c r="BA246">
        <f>SUM(Pre[[#This Row],[1]:[46]])</f>
        <v>4</v>
      </c>
    </row>
    <row r="247" spans="1:53" x14ac:dyDescent="0.2">
      <c r="A247" t="s">
        <v>42</v>
      </c>
      <c r="B247" t="s">
        <v>6</v>
      </c>
      <c r="C247">
        <v>17844</v>
      </c>
      <c r="D247" t="s">
        <v>22</v>
      </c>
      <c r="E247" t="s">
        <v>8</v>
      </c>
      <c r="F247" t="s">
        <v>29</v>
      </c>
      <c r="BA247">
        <f>SUM(Pre[[#This Row],[1]:[46]])</f>
        <v>0</v>
      </c>
    </row>
    <row r="248" spans="1:53" x14ac:dyDescent="0.2">
      <c r="A248" t="s">
        <v>42</v>
      </c>
      <c r="B248" t="s">
        <v>6</v>
      </c>
      <c r="C248">
        <v>19696</v>
      </c>
      <c r="D248" t="s">
        <v>22</v>
      </c>
      <c r="E248" t="s">
        <v>14</v>
      </c>
      <c r="F248" t="s">
        <v>31</v>
      </c>
      <c r="G248">
        <v>1</v>
      </c>
      <c r="S248">
        <v>1</v>
      </c>
      <c r="AA248">
        <v>1</v>
      </c>
      <c r="AB248">
        <v>1</v>
      </c>
      <c r="BA248">
        <f>SUM(Pre[[#This Row],[1]:[46]])</f>
        <v>4</v>
      </c>
    </row>
    <row r="249" spans="1:53" x14ac:dyDescent="0.2">
      <c r="A249" t="s">
        <v>42</v>
      </c>
      <c r="B249" t="s">
        <v>6</v>
      </c>
      <c r="C249">
        <v>21888</v>
      </c>
      <c r="D249" t="s">
        <v>22</v>
      </c>
      <c r="E249" t="s">
        <v>14</v>
      </c>
      <c r="F249" t="s">
        <v>19</v>
      </c>
      <c r="AL249">
        <v>1</v>
      </c>
      <c r="BA249">
        <f>SUM(Pre[[#This Row],[1]:[46]])</f>
        <v>1</v>
      </c>
    </row>
    <row r="250" spans="1:53" x14ac:dyDescent="0.2">
      <c r="A250" t="s">
        <v>42</v>
      </c>
      <c r="B250" t="s">
        <v>6</v>
      </c>
      <c r="C250">
        <v>23658</v>
      </c>
      <c r="D250" t="s">
        <v>22</v>
      </c>
      <c r="E250" t="s">
        <v>10</v>
      </c>
      <c r="F250" t="s">
        <v>11</v>
      </c>
      <c r="BA250">
        <f>SUM(Pre[[#This Row],[1]:[46]])</f>
        <v>0</v>
      </c>
    </row>
    <row r="251" spans="1:53" x14ac:dyDescent="0.2">
      <c r="A251" t="s">
        <v>42</v>
      </c>
      <c r="B251" t="s">
        <v>6</v>
      </c>
      <c r="C251">
        <v>30597</v>
      </c>
      <c r="D251" t="s">
        <v>22</v>
      </c>
      <c r="E251" t="s">
        <v>14</v>
      </c>
      <c r="F251" t="s">
        <v>20</v>
      </c>
      <c r="I251">
        <v>1</v>
      </c>
      <c r="M251">
        <v>1</v>
      </c>
      <c r="BA251">
        <f>SUM(Pre[[#This Row],[1]:[46]])</f>
        <v>2</v>
      </c>
    </row>
    <row r="252" spans="1:53" x14ac:dyDescent="0.2">
      <c r="A252" t="s">
        <v>42</v>
      </c>
      <c r="B252" t="s">
        <v>6</v>
      </c>
      <c r="C252">
        <v>31872</v>
      </c>
      <c r="D252" t="s">
        <v>22</v>
      </c>
      <c r="E252" t="s">
        <v>14</v>
      </c>
      <c r="F252" t="s">
        <v>21</v>
      </c>
      <c r="L252">
        <v>2</v>
      </c>
      <c r="AB252">
        <v>1</v>
      </c>
      <c r="AT252">
        <v>1</v>
      </c>
      <c r="BA252">
        <f>SUM(Pre[[#This Row],[1]:[46]])</f>
        <v>4</v>
      </c>
    </row>
    <row r="253" spans="1:53" x14ac:dyDescent="0.2">
      <c r="A253" t="s">
        <v>42</v>
      </c>
      <c r="B253" t="s">
        <v>6</v>
      </c>
      <c r="C253">
        <v>32378</v>
      </c>
      <c r="D253" t="s">
        <v>22</v>
      </c>
      <c r="E253" t="s">
        <v>14</v>
      </c>
      <c r="F253" t="s">
        <v>19</v>
      </c>
      <c r="W253">
        <v>2</v>
      </c>
      <c r="BA253">
        <f>SUM(Pre[[#This Row],[1]:[46]])</f>
        <v>2</v>
      </c>
    </row>
    <row r="254" spans="1:53" x14ac:dyDescent="0.2">
      <c r="A254" t="s">
        <v>42</v>
      </c>
      <c r="B254" t="s">
        <v>6</v>
      </c>
      <c r="C254">
        <v>32498</v>
      </c>
      <c r="D254" t="s">
        <v>22</v>
      </c>
      <c r="E254" t="s">
        <v>8</v>
      </c>
      <c r="F254" t="s">
        <v>23</v>
      </c>
      <c r="G254">
        <v>1</v>
      </c>
      <c r="AG254">
        <v>3</v>
      </c>
      <c r="BA254">
        <f>SUM(Pre[[#This Row],[1]:[46]])</f>
        <v>4</v>
      </c>
    </row>
    <row r="255" spans="1:53" x14ac:dyDescent="0.2">
      <c r="A255" t="s">
        <v>42</v>
      </c>
      <c r="B255" t="s">
        <v>6</v>
      </c>
      <c r="C255">
        <v>32670</v>
      </c>
      <c r="D255" t="s">
        <v>22</v>
      </c>
      <c r="E255" t="s">
        <v>14</v>
      </c>
      <c r="F255" t="s">
        <v>21</v>
      </c>
      <c r="BA255">
        <f>SUM(Pre[[#This Row],[1]:[46]])</f>
        <v>0</v>
      </c>
    </row>
    <row r="256" spans="1:53" x14ac:dyDescent="0.2">
      <c r="A256" t="s">
        <v>42</v>
      </c>
      <c r="B256" t="s">
        <v>6</v>
      </c>
      <c r="C256">
        <v>564</v>
      </c>
      <c r="D256" t="s">
        <v>7</v>
      </c>
      <c r="E256" t="s">
        <v>10</v>
      </c>
      <c r="F256" t="s">
        <v>11</v>
      </c>
      <c r="BA256">
        <f>SUM(Pre[[#This Row],[1]:[46]])</f>
        <v>0</v>
      </c>
    </row>
    <row r="257" spans="1:53" x14ac:dyDescent="0.2">
      <c r="A257" t="s">
        <v>42</v>
      </c>
      <c r="B257" t="s">
        <v>6</v>
      </c>
      <c r="C257">
        <v>564</v>
      </c>
      <c r="D257" t="s">
        <v>7</v>
      </c>
      <c r="E257" t="s">
        <v>14</v>
      </c>
      <c r="F257" t="s">
        <v>20</v>
      </c>
      <c r="L257">
        <v>1</v>
      </c>
      <c r="AH257">
        <v>1</v>
      </c>
      <c r="BA257">
        <f>SUM(Pre[[#This Row],[1]:[46]])</f>
        <v>2</v>
      </c>
    </row>
    <row r="258" spans="1:53" x14ac:dyDescent="0.2">
      <c r="A258" t="s">
        <v>42</v>
      </c>
      <c r="B258" t="s">
        <v>6</v>
      </c>
      <c r="C258">
        <v>844</v>
      </c>
      <c r="D258" t="s">
        <v>7</v>
      </c>
      <c r="E258" t="s">
        <v>40</v>
      </c>
      <c r="F258" t="s">
        <v>44</v>
      </c>
      <c r="BA258">
        <f>SUM(Pre[[#This Row],[1]:[46]])</f>
        <v>0</v>
      </c>
    </row>
    <row r="259" spans="1:53" x14ac:dyDescent="0.2">
      <c r="A259" t="s">
        <v>42</v>
      </c>
      <c r="B259" t="s">
        <v>6</v>
      </c>
      <c r="C259">
        <v>1458</v>
      </c>
      <c r="D259" t="s">
        <v>7</v>
      </c>
      <c r="E259" t="s">
        <v>14</v>
      </c>
      <c r="F259" t="s">
        <v>21</v>
      </c>
      <c r="G259">
        <v>1</v>
      </c>
      <c r="L259">
        <v>1</v>
      </c>
      <c r="P259">
        <v>1</v>
      </c>
      <c r="S259">
        <v>1</v>
      </c>
      <c r="W259">
        <v>1</v>
      </c>
      <c r="Z259">
        <v>2</v>
      </c>
      <c r="AG259">
        <v>1</v>
      </c>
      <c r="AN259">
        <v>1</v>
      </c>
      <c r="AT259">
        <v>4</v>
      </c>
      <c r="BA259">
        <f>SUM(Pre[[#This Row],[1]:[46]])</f>
        <v>13</v>
      </c>
    </row>
    <row r="260" spans="1:53" x14ac:dyDescent="0.2">
      <c r="A260" t="s">
        <v>42</v>
      </c>
      <c r="B260" t="s">
        <v>6</v>
      </c>
      <c r="C260">
        <v>1508</v>
      </c>
      <c r="D260" t="s">
        <v>7</v>
      </c>
      <c r="E260" t="s">
        <v>14</v>
      </c>
      <c r="F260" t="s">
        <v>19</v>
      </c>
      <c r="BA260">
        <f>SUM(Pre[[#This Row],[1]:[46]])</f>
        <v>0</v>
      </c>
    </row>
    <row r="261" spans="1:53" x14ac:dyDescent="0.2">
      <c r="A261" t="s">
        <v>42</v>
      </c>
      <c r="B261" t="s">
        <v>6</v>
      </c>
      <c r="C261">
        <v>4033</v>
      </c>
      <c r="D261" t="s">
        <v>7</v>
      </c>
      <c r="E261" t="s">
        <v>14</v>
      </c>
      <c r="F261" t="s">
        <v>31</v>
      </c>
      <c r="S261">
        <v>1</v>
      </c>
      <c r="AF261">
        <v>1</v>
      </c>
      <c r="AS261">
        <v>1</v>
      </c>
      <c r="BA261">
        <f>SUM(Pre[[#This Row],[1]:[46]])</f>
        <v>3</v>
      </c>
    </row>
    <row r="262" spans="1:53" x14ac:dyDescent="0.2">
      <c r="A262" t="s">
        <v>42</v>
      </c>
      <c r="B262" t="s">
        <v>6</v>
      </c>
      <c r="C262">
        <v>5093</v>
      </c>
      <c r="D262" t="s">
        <v>7</v>
      </c>
      <c r="E262" t="s">
        <v>14</v>
      </c>
      <c r="F262" t="s">
        <v>28</v>
      </c>
      <c r="AD262">
        <v>1</v>
      </c>
      <c r="AM262">
        <v>1</v>
      </c>
      <c r="AZ262">
        <v>1</v>
      </c>
      <c r="BA262">
        <f>SUM(Pre[[#This Row],[1]:[46]])</f>
        <v>3</v>
      </c>
    </row>
    <row r="263" spans="1:53" x14ac:dyDescent="0.2">
      <c r="A263" t="s">
        <v>42</v>
      </c>
      <c r="B263" t="s">
        <v>6</v>
      </c>
      <c r="C263">
        <v>5093</v>
      </c>
      <c r="D263" t="s">
        <v>7</v>
      </c>
      <c r="E263" t="s">
        <v>14</v>
      </c>
      <c r="F263" t="s">
        <v>19</v>
      </c>
      <c r="AA263">
        <v>1</v>
      </c>
      <c r="BA263">
        <f>SUM(Pre[[#This Row],[1]:[46]])</f>
        <v>1</v>
      </c>
    </row>
    <row r="264" spans="1:53" x14ac:dyDescent="0.2">
      <c r="A264" t="s">
        <v>42</v>
      </c>
      <c r="B264" t="s">
        <v>6</v>
      </c>
      <c r="C264">
        <v>6625</v>
      </c>
      <c r="D264" t="s">
        <v>7</v>
      </c>
      <c r="E264" t="s">
        <v>14</v>
      </c>
      <c r="F264" t="s">
        <v>20</v>
      </c>
      <c r="N264">
        <v>1</v>
      </c>
      <c r="AF264">
        <v>1</v>
      </c>
      <c r="AS264">
        <v>2</v>
      </c>
      <c r="BA264">
        <f>SUM(Pre[[#This Row],[1]:[46]])</f>
        <v>4</v>
      </c>
    </row>
    <row r="265" spans="1:53" x14ac:dyDescent="0.2">
      <c r="A265" t="s">
        <v>42</v>
      </c>
      <c r="B265" t="s">
        <v>6</v>
      </c>
      <c r="C265">
        <v>6626</v>
      </c>
      <c r="D265" t="s">
        <v>7</v>
      </c>
      <c r="E265" t="s">
        <v>14</v>
      </c>
      <c r="F265" t="s">
        <v>35</v>
      </c>
      <c r="G265">
        <v>1</v>
      </c>
      <c r="I265">
        <v>1</v>
      </c>
      <c r="K265">
        <v>1</v>
      </c>
      <c r="M265">
        <v>1</v>
      </c>
      <c r="O265">
        <v>1</v>
      </c>
      <c r="Q265">
        <v>1</v>
      </c>
      <c r="S265">
        <v>1</v>
      </c>
      <c r="U265">
        <v>1</v>
      </c>
      <c r="W265">
        <v>1</v>
      </c>
      <c r="Y265">
        <v>1</v>
      </c>
      <c r="AA265">
        <v>1</v>
      </c>
      <c r="AC265">
        <v>1</v>
      </c>
      <c r="AE265">
        <v>1</v>
      </c>
      <c r="AG265">
        <v>1</v>
      </c>
      <c r="AI265">
        <v>1</v>
      </c>
      <c r="AK265">
        <v>1</v>
      </c>
      <c r="AM265">
        <v>1</v>
      </c>
      <c r="AO265">
        <v>1</v>
      </c>
      <c r="AQ265">
        <v>1</v>
      </c>
      <c r="AS265">
        <v>1</v>
      </c>
      <c r="AU265">
        <v>1</v>
      </c>
      <c r="AW265">
        <v>1</v>
      </c>
      <c r="AY265">
        <v>2</v>
      </c>
      <c r="AZ265">
        <v>1</v>
      </c>
      <c r="BA265">
        <f>SUM(Pre[[#This Row],[1]:[46]])</f>
        <v>25</v>
      </c>
    </row>
    <row r="266" spans="1:53" x14ac:dyDescent="0.2">
      <c r="A266" t="s">
        <v>42</v>
      </c>
      <c r="B266" t="s">
        <v>6</v>
      </c>
      <c r="C266">
        <v>6720</v>
      </c>
      <c r="D266" t="s">
        <v>7</v>
      </c>
      <c r="E266" t="s">
        <v>14</v>
      </c>
      <c r="F266" t="s">
        <v>20</v>
      </c>
      <c r="G266">
        <v>1</v>
      </c>
      <c r="T266">
        <v>1</v>
      </c>
      <c r="AG266">
        <v>2</v>
      </c>
      <c r="AS266">
        <v>1</v>
      </c>
      <c r="BA266">
        <f>SUM(Pre[[#This Row],[1]:[46]])</f>
        <v>5</v>
      </c>
    </row>
    <row r="267" spans="1:53" x14ac:dyDescent="0.2">
      <c r="A267" t="s">
        <v>42</v>
      </c>
      <c r="B267" t="s">
        <v>6</v>
      </c>
      <c r="C267">
        <v>6754</v>
      </c>
      <c r="D267" t="s">
        <v>7</v>
      </c>
      <c r="E267" t="s">
        <v>14</v>
      </c>
      <c r="F267" t="s">
        <v>20</v>
      </c>
      <c r="L267">
        <v>1</v>
      </c>
      <c r="Y267">
        <v>1</v>
      </c>
      <c r="AM267">
        <v>1</v>
      </c>
      <c r="AZ267">
        <v>1</v>
      </c>
      <c r="BA267">
        <f>SUM(Pre[[#This Row],[1]:[46]])</f>
        <v>4</v>
      </c>
    </row>
    <row r="268" spans="1:53" x14ac:dyDescent="0.2">
      <c r="A268" t="s">
        <v>42</v>
      </c>
      <c r="B268" t="s">
        <v>6</v>
      </c>
      <c r="C268">
        <v>7023</v>
      </c>
      <c r="D268" t="s">
        <v>7</v>
      </c>
      <c r="E268" t="s">
        <v>14</v>
      </c>
      <c r="F268" t="s">
        <v>20</v>
      </c>
      <c r="I268">
        <v>1</v>
      </c>
      <c r="V268">
        <v>1</v>
      </c>
      <c r="AI268">
        <v>1</v>
      </c>
      <c r="AW268">
        <v>1</v>
      </c>
      <c r="BA268">
        <f>SUM(Pre[[#This Row],[1]:[46]])</f>
        <v>4</v>
      </c>
    </row>
    <row r="269" spans="1:53" x14ac:dyDescent="0.2">
      <c r="A269" t="s">
        <v>42</v>
      </c>
      <c r="B269" t="s">
        <v>6</v>
      </c>
      <c r="C269">
        <v>7111</v>
      </c>
      <c r="D269" t="s">
        <v>7</v>
      </c>
      <c r="E269" t="s">
        <v>14</v>
      </c>
      <c r="F269" t="s">
        <v>21</v>
      </c>
      <c r="AP269">
        <v>1</v>
      </c>
      <c r="BA269">
        <f>SUM(Pre[[#This Row],[1]:[46]])</f>
        <v>1</v>
      </c>
    </row>
    <row r="270" spans="1:53" x14ac:dyDescent="0.2">
      <c r="A270" t="s">
        <v>42</v>
      </c>
      <c r="B270" t="s">
        <v>6</v>
      </c>
      <c r="C270">
        <v>8015</v>
      </c>
      <c r="D270" t="s">
        <v>7</v>
      </c>
      <c r="E270" t="s">
        <v>10</v>
      </c>
      <c r="F270" t="s">
        <v>16</v>
      </c>
      <c r="Z270">
        <v>1</v>
      </c>
      <c r="AV270">
        <v>1</v>
      </c>
      <c r="BA270">
        <f>SUM(Pre[[#This Row],[1]:[46]])</f>
        <v>2</v>
      </c>
    </row>
    <row r="271" spans="1:53" x14ac:dyDescent="0.2">
      <c r="A271" t="s">
        <v>42</v>
      </c>
      <c r="B271" t="s">
        <v>6</v>
      </c>
      <c r="C271">
        <v>11003</v>
      </c>
      <c r="D271" t="s">
        <v>7</v>
      </c>
      <c r="E271" t="s">
        <v>14</v>
      </c>
      <c r="F271" t="s">
        <v>20</v>
      </c>
      <c r="AD271">
        <v>1</v>
      </c>
      <c r="BA271">
        <f>SUM(Pre[[#This Row],[1]:[46]])</f>
        <v>1</v>
      </c>
    </row>
    <row r="272" spans="1:53" x14ac:dyDescent="0.2">
      <c r="A272" t="s">
        <v>42</v>
      </c>
      <c r="B272" t="s">
        <v>6</v>
      </c>
      <c r="C272">
        <v>12533</v>
      </c>
      <c r="D272" t="s">
        <v>7</v>
      </c>
      <c r="E272" t="s">
        <v>14</v>
      </c>
      <c r="F272" t="s">
        <v>19</v>
      </c>
      <c r="BA272">
        <f>SUM(Pre[[#This Row],[1]:[46]])</f>
        <v>0</v>
      </c>
    </row>
    <row r="273" spans="1:53" x14ac:dyDescent="0.2">
      <c r="A273" t="s">
        <v>42</v>
      </c>
      <c r="B273" t="s">
        <v>6</v>
      </c>
      <c r="C273">
        <v>13333</v>
      </c>
      <c r="D273" t="s">
        <v>7</v>
      </c>
      <c r="E273" t="s">
        <v>14</v>
      </c>
      <c r="F273" t="s">
        <v>20</v>
      </c>
      <c r="K273">
        <v>1</v>
      </c>
      <c r="X273">
        <v>1</v>
      </c>
      <c r="AJ273">
        <v>1</v>
      </c>
      <c r="AW273">
        <v>1</v>
      </c>
      <c r="BA273">
        <f>SUM(Pre[[#This Row],[1]:[46]])</f>
        <v>4</v>
      </c>
    </row>
    <row r="274" spans="1:53" x14ac:dyDescent="0.2">
      <c r="A274" t="s">
        <v>42</v>
      </c>
      <c r="B274" t="s">
        <v>6</v>
      </c>
      <c r="C274">
        <v>15715</v>
      </c>
      <c r="D274" t="s">
        <v>7</v>
      </c>
      <c r="E274" t="s">
        <v>14</v>
      </c>
      <c r="F274" t="s">
        <v>21</v>
      </c>
      <c r="W274">
        <v>1</v>
      </c>
      <c r="AW274">
        <v>2</v>
      </c>
      <c r="BA274">
        <f>SUM(Pre[[#This Row],[1]:[46]])</f>
        <v>3</v>
      </c>
    </row>
    <row r="275" spans="1:53" x14ac:dyDescent="0.2">
      <c r="A275" t="s">
        <v>42</v>
      </c>
      <c r="B275" t="s">
        <v>6</v>
      </c>
      <c r="C275">
        <v>16904</v>
      </c>
      <c r="D275" t="s">
        <v>7</v>
      </c>
      <c r="E275" t="s">
        <v>14</v>
      </c>
      <c r="F275" t="s">
        <v>20</v>
      </c>
      <c r="AI275">
        <v>1</v>
      </c>
      <c r="BA275">
        <f>SUM(Pre[[#This Row],[1]:[46]])</f>
        <v>1</v>
      </c>
    </row>
    <row r="276" spans="1:53" x14ac:dyDescent="0.2">
      <c r="A276" t="s">
        <v>42</v>
      </c>
      <c r="B276" t="s">
        <v>6</v>
      </c>
      <c r="C276">
        <v>18094</v>
      </c>
      <c r="D276" t="s">
        <v>7</v>
      </c>
      <c r="E276" t="s">
        <v>10</v>
      </c>
      <c r="F276" t="s">
        <v>11</v>
      </c>
      <c r="M276">
        <v>1</v>
      </c>
      <c r="Z276">
        <v>1</v>
      </c>
      <c r="AL276">
        <v>1</v>
      </c>
      <c r="AU276">
        <v>2</v>
      </c>
      <c r="BA276">
        <f>SUM(Pre[[#This Row],[1]:[46]])</f>
        <v>5</v>
      </c>
    </row>
    <row r="277" spans="1:53" x14ac:dyDescent="0.2">
      <c r="A277" t="s">
        <v>42</v>
      </c>
      <c r="B277" t="s">
        <v>6</v>
      </c>
      <c r="C277">
        <v>18094</v>
      </c>
      <c r="D277" t="s">
        <v>7</v>
      </c>
      <c r="E277" t="s">
        <v>14</v>
      </c>
      <c r="F277" t="s">
        <v>35</v>
      </c>
      <c r="AR277">
        <v>1</v>
      </c>
      <c r="AU277">
        <v>2</v>
      </c>
      <c r="BA277">
        <f>SUM(Pre[[#This Row],[1]:[46]])</f>
        <v>3</v>
      </c>
    </row>
    <row r="278" spans="1:53" x14ac:dyDescent="0.2">
      <c r="A278" t="s">
        <v>42</v>
      </c>
      <c r="B278" t="s">
        <v>6</v>
      </c>
      <c r="C278">
        <v>18094</v>
      </c>
      <c r="D278" t="s">
        <v>7</v>
      </c>
      <c r="E278" t="s">
        <v>14</v>
      </c>
      <c r="F278" t="s">
        <v>20</v>
      </c>
      <c r="AN278">
        <v>1</v>
      </c>
      <c r="BA278">
        <f>SUM(Pre[[#This Row],[1]:[46]])</f>
        <v>1</v>
      </c>
    </row>
    <row r="279" spans="1:53" x14ac:dyDescent="0.2">
      <c r="A279" t="s">
        <v>42</v>
      </c>
      <c r="B279" t="s">
        <v>6</v>
      </c>
      <c r="C279">
        <v>22508</v>
      </c>
      <c r="D279" t="s">
        <v>7</v>
      </c>
      <c r="E279" t="s">
        <v>14</v>
      </c>
      <c r="F279" t="s">
        <v>19</v>
      </c>
      <c r="AM279">
        <v>1</v>
      </c>
      <c r="BA279">
        <f>SUM(Pre[[#This Row],[1]:[46]])</f>
        <v>1</v>
      </c>
    </row>
    <row r="280" spans="1:53" x14ac:dyDescent="0.2">
      <c r="A280" t="s">
        <v>42</v>
      </c>
      <c r="B280" t="s">
        <v>6</v>
      </c>
      <c r="C280">
        <v>30312</v>
      </c>
      <c r="D280" t="s">
        <v>7</v>
      </c>
      <c r="E280" t="s">
        <v>10</v>
      </c>
      <c r="F280" t="s">
        <v>11</v>
      </c>
      <c r="N280">
        <v>2</v>
      </c>
      <c r="BA280">
        <f>SUM(Pre[[#This Row],[1]:[46]])</f>
        <v>2</v>
      </c>
    </row>
    <row r="281" spans="1:53" x14ac:dyDescent="0.2">
      <c r="A281" t="s">
        <v>42</v>
      </c>
      <c r="B281" t="s">
        <v>6</v>
      </c>
      <c r="C281">
        <v>33615</v>
      </c>
      <c r="D281" t="s">
        <v>7</v>
      </c>
      <c r="E281" t="s">
        <v>14</v>
      </c>
      <c r="F281" t="s">
        <v>21</v>
      </c>
      <c r="X281">
        <v>1</v>
      </c>
      <c r="AA281">
        <v>1</v>
      </c>
      <c r="AC281">
        <v>1</v>
      </c>
      <c r="AF281">
        <v>1</v>
      </c>
      <c r="AR281">
        <v>1</v>
      </c>
      <c r="AW281">
        <v>2</v>
      </c>
      <c r="AZ281">
        <v>1</v>
      </c>
      <c r="BA281">
        <f>SUM(Pre[[#This Row],[1]:[46]])</f>
        <v>8</v>
      </c>
    </row>
    <row r="282" spans="1:53" x14ac:dyDescent="0.2">
      <c r="A282" t="s">
        <v>42</v>
      </c>
      <c r="B282" t="s">
        <v>6</v>
      </c>
      <c r="C282">
        <v>5660</v>
      </c>
      <c r="D282" t="s">
        <v>22</v>
      </c>
      <c r="E282" t="s">
        <v>8</v>
      </c>
      <c r="F282" t="s">
        <v>9</v>
      </c>
      <c r="R282">
        <v>1</v>
      </c>
      <c r="AD282">
        <v>1</v>
      </c>
      <c r="AR282">
        <v>1</v>
      </c>
      <c r="BA282">
        <f>SUM(Pre[[#This Row],[1]:[46]])</f>
        <v>3</v>
      </c>
    </row>
    <row r="283" spans="1:53" x14ac:dyDescent="0.2">
      <c r="A283" t="s">
        <v>42</v>
      </c>
      <c r="B283" t="s">
        <v>6</v>
      </c>
      <c r="C283">
        <v>5660</v>
      </c>
      <c r="D283" t="s">
        <v>22</v>
      </c>
      <c r="E283" t="s">
        <v>14</v>
      </c>
      <c r="F283" t="s">
        <v>21</v>
      </c>
      <c r="J283">
        <v>2</v>
      </c>
      <c r="V283">
        <v>1</v>
      </c>
      <c r="AM283">
        <v>1</v>
      </c>
      <c r="AN283">
        <v>1</v>
      </c>
      <c r="AS283">
        <v>1</v>
      </c>
      <c r="AW283">
        <v>1</v>
      </c>
      <c r="BA283">
        <f>SUM(Pre[[#This Row],[1]:[46]])</f>
        <v>7</v>
      </c>
    </row>
    <row r="284" spans="1:53" x14ac:dyDescent="0.2">
      <c r="A284" t="s">
        <v>42</v>
      </c>
      <c r="B284" t="s">
        <v>6</v>
      </c>
      <c r="C284">
        <v>7752</v>
      </c>
      <c r="D284" t="s">
        <v>22</v>
      </c>
      <c r="E284" t="s">
        <v>14</v>
      </c>
      <c r="F284" t="s">
        <v>19</v>
      </c>
      <c r="AB284">
        <v>1</v>
      </c>
      <c r="BA284">
        <f>SUM(Pre[[#This Row],[1]:[46]])</f>
        <v>1</v>
      </c>
    </row>
    <row r="285" spans="1:53" x14ac:dyDescent="0.2">
      <c r="A285" t="s">
        <v>42</v>
      </c>
      <c r="B285" t="s">
        <v>6</v>
      </c>
      <c r="C285">
        <v>15025</v>
      </c>
      <c r="D285" t="s">
        <v>22</v>
      </c>
      <c r="E285" t="s">
        <v>10</v>
      </c>
      <c r="F285" t="s">
        <v>11</v>
      </c>
      <c r="BA285">
        <f>SUM(Pre[[#This Row],[1]:[46]])</f>
        <v>0</v>
      </c>
    </row>
    <row r="286" spans="1:53" x14ac:dyDescent="0.2">
      <c r="A286" t="s">
        <v>42</v>
      </c>
      <c r="B286" t="s">
        <v>6</v>
      </c>
      <c r="C286">
        <v>15025</v>
      </c>
      <c r="D286" t="s">
        <v>22</v>
      </c>
      <c r="E286" t="s">
        <v>14</v>
      </c>
      <c r="F286" t="s">
        <v>35</v>
      </c>
      <c r="BA286">
        <f>SUM(Pre[[#This Row],[1]:[46]])</f>
        <v>0</v>
      </c>
    </row>
    <row r="287" spans="1:53" x14ac:dyDescent="0.2">
      <c r="A287" t="s">
        <v>42</v>
      </c>
      <c r="B287" t="s">
        <v>6</v>
      </c>
      <c r="C287">
        <v>26562</v>
      </c>
      <c r="D287" t="s">
        <v>22</v>
      </c>
      <c r="E287" t="s">
        <v>14</v>
      </c>
      <c r="F287" t="s">
        <v>35</v>
      </c>
      <c r="AZ287">
        <v>1</v>
      </c>
      <c r="BA287">
        <f>SUM(Pre[[#This Row],[1]:[46]])</f>
        <v>1</v>
      </c>
    </row>
    <row r="288" spans="1:53" x14ac:dyDescent="0.2">
      <c r="A288" t="s">
        <v>42</v>
      </c>
      <c r="B288" t="s">
        <v>6</v>
      </c>
      <c r="C288">
        <v>30758</v>
      </c>
      <c r="D288" t="s">
        <v>22</v>
      </c>
      <c r="E288" t="s">
        <v>10</v>
      </c>
      <c r="F288" t="s">
        <v>11</v>
      </c>
      <c r="BA288">
        <f>SUM(Pre[[#This Row],[1]:[46]])</f>
        <v>0</v>
      </c>
    </row>
    <row r="289" spans="1:53" x14ac:dyDescent="0.2">
      <c r="A289" t="s">
        <v>42</v>
      </c>
      <c r="B289" t="s">
        <v>6</v>
      </c>
      <c r="C289">
        <v>6500</v>
      </c>
      <c r="D289" t="s">
        <v>7</v>
      </c>
      <c r="E289" t="s">
        <v>14</v>
      </c>
      <c r="F289" t="s">
        <v>19</v>
      </c>
      <c r="AE289">
        <v>1</v>
      </c>
      <c r="BA289">
        <f>SUM(Pre[[#This Row],[1]:[46]])</f>
        <v>1</v>
      </c>
    </row>
    <row r="290" spans="1:53" x14ac:dyDescent="0.2">
      <c r="A290" t="s">
        <v>42</v>
      </c>
      <c r="B290" t="s">
        <v>6</v>
      </c>
      <c r="C290">
        <v>6500</v>
      </c>
      <c r="D290" t="s">
        <v>7</v>
      </c>
      <c r="E290" t="s">
        <v>14</v>
      </c>
      <c r="F290" t="s">
        <v>21</v>
      </c>
      <c r="H290">
        <v>1</v>
      </c>
      <c r="M290">
        <v>1</v>
      </c>
      <c r="R290">
        <v>1</v>
      </c>
      <c r="V290">
        <v>1</v>
      </c>
      <c r="Z290">
        <v>1</v>
      </c>
      <c r="AL290">
        <v>1</v>
      </c>
      <c r="AT290">
        <v>1</v>
      </c>
      <c r="BA290">
        <f>SUM(Pre[[#This Row],[1]:[46]])</f>
        <v>7</v>
      </c>
    </row>
    <row r="291" spans="1:53" x14ac:dyDescent="0.2">
      <c r="A291" t="s">
        <v>42</v>
      </c>
      <c r="B291" t="s">
        <v>6</v>
      </c>
      <c r="C291">
        <v>17636</v>
      </c>
      <c r="D291" t="s">
        <v>7</v>
      </c>
      <c r="E291" t="s">
        <v>14</v>
      </c>
      <c r="F291" t="s">
        <v>19</v>
      </c>
      <c r="Y291">
        <v>1</v>
      </c>
      <c r="AW291">
        <v>1</v>
      </c>
      <c r="BA291">
        <f>SUM(Pre[[#This Row],[1]:[46]])</f>
        <v>2</v>
      </c>
    </row>
    <row r="292" spans="1:53" x14ac:dyDescent="0.2">
      <c r="A292" t="s">
        <v>42</v>
      </c>
      <c r="B292" t="s">
        <v>6</v>
      </c>
      <c r="C292">
        <v>17636</v>
      </c>
      <c r="D292" t="s">
        <v>7</v>
      </c>
      <c r="E292" t="s">
        <v>14</v>
      </c>
      <c r="F292" t="s">
        <v>21</v>
      </c>
      <c r="K292">
        <v>1</v>
      </c>
      <c r="BA292">
        <f>SUM(Pre[[#This Row],[1]:[46]])</f>
        <v>1</v>
      </c>
    </row>
    <row r="293" spans="1:53" x14ac:dyDescent="0.2">
      <c r="A293" t="s">
        <v>42</v>
      </c>
      <c r="B293" t="s">
        <v>6</v>
      </c>
      <c r="C293">
        <v>20715</v>
      </c>
      <c r="D293" t="s">
        <v>7</v>
      </c>
      <c r="E293" t="s">
        <v>14</v>
      </c>
      <c r="F293" t="s">
        <v>20</v>
      </c>
      <c r="I293">
        <v>1</v>
      </c>
      <c r="U293">
        <v>1</v>
      </c>
      <c r="AI293">
        <v>1</v>
      </c>
      <c r="AV293">
        <v>1</v>
      </c>
      <c r="BA293">
        <f>SUM(Pre[[#This Row],[1]:[46]])</f>
        <v>4</v>
      </c>
    </row>
    <row r="294" spans="1:53" x14ac:dyDescent="0.2">
      <c r="A294" t="s">
        <v>42</v>
      </c>
      <c r="B294" t="s">
        <v>6</v>
      </c>
      <c r="C294">
        <v>30458</v>
      </c>
      <c r="D294" t="s">
        <v>22</v>
      </c>
      <c r="E294" t="s">
        <v>14</v>
      </c>
      <c r="F294" t="s">
        <v>31</v>
      </c>
      <c r="G294">
        <v>1</v>
      </c>
      <c r="N294">
        <v>1</v>
      </c>
      <c r="W294">
        <v>1</v>
      </c>
      <c r="AJ294">
        <v>1</v>
      </c>
      <c r="BA294">
        <f>SUM(Pre[[#This Row],[1]:[46]])</f>
        <v>4</v>
      </c>
    </row>
    <row r="295" spans="1:53" x14ac:dyDescent="0.2">
      <c r="A295" t="s">
        <v>42</v>
      </c>
      <c r="B295" t="s">
        <v>6</v>
      </c>
      <c r="C295">
        <v>2945</v>
      </c>
      <c r="D295" t="s">
        <v>7</v>
      </c>
      <c r="E295" t="s">
        <v>14</v>
      </c>
      <c r="F295" t="s">
        <v>20</v>
      </c>
      <c r="L295">
        <v>1</v>
      </c>
      <c r="Z295">
        <v>1</v>
      </c>
      <c r="AL295">
        <v>1</v>
      </c>
      <c r="AV295">
        <v>1</v>
      </c>
      <c r="BA295">
        <f>SUM(Pre[[#This Row],[1]:[46]])</f>
        <v>4</v>
      </c>
    </row>
    <row r="296" spans="1:53" x14ac:dyDescent="0.2">
      <c r="A296" t="s">
        <v>42</v>
      </c>
      <c r="B296" t="s">
        <v>6</v>
      </c>
      <c r="C296">
        <v>17040</v>
      </c>
      <c r="D296" t="s">
        <v>7</v>
      </c>
      <c r="E296" t="s">
        <v>14</v>
      </c>
      <c r="F296" t="s">
        <v>20</v>
      </c>
      <c r="O296">
        <v>1</v>
      </c>
      <c r="Z296">
        <v>3</v>
      </c>
      <c r="AI296">
        <v>1</v>
      </c>
      <c r="AU296">
        <v>2</v>
      </c>
      <c r="BA296">
        <f>SUM(Pre[[#This Row],[1]:[46]])</f>
        <v>7</v>
      </c>
    </row>
    <row r="297" spans="1:53" x14ac:dyDescent="0.2">
      <c r="A297" t="s">
        <v>42</v>
      </c>
      <c r="B297" t="s">
        <v>6</v>
      </c>
      <c r="C297">
        <v>844</v>
      </c>
      <c r="D297" t="s">
        <v>7</v>
      </c>
      <c r="E297" t="s">
        <v>14</v>
      </c>
      <c r="F297" t="s">
        <v>19</v>
      </c>
      <c r="Y297">
        <v>1</v>
      </c>
      <c r="AE297">
        <v>1</v>
      </c>
      <c r="BA297">
        <f>SUM(Pre[[#This Row],[1]:[46]])</f>
        <v>2</v>
      </c>
    </row>
    <row r="298" spans="1:53" x14ac:dyDescent="0.2">
      <c r="A298" t="s">
        <v>42</v>
      </c>
      <c r="B298" t="s">
        <v>6</v>
      </c>
      <c r="C298">
        <v>844</v>
      </c>
      <c r="D298" t="s">
        <v>7</v>
      </c>
      <c r="E298" t="s">
        <v>14</v>
      </c>
      <c r="F298" t="s">
        <v>21</v>
      </c>
      <c r="M298">
        <v>1</v>
      </c>
      <c r="X298">
        <v>1</v>
      </c>
      <c r="BA298">
        <f>SUM(Pre[[#This Row],[1]:[46]])</f>
        <v>2</v>
      </c>
    </row>
    <row r="299" spans="1:53" x14ac:dyDescent="0.2">
      <c r="A299" t="s">
        <v>42</v>
      </c>
      <c r="B299" t="s">
        <v>6</v>
      </c>
      <c r="C299">
        <v>1170</v>
      </c>
      <c r="D299" t="s">
        <v>7</v>
      </c>
      <c r="E299" t="s">
        <v>14</v>
      </c>
      <c r="F299" t="s">
        <v>28</v>
      </c>
      <c r="N299">
        <v>1</v>
      </c>
      <c r="BA299">
        <f>SUM(Pre[[#This Row],[1]:[46]])</f>
        <v>1</v>
      </c>
    </row>
    <row r="300" spans="1:53" x14ac:dyDescent="0.2">
      <c r="A300" t="s">
        <v>42</v>
      </c>
      <c r="B300" t="s">
        <v>6</v>
      </c>
      <c r="C300">
        <v>10013</v>
      </c>
      <c r="D300" t="s">
        <v>7</v>
      </c>
      <c r="E300" t="s">
        <v>10</v>
      </c>
      <c r="F300" t="s">
        <v>11</v>
      </c>
      <c r="BA300">
        <f>SUM(Pre[[#This Row],[1]:[46]])</f>
        <v>0</v>
      </c>
    </row>
    <row r="301" spans="1:53" x14ac:dyDescent="0.2">
      <c r="A301" t="s">
        <v>42</v>
      </c>
      <c r="B301" t="s">
        <v>6</v>
      </c>
      <c r="C301">
        <v>16882</v>
      </c>
      <c r="D301" t="s">
        <v>7</v>
      </c>
      <c r="E301" t="s">
        <v>14</v>
      </c>
      <c r="F301" t="s">
        <v>35</v>
      </c>
      <c r="O301">
        <v>1</v>
      </c>
      <c r="AW301">
        <v>1</v>
      </c>
      <c r="BA301">
        <f>SUM(Pre[[#This Row],[1]:[46]])</f>
        <v>2</v>
      </c>
    </row>
    <row r="302" spans="1:53" x14ac:dyDescent="0.2">
      <c r="A302" t="s">
        <v>42</v>
      </c>
      <c r="B302" t="s">
        <v>6</v>
      </c>
      <c r="C302">
        <v>18084</v>
      </c>
      <c r="D302" t="s">
        <v>7</v>
      </c>
      <c r="E302" t="s">
        <v>14</v>
      </c>
      <c r="F302" t="s">
        <v>28</v>
      </c>
      <c r="H302">
        <v>1</v>
      </c>
      <c r="S302">
        <v>1</v>
      </c>
      <c r="AG302">
        <v>1</v>
      </c>
      <c r="AP302">
        <v>1</v>
      </c>
      <c r="AU302">
        <v>1</v>
      </c>
      <c r="BA302">
        <f>SUM(Pre[[#This Row],[1]:[46]])</f>
        <v>5</v>
      </c>
    </row>
    <row r="303" spans="1:53" x14ac:dyDescent="0.2">
      <c r="A303" t="s">
        <v>42</v>
      </c>
      <c r="B303" t="s">
        <v>6</v>
      </c>
      <c r="C303">
        <v>629</v>
      </c>
      <c r="D303" t="s">
        <v>7</v>
      </c>
      <c r="E303" t="s">
        <v>8</v>
      </c>
      <c r="F303" t="s">
        <v>29</v>
      </c>
      <c r="Q303">
        <v>1</v>
      </c>
      <c r="BA303">
        <f>SUM(Pre[[#This Row],[1]:[46]])</f>
        <v>1</v>
      </c>
    </row>
    <row r="304" spans="1:53" x14ac:dyDescent="0.2">
      <c r="A304" t="s">
        <v>42</v>
      </c>
      <c r="B304" t="s">
        <v>6</v>
      </c>
      <c r="C304">
        <v>901</v>
      </c>
      <c r="D304" t="s">
        <v>7</v>
      </c>
      <c r="E304" t="s">
        <v>8</v>
      </c>
      <c r="F304" t="s">
        <v>23</v>
      </c>
      <c r="P304">
        <v>1</v>
      </c>
      <c r="BA304">
        <f>SUM(Pre[[#This Row],[1]:[46]])</f>
        <v>1</v>
      </c>
    </row>
    <row r="305" spans="1:53" x14ac:dyDescent="0.2">
      <c r="A305" t="s">
        <v>42</v>
      </c>
      <c r="B305" t="s">
        <v>6</v>
      </c>
      <c r="C305">
        <v>901</v>
      </c>
      <c r="D305" t="s">
        <v>7</v>
      </c>
      <c r="E305" t="s">
        <v>8</v>
      </c>
      <c r="F305" t="s">
        <v>29</v>
      </c>
      <c r="AC305">
        <v>1</v>
      </c>
      <c r="AP305">
        <v>1</v>
      </c>
      <c r="BA305">
        <f>SUM(Pre[[#This Row],[1]:[46]])</f>
        <v>2</v>
      </c>
    </row>
    <row r="306" spans="1:53" x14ac:dyDescent="0.2">
      <c r="A306" t="s">
        <v>42</v>
      </c>
      <c r="B306" t="s">
        <v>6</v>
      </c>
      <c r="C306">
        <v>4950</v>
      </c>
      <c r="D306" t="s">
        <v>7</v>
      </c>
      <c r="E306" t="s">
        <v>8</v>
      </c>
      <c r="F306" t="s">
        <v>29</v>
      </c>
      <c r="W306">
        <v>1</v>
      </c>
      <c r="AC306">
        <v>1</v>
      </c>
      <c r="AQ306">
        <v>1</v>
      </c>
      <c r="BA306">
        <f>SUM(Pre[[#This Row],[1]:[46]])</f>
        <v>3</v>
      </c>
    </row>
    <row r="307" spans="1:53" x14ac:dyDescent="0.2">
      <c r="A307" t="s">
        <v>42</v>
      </c>
      <c r="B307" t="s">
        <v>6</v>
      </c>
      <c r="C307">
        <v>8296</v>
      </c>
      <c r="D307" t="s">
        <v>7</v>
      </c>
      <c r="E307" t="s">
        <v>8</v>
      </c>
      <c r="F307" t="s">
        <v>23</v>
      </c>
      <c r="P307">
        <v>1</v>
      </c>
      <c r="AB307">
        <v>1</v>
      </c>
      <c r="AO307">
        <v>1</v>
      </c>
      <c r="BA307">
        <f>SUM(Pre[[#This Row],[1]:[46]])</f>
        <v>3</v>
      </c>
    </row>
    <row r="308" spans="1:53" x14ac:dyDescent="0.2">
      <c r="A308" t="s">
        <v>42</v>
      </c>
      <c r="B308" t="s">
        <v>6</v>
      </c>
      <c r="C308">
        <v>9077</v>
      </c>
      <c r="D308" t="s">
        <v>7</v>
      </c>
      <c r="E308" t="s">
        <v>8</v>
      </c>
      <c r="F308" t="s">
        <v>30</v>
      </c>
      <c r="G308">
        <v>1</v>
      </c>
      <c r="I308">
        <v>1</v>
      </c>
      <c r="K308">
        <v>1</v>
      </c>
      <c r="M308">
        <v>1</v>
      </c>
      <c r="O308">
        <v>1</v>
      </c>
      <c r="Q308">
        <v>1</v>
      </c>
      <c r="S308">
        <v>1</v>
      </c>
      <c r="U308">
        <v>1</v>
      </c>
      <c r="W308">
        <v>1</v>
      </c>
      <c r="Y308">
        <v>1</v>
      </c>
      <c r="AA308">
        <v>1</v>
      </c>
      <c r="AC308">
        <v>1</v>
      </c>
      <c r="AE308">
        <v>1</v>
      </c>
      <c r="AG308">
        <v>1</v>
      </c>
      <c r="AI308">
        <v>1</v>
      </c>
      <c r="AK308">
        <v>1</v>
      </c>
      <c r="AM308">
        <v>1</v>
      </c>
      <c r="AO308">
        <v>1</v>
      </c>
      <c r="AQ308">
        <v>1</v>
      </c>
      <c r="AS308">
        <v>1</v>
      </c>
      <c r="AV308">
        <v>1</v>
      </c>
      <c r="AW308">
        <v>1</v>
      </c>
      <c r="AZ308">
        <v>1</v>
      </c>
      <c r="BA308">
        <f>SUM(Pre[[#This Row],[1]:[46]])</f>
        <v>23</v>
      </c>
    </row>
    <row r="309" spans="1:53" x14ac:dyDescent="0.2">
      <c r="A309" t="s">
        <v>42</v>
      </c>
      <c r="B309" t="s">
        <v>6</v>
      </c>
      <c r="C309">
        <v>20822</v>
      </c>
      <c r="D309" t="s">
        <v>7</v>
      </c>
      <c r="E309" t="s">
        <v>8</v>
      </c>
      <c r="F309" t="s">
        <v>29</v>
      </c>
      <c r="AD309">
        <v>1</v>
      </c>
      <c r="BA309">
        <f>SUM(Pre[[#This Row],[1]:[46]])</f>
        <v>1</v>
      </c>
    </row>
    <row r="310" spans="1:53" x14ac:dyDescent="0.2">
      <c r="A310" t="s">
        <v>42</v>
      </c>
      <c r="B310" t="s">
        <v>6</v>
      </c>
      <c r="C310">
        <v>21553</v>
      </c>
      <c r="D310" t="s">
        <v>7</v>
      </c>
      <c r="E310" t="s">
        <v>8</v>
      </c>
      <c r="F310" t="s">
        <v>23</v>
      </c>
      <c r="O310">
        <v>2</v>
      </c>
      <c r="AF310">
        <v>1</v>
      </c>
      <c r="AU310">
        <v>1</v>
      </c>
      <c r="BA310">
        <f>SUM(Pre[[#This Row],[1]:[46]])</f>
        <v>4</v>
      </c>
    </row>
    <row r="311" spans="1:53" x14ac:dyDescent="0.2">
      <c r="A311" t="s">
        <v>42</v>
      </c>
      <c r="B311" t="s">
        <v>6</v>
      </c>
      <c r="C311">
        <v>25113</v>
      </c>
      <c r="D311" t="s">
        <v>7</v>
      </c>
      <c r="E311" t="s">
        <v>8</v>
      </c>
      <c r="F311" t="s">
        <v>29</v>
      </c>
      <c r="S311">
        <v>2</v>
      </c>
      <c r="X311">
        <v>1</v>
      </c>
      <c r="BA311">
        <f>SUM(Pre[[#This Row],[1]:[46]])</f>
        <v>3</v>
      </c>
    </row>
    <row r="312" spans="1:53" x14ac:dyDescent="0.2">
      <c r="A312" t="s">
        <v>42</v>
      </c>
      <c r="B312" t="s">
        <v>6</v>
      </c>
      <c r="C312">
        <v>32414</v>
      </c>
      <c r="D312" t="s">
        <v>7</v>
      </c>
      <c r="E312" t="s">
        <v>8</v>
      </c>
      <c r="F312" t="s">
        <v>29</v>
      </c>
      <c r="R312">
        <v>1</v>
      </c>
      <c r="T312">
        <v>1</v>
      </c>
      <c r="AH312">
        <v>1</v>
      </c>
      <c r="AU312">
        <v>1</v>
      </c>
      <c r="BA312">
        <f>SUM(Pre[[#This Row],[1]:[46]])</f>
        <v>4</v>
      </c>
    </row>
    <row r="313" spans="1:53" x14ac:dyDescent="0.2">
      <c r="A313" t="s">
        <v>42</v>
      </c>
      <c r="B313" t="s">
        <v>6</v>
      </c>
      <c r="C313">
        <v>30652</v>
      </c>
      <c r="D313" t="s">
        <v>22</v>
      </c>
      <c r="E313" t="s">
        <v>8</v>
      </c>
      <c r="F313" t="s">
        <v>23</v>
      </c>
      <c r="I313">
        <v>4</v>
      </c>
      <c r="J313">
        <v>2</v>
      </c>
      <c r="W313">
        <v>2</v>
      </c>
      <c r="Y313">
        <v>1</v>
      </c>
      <c r="AL313">
        <v>2</v>
      </c>
      <c r="BA313">
        <f>SUM(Pre[[#This Row],[1]:[46]])</f>
        <v>11</v>
      </c>
    </row>
    <row r="314" spans="1:53" x14ac:dyDescent="0.2">
      <c r="A314" t="s">
        <v>42</v>
      </c>
      <c r="B314" t="s">
        <v>6</v>
      </c>
      <c r="C314">
        <v>32816</v>
      </c>
      <c r="D314" t="s">
        <v>22</v>
      </c>
      <c r="E314" t="s">
        <v>8</v>
      </c>
      <c r="F314" t="s">
        <v>29</v>
      </c>
      <c r="H314">
        <v>1</v>
      </c>
      <c r="U314">
        <v>1</v>
      </c>
      <c r="AH314">
        <v>1</v>
      </c>
      <c r="AU314">
        <v>1</v>
      </c>
      <c r="BA314">
        <f>SUM(Pre[[#This Row],[1]:[46]])</f>
        <v>4</v>
      </c>
    </row>
    <row r="315" spans="1:53" x14ac:dyDescent="0.2">
      <c r="A315" t="s">
        <v>42</v>
      </c>
      <c r="B315" t="s">
        <v>6</v>
      </c>
      <c r="C315">
        <v>564</v>
      </c>
      <c r="D315" t="s">
        <v>7</v>
      </c>
      <c r="E315" t="s">
        <v>37</v>
      </c>
      <c r="F315" t="s">
        <v>38</v>
      </c>
      <c r="L315">
        <v>1</v>
      </c>
      <c r="AA315">
        <v>1</v>
      </c>
      <c r="AP315">
        <v>2</v>
      </c>
      <c r="BA315">
        <f>SUM(Pre[[#This Row],[1]:[46]])</f>
        <v>4</v>
      </c>
    </row>
    <row r="316" spans="1:53" x14ac:dyDescent="0.2">
      <c r="A316" t="s">
        <v>42</v>
      </c>
      <c r="B316" t="s">
        <v>6</v>
      </c>
      <c r="C316">
        <v>2945</v>
      </c>
      <c r="D316" t="s">
        <v>7</v>
      </c>
      <c r="E316" t="s">
        <v>8</v>
      </c>
      <c r="F316" t="s">
        <v>29</v>
      </c>
      <c r="L316">
        <v>1</v>
      </c>
      <c r="Z316">
        <v>1</v>
      </c>
      <c r="AL316">
        <v>1</v>
      </c>
      <c r="AV316">
        <v>1</v>
      </c>
      <c r="BA316">
        <f>SUM(Pre[[#This Row],[1]:[46]])</f>
        <v>4</v>
      </c>
    </row>
    <row r="317" spans="1:53" x14ac:dyDescent="0.2">
      <c r="A317" t="s">
        <v>42</v>
      </c>
      <c r="B317" t="s">
        <v>6</v>
      </c>
      <c r="C317">
        <v>6720</v>
      </c>
      <c r="D317" t="s">
        <v>7</v>
      </c>
      <c r="E317" t="s">
        <v>8</v>
      </c>
      <c r="F317" t="s">
        <v>29</v>
      </c>
      <c r="G317">
        <v>1</v>
      </c>
      <c r="T317">
        <v>1</v>
      </c>
      <c r="AG317">
        <v>2</v>
      </c>
      <c r="AS317">
        <v>1</v>
      </c>
      <c r="BA317">
        <f>SUM(Pre[[#This Row],[1]:[46]])</f>
        <v>5</v>
      </c>
    </row>
    <row r="318" spans="1:53" x14ac:dyDescent="0.2">
      <c r="A318" t="s">
        <v>42</v>
      </c>
      <c r="B318" t="s">
        <v>6</v>
      </c>
      <c r="C318">
        <v>6754</v>
      </c>
      <c r="D318" t="s">
        <v>7</v>
      </c>
      <c r="E318" t="s">
        <v>8</v>
      </c>
      <c r="F318" t="s">
        <v>23</v>
      </c>
      <c r="L318">
        <v>1</v>
      </c>
      <c r="Y318">
        <v>1</v>
      </c>
      <c r="BA318">
        <f>SUM(Pre[[#This Row],[1]:[46]])</f>
        <v>2</v>
      </c>
    </row>
    <row r="319" spans="1:53" x14ac:dyDescent="0.2">
      <c r="A319" t="s">
        <v>42</v>
      </c>
      <c r="B319" t="s">
        <v>6</v>
      </c>
      <c r="C319">
        <v>7023</v>
      </c>
      <c r="D319" t="s">
        <v>7</v>
      </c>
      <c r="E319" t="s">
        <v>8</v>
      </c>
      <c r="F319" t="s">
        <v>45</v>
      </c>
      <c r="I319">
        <v>1</v>
      </c>
      <c r="V319">
        <v>2</v>
      </c>
      <c r="AI319">
        <v>1</v>
      </c>
      <c r="AW319">
        <v>1</v>
      </c>
      <c r="BA319">
        <f>SUM(Pre[[#This Row],[1]:[46]])</f>
        <v>5</v>
      </c>
    </row>
    <row r="320" spans="1:53" x14ac:dyDescent="0.2">
      <c r="A320" t="s">
        <v>42</v>
      </c>
      <c r="B320" t="s">
        <v>6</v>
      </c>
      <c r="C320">
        <v>10835</v>
      </c>
      <c r="D320" t="s">
        <v>7</v>
      </c>
      <c r="E320" t="s">
        <v>8</v>
      </c>
      <c r="F320" t="s">
        <v>29</v>
      </c>
      <c r="O320">
        <v>1</v>
      </c>
      <c r="AA320">
        <v>1</v>
      </c>
      <c r="AQ320">
        <v>1</v>
      </c>
      <c r="BA320">
        <f>SUM(Pre[[#This Row],[1]:[46]])</f>
        <v>3</v>
      </c>
    </row>
    <row r="321" spans="1:53" x14ac:dyDescent="0.2">
      <c r="A321" t="s">
        <v>42</v>
      </c>
      <c r="B321" t="s">
        <v>6</v>
      </c>
      <c r="C321">
        <v>13333</v>
      </c>
      <c r="D321" t="s">
        <v>7</v>
      </c>
      <c r="E321" t="s">
        <v>8</v>
      </c>
      <c r="F321" t="s">
        <v>23</v>
      </c>
      <c r="K321">
        <v>1</v>
      </c>
      <c r="X321">
        <v>1</v>
      </c>
      <c r="AS321">
        <v>1</v>
      </c>
      <c r="BA321">
        <f>SUM(Pre[[#This Row],[1]:[46]])</f>
        <v>3</v>
      </c>
    </row>
    <row r="322" spans="1:53" x14ac:dyDescent="0.2">
      <c r="A322" t="s">
        <v>42</v>
      </c>
      <c r="B322" t="s">
        <v>6</v>
      </c>
      <c r="C322">
        <v>19934</v>
      </c>
      <c r="D322" t="s">
        <v>7</v>
      </c>
      <c r="E322" t="s">
        <v>8</v>
      </c>
      <c r="F322" t="s">
        <v>29</v>
      </c>
      <c r="G322">
        <v>1</v>
      </c>
      <c r="AG322">
        <v>1</v>
      </c>
      <c r="AT322">
        <v>1</v>
      </c>
      <c r="BA322">
        <f>SUM(Pre[[#This Row],[1]:[46]])</f>
        <v>3</v>
      </c>
    </row>
    <row r="323" spans="1:53" x14ac:dyDescent="0.2">
      <c r="A323" t="s">
        <v>42</v>
      </c>
      <c r="B323" t="s">
        <v>6</v>
      </c>
      <c r="C323">
        <v>563</v>
      </c>
      <c r="D323" t="s">
        <v>22</v>
      </c>
      <c r="E323" t="s">
        <v>8</v>
      </c>
      <c r="F323" t="s">
        <v>9</v>
      </c>
      <c r="BA323">
        <f>SUM(Pre[[#This Row],[1]:[46]])</f>
        <v>0</v>
      </c>
    </row>
    <row r="324" spans="1:53" x14ac:dyDescent="0.2">
      <c r="A324" t="s">
        <v>42</v>
      </c>
      <c r="B324" t="s">
        <v>6</v>
      </c>
      <c r="C324">
        <v>15025</v>
      </c>
      <c r="D324" t="s">
        <v>22</v>
      </c>
      <c r="E324" t="s">
        <v>8</v>
      </c>
      <c r="F324" t="s">
        <v>23</v>
      </c>
      <c r="J324">
        <v>2</v>
      </c>
      <c r="AI324">
        <v>1</v>
      </c>
      <c r="BA324">
        <f>SUM(Pre[[#This Row],[1]:[46]])</f>
        <v>3</v>
      </c>
    </row>
    <row r="325" spans="1:53" x14ac:dyDescent="0.2">
      <c r="A325" t="s">
        <v>46</v>
      </c>
      <c r="B325" t="s">
        <v>6</v>
      </c>
      <c r="C325">
        <v>2289</v>
      </c>
      <c r="D325" t="s">
        <v>7</v>
      </c>
      <c r="E325" t="s">
        <v>8</v>
      </c>
      <c r="F325" t="s">
        <v>29</v>
      </c>
      <c r="G325">
        <v>1</v>
      </c>
      <c r="U325">
        <v>1</v>
      </c>
      <c r="AS325">
        <v>1</v>
      </c>
      <c r="BA325">
        <f>SUM(Pre[[#This Row],[1]:[46]])</f>
        <v>3</v>
      </c>
    </row>
    <row r="326" spans="1:53" x14ac:dyDescent="0.2">
      <c r="A326" t="s">
        <v>46</v>
      </c>
      <c r="B326" t="s">
        <v>6</v>
      </c>
      <c r="C326">
        <v>3221</v>
      </c>
      <c r="D326" t="s">
        <v>7</v>
      </c>
      <c r="E326" t="s">
        <v>8</v>
      </c>
      <c r="F326" t="s">
        <v>9</v>
      </c>
      <c r="L326">
        <v>1</v>
      </c>
      <c r="X326">
        <v>1</v>
      </c>
      <c r="AL326">
        <v>1</v>
      </c>
      <c r="AY326">
        <v>1</v>
      </c>
      <c r="BA326">
        <f>SUM(Pre[[#This Row],[1]:[46]])</f>
        <v>4</v>
      </c>
    </row>
    <row r="327" spans="1:53" x14ac:dyDescent="0.2">
      <c r="A327" t="s">
        <v>46</v>
      </c>
      <c r="B327" t="s">
        <v>6</v>
      </c>
      <c r="C327">
        <v>5088</v>
      </c>
      <c r="D327" t="s">
        <v>7</v>
      </c>
      <c r="E327" t="s">
        <v>14</v>
      </c>
      <c r="F327" t="s">
        <v>20</v>
      </c>
      <c r="M327">
        <v>1</v>
      </c>
      <c r="Z327">
        <v>1</v>
      </c>
      <c r="AM327">
        <v>1</v>
      </c>
      <c r="AX327">
        <v>1</v>
      </c>
      <c r="BA327">
        <f>SUM(Pre[[#This Row],[1]:[46]])</f>
        <v>4</v>
      </c>
    </row>
    <row r="328" spans="1:53" x14ac:dyDescent="0.2">
      <c r="A328" t="s">
        <v>46</v>
      </c>
      <c r="B328" t="s">
        <v>6</v>
      </c>
      <c r="C328">
        <v>5624</v>
      </c>
      <c r="D328" t="s">
        <v>7</v>
      </c>
      <c r="E328" t="s">
        <v>14</v>
      </c>
      <c r="F328" t="s">
        <v>31</v>
      </c>
      <c r="K328">
        <v>2</v>
      </c>
      <c r="N328">
        <v>1</v>
      </c>
      <c r="R328">
        <v>1</v>
      </c>
      <c r="BA328">
        <f>SUM(Pre[[#This Row],[1]:[46]])</f>
        <v>4</v>
      </c>
    </row>
    <row r="329" spans="1:53" x14ac:dyDescent="0.2">
      <c r="A329" t="s">
        <v>46</v>
      </c>
      <c r="B329" t="s">
        <v>6</v>
      </c>
      <c r="C329">
        <v>6116</v>
      </c>
      <c r="D329" t="s">
        <v>7</v>
      </c>
      <c r="E329" t="s">
        <v>8</v>
      </c>
      <c r="F329" t="s">
        <v>23</v>
      </c>
      <c r="O329">
        <v>1</v>
      </c>
      <c r="S329">
        <v>1</v>
      </c>
      <c r="X329">
        <v>1</v>
      </c>
      <c r="AC329">
        <v>1</v>
      </c>
      <c r="AM329">
        <v>3</v>
      </c>
      <c r="AQ329">
        <v>1</v>
      </c>
      <c r="AU329">
        <v>1</v>
      </c>
      <c r="AX329">
        <v>1</v>
      </c>
      <c r="AY329">
        <v>1</v>
      </c>
      <c r="BA329">
        <f>SUM(Pre[[#This Row],[1]:[46]])</f>
        <v>11</v>
      </c>
    </row>
    <row r="330" spans="1:53" x14ac:dyDescent="0.2">
      <c r="A330" t="s">
        <v>46</v>
      </c>
      <c r="B330" t="s">
        <v>6</v>
      </c>
      <c r="C330">
        <v>6401</v>
      </c>
      <c r="D330" t="s">
        <v>7</v>
      </c>
      <c r="E330" t="s">
        <v>8</v>
      </c>
      <c r="F330" t="s">
        <v>23</v>
      </c>
      <c r="H330">
        <v>2</v>
      </c>
      <c r="L330">
        <v>1</v>
      </c>
      <c r="P330">
        <v>2</v>
      </c>
      <c r="T330">
        <v>1</v>
      </c>
      <c r="X330">
        <v>1</v>
      </c>
      <c r="AB330">
        <v>1</v>
      </c>
      <c r="AF330">
        <v>2</v>
      </c>
      <c r="AJ330">
        <v>2</v>
      </c>
      <c r="AN330">
        <v>1</v>
      </c>
      <c r="AR330">
        <v>1</v>
      </c>
      <c r="BA330">
        <f>SUM(Pre[[#This Row],[1]:[46]])</f>
        <v>14</v>
      </c>
    </row>
    <row r="331" spans="1:53" x14ac:dyDescent="0.2">
      <c r="A331" t="s">
        <v>46</v>
      </c>
      <c r="B331" t="s">
        <v>6</v>
      </c>
      <c r="C331">
        <v>6401</v>
      </c>
      <c r="D331" t="s">
        <v>7</v>
      </c>
      <c r="E331" t="s">
        <v>8</v>
      </c>
      <c r="F331" t="s">
        <v>29</v>
      </c>
      <c r="BA331">
        <f>SUM(Pre[[#This Row],[1]:[46]])</f>
        <v>0</v>
      </c>
    </row>
    <row r="332" spans="1:53" x14ac:dyDescent="0.2">
      <c r="A332" t="s">
        <v>46</v>
      </c>
      <c r="B332" t="s">
        <v>6</v>
      </c>
      <c r="C332">
        <v>6401</v>
      </c>
      <c r="D332" t="s">
        <v>7</v>
      </c>
      <c r="E332" t="s">
        <v>14</v>
      </c>
      <c r="F332" t="s">
        <v>19</v>
      </c>
      <c r="BA332">
        <f>SUM(Pre[[#This Row],[1]:[46]])</f>
        <v>0</v>
      </c>
    </row>
    <row r="333" spans="1:53" x14ac:dyDescent="0.2">
      <c r="A333" t="s">
        <v>46</v>
      </c>
      <c r="B333" t="s">
        <v>6</v>
      </c>
      <c r="C333">
        <v>6401</v>
      </c>
      <c r="D333" t="s">
        <v>7</v>
      </c>
      <c r="E333" t="s">
        <v>14</v>
      </c>
      <c r="F333" t="s">
        <v>20</v>
      </c>
      <c r="L333">
        <v>2</v>
      </c>
      <c r="AJ333">
        <v>2</v>
      </c>
      <c r="BA333">
        <f>SUM(Pre[[#This Row],[1]:[46]])</f>
        <v>4</v>
      </c>
    </row>
    <row r="334" spans="1:53" x14ac:dyDescent="0.2">
      <c r="A334" t="s">
        <v>46</v>
      </c>
      <c r="B334" t="s">
        <v>6</v>
      </c>
      <c r="C334">
        <v>7297</v>
      </c>
      <c r="D334" t="s">
        <v>7</v>
      </c>
      <c r="E334" t="s">
        <v>14</v>
      </c>
      <c r="F334" t="s">
        <v>20</v>
      </c>
      <c r="G334">
        <v>1</v>
      </c>
      <c r="P334">
        <v>1</v>
      </c>
      <c r="AC334">
        <v>1</v>
      </c>
      <c r="AP334">
        <v>1</v>
      </c>
      <c r="BA334">
        <f>SUM(Pre[[#This Row],[1]:[46]])</f>
        <v>4</v>
      </c>
    </row>
    <row r="335" spans="1:53" x14ac:dyDescent="0.2">
      <c r="A335" t="s">
        <v>46</v>
      </c>
      <c r="B335" t="s">
        <v>6</v>
      </c>
      <c r="C335">
        <v>7833</v>
      </c>
      <c r="D335" t="s">
        <v>7</v>
      </c>
      <c r="E335" t="s">
        <v>14</v>
      </c>
      <c r="F335" t="s">
        <v>21</v>
      </c>
      <c r="H335">
        <v>1</v>
      </c>
      <c r="V335">
        <v>1</v>
      </c>
      <c r="AE335">
        <v>1</v>
      </c>
      <c r="AI335">
        <v>1</v>
      </c>
      <c r="AV335">
        <v>1</v>
      </c>
      <c r="BA335">
        <f>SUM(Pre[[#This Row],[1]:[46]])</f>
        <v>5</v>
      </c>
    </row>
    <row r="336" spans="1:53" x14ac:dyDescent="0.2">
      <c r="A336" t="s">
        <v>46</v>
      </c>
      <c r="B336" t="s">
        <v>6</v>
      </c>
      <c r="C336">
        <v>7894</v>
      </c>
      <c r="D336" t="s">
        <v>7</v>
      </c>
      <c r="E336" t="s">
        <v>8</v>
      </c>
      <c r="F336" t="s">
        <v>23</v>
      </c>
      <c r="I336">
        <v>2</v>
      </c>
      <c r="W336">
        <v>1</v>
      </c>
      <c r="AH336">
        <v>1</v>
      </c>
      <c r="AV336">
        <v>1</v>
      </c>
      <c r="BA336">
        <f>SUM(Pre[[#This Row],[1]:[46]])</f>
        <v>5</v>
      </c>
    </row>
    <row r="337" spans="1:53" x14ac:dyDescent="0.2">
      <c r="A337" t="s">
        <v>46</v>
      </c>
      <c r="B337" t="s">
        <v>6</v>
      </c>
      <c r="C337">
        <v>10071</v>
      </c>
      <c r="D337" t="s">
        <v>7</v>
      </c>
      <c r="E337" t="s">
        <v>8</v>
      </c>
      <c r="F337" t="s">
        <v>23</v>
      </c>
      <c r="M337">
        <v>1</v>
      </c>
      <c r="Y337">
        <v>1</v>
      </c>
      <c r="AN337">
        <v>1</v>
      </c>
      <c r="AZ337">
        <v>1</v>
      </c>
      <c r="BA337">
        <f>SUM(Pre[[#This Row],[1]:[46]])</f>
        <v>4</v>
      </c>
    </row>
    <row r="338" spans="1:53" x14ac:dyDescent="0.2">
      <c r="A338" t="s">
        <v>46</v>
      </c>
      <c r="B338" t="s">
        <v>6</v>
      </c>
      <c r="C338">
        <v>11014</v>
      </c>
      <c r="D338" t="s">
        <v>7</v>
      </c>
      <c r="E338" t="s">
        <v>8</v>
      </c>
      <c r="F338" t="s">
        <v>9</v>
      </c>
      <c r="H338">
        <v>1</v>
      </c>
      <c r="K338">
        <v>1</v>
      </c>
      <c r="V338">
        <v>1</v>
      </c>
      <c r="AJ338">
        <v>1</v>
      </c>
      <c r="AY338">
        <v>1</v>
      </c>
      <c r="BA338">
        <f>SUM(Pre[[#This Row],[1]:[46]])</f>
        <v>5</v>
      </c>
    </row>
    <row r="339" spans="1:53" x14ac:dyDescent="0.2">
      <c r="A339" t="s">
        <v>46</v>
      </c>
      <c r="B339" t="s">
        <v>6</v>
      </c>
      <c r="C339">
        <v>13745</v>
      </c>
      <c r="D339" t="s">
        <v>7</v>
      </c>
      <c r="E339" t="s">
        <v>14</v>
      </c>
      <c r="F339" t="s">
        <v>20</v>
      </c>
      <c r="L339">
        <v>1</v>
      </c>
      <c r="BA339">
        <f>SUM(Pre[[#This Row],[1]:[46]])</f>
        <v>1</v>
      </c>
    </row>
    <row r="340" spans="1:53" x14ac:dyDescent="0.2">
      <c r="A340" t="s">
        <v>46</v>
      </c>
      <c r="B340" t="s">
        <v>6</v>
      </c>
      <c r="C340">
        <v>14181</v>
      </c>
      <c r="D340" t="s">
        <v>7</v>
      </c>
      <c r="E340" t="s">
        <v>8</v>
      </c>
      <c r="F340" t="s">
        <v>9</v>
      </c>
      <c r="T340">
        <v>2</v>
      </c>
      <c r="AL340">
        <v>1</v>
      </c>
      <c r="BA340">
        <f>SUM(Pre[[#This Row],[1]:[46]])</f>
        <v>3</v>
      </c>
    </row>
    <row r="341" spans="1:53" x14ac:dyDescent="0.2">
      <c r="A341" t="s">
        <v>46</v>
      </c>
      <c r="B341" t="s">
        <v>6</v>
      </c>
      <c r="C341">
        <v>14290</v>
      </c>
      <c r="D341" t="s">
        <v>7</v>
      </c>
      <c r="E341" t="s">
        <v>10</v>
      </c>
      <c r="F341" t="s">
        <v>16</v>
      </c>
      <c r="AS341">
        <v>2</v>
      </c>
      <c r="BA341">
        <f>SUM(Pre[[#This Row],[1]:[46]])</f>
        <v>2</v>
      </c>
    </row>
    <row r="342" spans="1:53" x14ac:dyDescent="0.2">
      <c r="A342" t="s">
        <v>46</v>
      </c>
      <c r="B342" t="s">
        <v>6</v>
      </c>
      <c r="C342">
        <v>14290</v>
      </c>
      <c r="D342" t="s">
        <v>7</v>
      </c>
      <c r="E342" t="s">
        <v>10</v>
      </c>
      <c r="F342" t="s">
        <v>11</v>
      </c>
      <c r="AS342">
        <v>1</v>
      </c>
      <c r="BA342">
        <f>SUM(Pre[[#This Row],[1]:[46]])</f>
        <v>1</v>
      </c>
    </row>
    <row r="343" spans="1:53" x14ac:dyDescent="0.2">
      <c r="A343" t="s">
        <v>46</v>
      </c>
      <c r="B343" t="s">
        <v>6</v>
      </c>
      <c r="C343">
        <v>16030</v>
      </c>
      <c r="D343" t="s">
        <v>7</v>
      </c>
      <c r="E343" t="s">
        <v>14</v>
      </c>
      <c r="F343" t="s">
        <v>19</v>
      </c>
      <c r="K343">
        <v>1</v>
      </c>
      <c r="T343">
        <v>1</v>
      </c>
      <c r="BA343">
        <f>SUM(Pre[[#This Row],[1]:[46]])</f>
        <v>2</v>
      </c>
    </row>
    <row r="344" spans="1:53" x14ac:dyDescent="0.2">
      <c r="A344" t="s">
        <v>46</v>
      </c>
      <c r="B344" t="s">
        <v>6</v>
      </c>
      <c r="C344">
        <v>17630</v>
      </c>
      <c r="D344" t="s">
        <v>7</v>
      </c>
      <c r="E344" t="s">
        <v>8</v>
      </c>
      <c r="F344" t="s">
        <v>23</v>
      </c>
      <c r="O344">
        <v>1</v>
      </c>
      <c r="Y344">
        <v>1</v>
      </c>
      <c r="AL344">
        <v>1</v>
      </c>
      <c r="AX344">
        <v>1</v>
      </c>
      <c r="BA344">
        <f>SUM(Pre[[#This Row],[1]:[46]])</f>
        <v>4</v>
      </c>
    </row>
    <row r="345" spans="1:53" x14ac:dyDescent="0.2">
      <c r="A345" t="s">
        <v>46</v>
      </c>
      <c r="B345" t="s">
        <v>6</v>
      </c>
      <c r="C345">
        <v>17630</v>
      </c>
      <c r="D345" t="s">
        <v>7</v>
      </c>
      <c r="E345" t="s">
        <v>14</v>
      </c>
      <c r="F345" t="s">
        <v>31</v>
      </c>
      <c r="Y345">
        <v>1</v>
      </c>
      <c r="AY345">
        <v>1</v>
      </c>
      <c r="BA345">
        <f>SUM(Pre[[#This Row],[1]:[46]])</f>
        <v>2</v>
      </c>
    </row>
    <row r="346" spans="1:53" x14ac:dyDescent="0.2">
      <c r="A346" t="s">
        <v>46</v>
      </c>
      <c r="B346" t="s">
        <v>6</v>
      </c>
      <c r="C346">
        <v>17630</v>
      </c>
      <c r="D346" t="s">
        <v>7</v>
      </c>
      <c r="E346" t="s">
        <v>14</v>
      </c>
      <c r="F346" t="s">
        <v>28</v>
      </c>
      <c r="AL346">
        <v>1</v>
      </c>
      <c r="BA346">
        <f>SUM(Pre[[#This Row],[1]:[46]])</f>
        <v>1</v>
      </c>
    </row>
    <row r="347" spans="1:53" x14ac:dyDescent="0.2">
      <c r="A347" t="s">
        <v>46</v>
      </c>
      <c r="B347" t="s">
        <v>6</v>
      </c>
      <c r="C347">
        <v>19937</v>
      </c>
      <c r="D347" t="s">
        <v>7</v>
      </c>
      <c r="E347" t="s">
        <v>14</v>
      </c>
      <c r="F347" t="s">
        <v>28</v>
      </c>
      <c r="AO347">
        <v>1</v>
      </c>
      <c r="BA347">
        <f>SUM(Pre[[#This Row],[1]:[46]])</f>
        <v>1</v>
      </c>
    </row>
    <row r="348" spans="1:53" x14ac:dyDescent="0.2">
      <c r="A348" t="s">
        <v>46</v>
      </c>
      <c r="B348" t="s">
        <v>6</v>
      </c>
      <c r="C348">
        <v>20039</v>
      </c>
      <c r="D348" t="s">
        <v>7</v>
      </c>
      <c r="E348" t="s">
        <v>12</v>
      </c>
      <c r="F348" t="s">
        <v>13</v>
      </c>
      <c r="AY348">
        <v>1</v>
      </c>
      <c r="BA348">
        <f>SUM(Pre[[#This Row],[1]:[46]])</f>
        <v>1</v>
      </c>
    </row>
    <row r="349" spans="1:53" x14ac:dyDescent="0.2">
      <c r="A349" t="s">
        <v>46</v>
      </c>
      <c r="B349" t="s">
        <v>6</v>
      </c>
      <c r="C349">
        <v>20117</v>
      </c>
      <c r="D349" t="s">
        <v>7</v>
      </c>
      <c r="E349" t="s">
        <v>14</v>
      </c>
      <c r="F349" t="s">
        <v>20</v>
      </c>
      <c r="BA349">
        <f>SUM(Pre[[#This Row],[1]:[46]])</f>
        <v>0</v>
      </c>
    </row>
    <row r="350" spans="1:53" x14ac:dyDescent="0.2">
      <c r="A350" t="s">
        <v>46</v>
      </c>
      <c r="B350" t="s">
        <v>6</v>
      </c>
      <c r="C350">
        <v>20937</v>
      </c>
      <c r="D350" t="s">
        <v>7</v>
      </c>
      <c r="E350" t="s">
        <v>14</v>
      </c>
      <c r="F350" t="s">
        <v>20</v>
      </c>
      <c r="K350">
        <v>2</v>
      </c>
      <c r="V350">
        <v>1</v>
      </c>
      <c r="AD350">
        <v>1</v>
      </c>
      <c r="AN350">
        <v>1</v>
      </c>
      <c r="AW350">
        <v>2</v>
      </c>
      <c r="BA350">
        <f>SUM(Pre[[#This Row],[1]:[46]])</f>
        <v>7</v>
      </c>
    </row>
    <row r="351" spans="1:53" x14ac:dyDescent="0.2">
      <c r="A351" t="s">
        <v>46</v>
      </c>
      <c r="B351" t="s">
        <v>6</v>
      </c>
      <c r="C351">
        <v>22643</v>
      </c>
      <c r="D351" t="s">
        <v>7</v>
      </c>
      <c r="E351" t="s">
        <v>14</v>
      </c>
      <c r="F351" t="s">
        <v>31</v>
      </c>
      <c r="AI351">
        <v>2</v>
      </c>
      <c r="BA351">
        <f>SUM(Pre[[#This Row],[1]:[46]])</f>
        <v>2</v>
      </c>
    </row>
    <row r="352" spans="1:53" x14ac:dyDescent="0.2">
      <c r="A352" t="s">
        <v>46</v>
      </c>
      <c r="B352" t="s">
        <v>6</v>
      </c>
      <c r="C352">
        <v>23470</v>
      </c>
      <c r="D352" t="s">
        <v>7</v>
      </c>
      <c r="E352" t="s">
        <v>8</v>
      </c>
      <c r="F352" t="s">
        <v>23</v>
      </c>
      <c r="BA352">
        <f>SUM(Pre[[#This Row],[1]:[46]])</f>
        <v>0</v>
      </c>
    </row>
    <row r="353" spans="1:53" x14ac:dyDescent="0.2">
      <c r="A353" t="s">
        <v>46</v>
      </c>
      <c r="B353" t="s">
        <v>6</v>
      </c>
      <c r="C353">
        <v>24654</v>
      </c>
      <c r="D353" t="s">
        <v>7</v>
      </c>
      <c r="E353" t="s">
        <v>14</v>
      </c>
      <c r="F353" t="s">
        <v>31</v>
      </c>
      <c r="AN353">
        <v>1</v>
      </c>
      <c r="AR353">
        <v>1</v>
      </c>
      <c r="AV353">
        <v>1</v>
      </c>
      <c r="BA353">
        <f>SUM(Pre[[#This Row],[1]:[46]])</f>
        <v>3</v>
      </c>
    </row>
    <row r="354" spans="1:53" x14ac:dyDescent="0.2">
      <c r="A354" t="s">
        <v>46</v>
      </c>
      <c r="B354" t="s">
        <v>6</v>
      </c>
      <c r="C354">
        <v>24887</v>
      </c>
      <c r="D354" t="s">
        <v>7</v>
      </c>
      <c r="E354" t="s">
        <v>14</v>
      </c>
      <c r="F354" t="s">
        <v>35</v>
      </c>
      <c r="AS354">
        <v>1</v>
      </c>
      <c r="AU354">
        <v>1</v>
      </c>
      <c r="AY354">
        <v>1</v>
      </c>
      <c r="BA354">
        <f>SUM(Pre[[#This Row],[1]:[46]])</f>
        <v>3</v>
      </c>
    </row>
    <row r="355" spans="1:53" x14ac:dyDescent="0.2">
      <c r="A355" t="s">
        <v>46</v>
      </c>
      <c r="B355" t="s">
        <v>6</v>
      </c>
      <c r="C355">
        <v>24887</v>
      </c>
      <c r="D355" t="s">
        <v>7</v>
      </c>
      <c r="E355" t="s">
        <v>14</v>
      </c>
      <c r="F355" t="s">
        <v>31</v>
      </c>
      <c r="AF355">
        <v>1</v>
      </c>
      <c r="AG355">
        <v>1</v>
      </c>
      <c r="BA355">
        <f>SUM(Pre[[#This Row],[1]:[46]])</f>
        <v>2</v>
      </c>
    </row>
    <row r="356" spans="1:53" x14ac:dyDescent="0.2">
      <c r="A356" t="s">
        <v>46</v>
      </c>
      <c r="B356" t="s">
        <v>6</v>
      </c>
      <c r="C356">
        <v>24976</v>
      </c>
      <c r="D356" t="s">
        <v>7</v>
      </c>
      <c r="E356" t="s">
        <v>14</v>
      </c>
      <c r="F356" t="s">
        <v>19</v>
      </c>
      <c r="AX356">
        <v>1</v>
      </c>
      <c r="BA356">
        <f>SUM(Pre[[#This Row],[1]:[46]])</f>
        <v>1</v>
      </c>
    </row>
    <row r="357" spans="1:53" x14ac:dyDescent="0.2">
      <c r="A357" t="s">
        <v>46</v>
      </c>
      <c r="B357" t="s">
        <v>6</v>
      </c>
      <c r="C357">
        <v>25026</v>
      </c>
      <c r="D357" t="s">
        <v>7</v>
      </c>
      <c r="E357" t="s">
        <v>14</v>
      </c>
      <c r="F357" t="s">
        <v>21</v>
      </c>
      <c r="Q357">
        <v>1</v>
      </c>
      <c r="AJ357">
        <v>1</v>
      </c>
      <c r="AX357">
        <v>1</v>
      </c>
      <c r="BA357">
        <f>SUM(Pre[[#This Row],[1]:[46]])</f>
        <v>3</v>
      </c>
    </row>
    <row r="358" spans="1:53" x14ac:dyDescent="0.2">
      <c r="A358" t="s">
        <v>46</v>
      </c>
      <c r="B358" t="s">
        <v>6</v>
      </c>
      <c r="C358">
        <v>25122</v>
      </c>
      <c r="D358" t="s">
        <v>7</v>
      </c>
      <c r="E358" t="s">
        <v>14</v>
      </c>
      <c r="F358" t="s">
        <v>31</v>
      </c>
      <c r="K358">
        <v>1</v>
      </c>
      <c r="BA358">
        <f>SUM(Pre[[#This Row],[1]:[46]])</f>
        <v>1</v>
      </c>
    </row>
    <row r="359" spans="1:53" x14ac:dyDescent="0.2">
      <c r="A359" t="s">
        <v>46</v>
      </c>
      <c r="B359" t="s">
        <v>6</v>
      </c>
      <c r="C359">
        <v>25156</v>
      </c>
      <c r="D359" t="s">
        <v>7</v>
      </c>
      <c r="E359" t="s">
        <v>14</v>
      </c>
      <c r="F359" t="s">
        <v>31</v>
      </c>
      <c r="BA359">
        <f>SUM(Pre[[#This Row],[1]:[46]])</f>
        <v>0</v>
      </c>
    </row>
    <row r="360" spans="1:53" x14ac:dyDescent="0.2">
      <c r="A360" t="s">
        <v>46</v>
      </c>
      <c r="B360" t="s">
        <v>6</v>
      </c>
      <c r="C360">
        <v>25318</v>
      </c>
      <c r="D360" t="s">
        <v>7</v>
      </c>
      <c r="E360" t="s">
        <v>14</v>
      </c>
      <c r="F360" t="s">
        <v>31</v>
      </c>
      <c r="I360">
        <v>1</v>
      </c>
      <c r="BA360">
        <f>SUM(Pre[[#This Row],[1]:[46]])</f>
        <v>1</v>
      </c>
    </row>
    <row r="361" spans="1:53" x14ac:dyDescent="0.2">
      <c r="A361" t="s">
        <v>46</v>
      </c>
      <c r="B361" t="s">
        <v>6</v>
      </c>
      <c r="C361">
        <v>25436</v>
      </c>
      <c r="D361" t="s">
        <v>7</v>
      </c>
      <c r="E361" t="s">
        <v>14</v>
      </c>
      <c r="F361" t="s">
        <v>31</v>
      </c>
      <c r="AM361">
        <v>2</v>
      </c>
      <c r="BA361">
        <f>SUM(Pre[[#This Row],[1]:[46]])</f>
        <v>2</v>
      </c>
    </row>
    <row r="362" spans="1:53" x14ac:dyDescent="0.2">
      <c r="A362" t="s">
        <v>46</v>
      </c>
      <c r="B362" t="s">
        <v>6</v>
      </c>
      <c r="C362">
        <v>25449</v>
      </c>
      <c r="D362" t="s">
        <v>7</v>
      </c>
      <c r="E362" t="s">
        <v>14</v>
      </c>
      <c r="F362" t="s">
        <v>31</v>
      </c>
      <c r="S362">
        <v>1</v>
      </c>
      <c r="BA362">
        <f>SUM(Pre[[#This Row],[1]:[46]])</f>
        <v>1</v>
      </c>
    </row>
    <row r="363" spans="1:53" x14ac:dyDescent="0.2">
      <c r="A363" t="s">
        <v>46</v>
      </c>
      <c r="B363" t="s">
        <v>6</v>
      </c>
      <c r="C363">
        <v>25708</v>
      </c>
      <c r="D363" t="s">
        <v>7</v>
      </c>
      <c r="E363" t="s">
        <v>14</v>
      </c>
      <c r="F363" t="s">
        <v>21</v>
      </c>
      <c r="Y363">
        <v>2</v>
      </c>
      <c r="BA363">
        <f>SUM(Pre[[#This Row],[1]:[46]])</f>
        <v>2</v>
      </c>
    </row>
    <row r="364" spans="1:53" x14ac:dyDescent="0.2">
      <c r="A364" t="s">
        <v>46</v>
      </c>
      <c r="B364" t="s">
        <v>6</v>
      </c>
      <c r="C364">
        <v>26039</v>
      </c>
      <c r="D364" t="s">
        <v>7</v>
      </c>
      <c r="E364" t="s">
        <v>14</v>
      </c>
      <c r="F364" t="s">
        <v>31</v>
      </c>
      <c r="AC364">
        <v>1</v>
      </c>
      <c r="BA364">
        <f>SUM(Pre[[#This Row],[1]:[46]])</f>
        <v>1</v>
      </c>
    </row>
    <row r="365" spans="1:53" x14ac:dyDescent="0.2">
      <c r="A365" t="s">
        <v>46</v>
      </c>
      <c r="B365" t="s">
        <v>6</v>
      </c>
      <c r="C365">
        <v>26374</v>
      </c>
      <c r="D365" t="s">
        <v>7</v>
      </c>
      <c r="E365" t="s">
        <v>12</v>
      </c>
      <c r="F365" t="s">
        <v>13</v>
      </c>
      <c r="AO365">
        <v>1</v>
      </c>
      <c r="BA365">
        <f>SUM(Pre[[#This Row],[1]:[46]])</f>
        <v>1</v>
      </c>
    </row>
    <row r="366" spans="1:53" x14ac:dyDescent="0.2">
      <c r="A366" t="s">
        <v>46</v>
      </c>
      <c r="B366" t="s">
        <v>6</v>
      </c>
      <c r="C366">
        <v>26468</v>
      </c>
      <c r="D366" t="s">
        <v>7</v>
      </c>
      <c r="E366" t="s">
        <v>14</v>
      </c>
      <c r="F366" t="s">
        <v>31</v>
      </c>
      <c r="BA366">
        <f>SUM(Pre[[#This Row],[1]:[46]])</f>
        <v>0</v>
      </c>
    </row>
    <row r="367" spans="1:53" x14ac:dyDescent="0.2">
      <c r="A367" t="s">
        <v>46</v>
      </c>
      <c r="B367" t="s">
        <v>6</v>
      </c>
      <c r="C367">
        <v>26770</v>
      </c>
      <c r="D367" t="s">
        <v>7</v>
      </c>
      <c r="E367" t="s">
        <v>12</v>
      </c>
      <c r="F367" t="s">
        <v>13</v>
      </c>
      <c r="BA367">
        <f>SUM(Pre[[#This Row],[1]:[46]])</f>
        <v>0</v>
      </c>
    </row>
    <row r="368" spans="1:53" x14ac:dyDescent="0.2">
      <c r="A368" t="s">
        <v>46</v>
      </c>
      <c r="B368" t="s">
        <v>6</v>
      </c>
      <c r="C368">
        <v>27063</v>
      </c>
      <c r="D368" t="s">
        <v>7</v>
      </c>
      <c r="E368" t="s">
        <v>14</v>
      </c>
      <c r="F368" t="s">
        <v>28</v>
      </c>
      <c r="AF368">
        <v>1</v>
      </c>
      <c r="BA368">
        <f>SUM(Pre[[#This Row],[1]:[46]])</f>
        <v>1</v>
      </c>
    </row>
    <row r="369" spans="1:53" x14ac:dyDescent="0.2">
      <c r="A369" t="s">
        <v>46</v>
      </c>
      <c r="B369" t="s">
        <v>6</v>
      </c>
      <c r="C369">
        <v>27126</v>
      </c>
      <c r="D369" t="s">
        <v>7</v>
      </c>
      <c r="E369" t="s">
        <v>12</v>
      </c>
      <c r="F369" t="s">
        <v>13</v>
      </c>
      <c r="W369">
        <v>3</v>
      </c>
      <c r="BA369">
        <f>SUM(Pre[[#This Row],[1]:[46]])</f>
        <v>3</v>
      </c>
    </row>
    <row r="370" spans="1:53" x14ac:dyDescent="0.2">
      <c r="A370" t="s">
        <v>46</v>
      </c>
      <c r="B370" t="s">
        <v>6</v>
      </c>
      <c r="C370">
        <v>27371</v>
      </c>
      <c r="D370" t="s">
        <v>7</v>
      </c>
      <c r="E370" t="s">
        <v>10</v>
      </c>
      <c r="F370" t="s">
        <v>11</v>
      </c>
      <c r="BA370">
        <f>SUM(Pre[[#This Row],[1]:[46]])</f>
        <v>0</v>
      </c>
    </row>
    <row r="371" spans="1:53" x14ac:dyDescent="0.2">
      <c r="A371" t="s">
        <v>46</v>
      </c>
      <c r="B371" t="s">
        <v>6</v>
      </c>
      <c r="C371">
        <v>29100</v>
      </c>
      <c r="D371" t="s">
        <v>7</v>
      </c>
      <c r="E371" t="s">
        <v>12</v>
      </c>
      <c r="F371" t="s">
        <v>13</v>
      </c>
      <c r="AW371">
        <v>1</v>
      </c>
      <c r="BA371">
        <f>SUM(Pre[[#This Row],[1]:[46]])</f>
        <v>1</v>
      </c>
    </row>
    <row r="372" spans="1:53" x14ac:dyDescent="0.2">
      <c r="A372" t="s">
        <v>46</v>
      </c>
      <c r="B372" t="s">
        <v>6</v>
      </c>
      <c r="C372">
        <v>29226</v>
      </c>
      <c r="D372" t="s">
        <v>7</v>
      </c>
      <c r="E372" t="s">
        <v>10</v>
      </c>
      <c r="F372" t="s">
        <v>11</v>
      </c>
      <c r="AT372">
        <v>5</v>
      </c>
      <c r="BA372">
        <f>SUM(Pre[[#This Row],[1]:[46]])</f>
        <v>5</v>
      </c>
    </row>
    <row r="373" spans="1:53" x14ac:dyDescent="0.2">
      <c r="A373" t="s">
        <v>46</v>
      </c>
      <c r="B373" t="s">
        <v>6</v>
      </c>
      <c r="C373">
        <v>29383</v>
      </c>
      <c r="D373" t="s">
        <v>7</v>
      </c>
      <c r="E373" t="s">
        <v>14</v>
      </c>
      <c r="F373" t="s">
        <v>19</v>
      </c>
      <c r="BA373">
        <f>SUM(Pre[[#This Row],[1]:[46]])</f>
        <v>0</v>
      </c>
    </row>
    <row r="374" spans="1:53" x14ac:dyDescent="0.2">
      <c r="A374" t="s">
        <v>46</v>
      </c>
      <c r="B374" t="s">
        <v>6</v>
      </c>
      <c r="C374">
        <v>29503</v>
      </c>
      <c r="D374" t="s">
        <v>7</v>
      </c>
      <c r="E374" t="s">
        <v>14</v>
      </c>
      <c r="F374" t="s">
        <v>35</v>
      </c>
      <c r="H374">
        <v>2</v>
      </c>
      <c r="AA374">
        <v>1</v>
      </c>
      <c r="AV374">
        <v>4</v>
      </c>
      <c r="BA374">
        <f>SUM(Pre[[#This Row],[1]:[46]])</f>
        <v>7</v>
      </c>
    </row>
    <row r="375" spans="1:53" x14ac:dyDescent="0.2">
      <c r="A375" t="s">
        <v>46</v>
      </c>
      <c r="B375" t="s">
        <v>6</v>
      </c>
      <c r="C375">
        <v>29911</v>
      </c>
      <c r="D375" t="s">
        <v>7</v>
      </c>
      <c r="E375" t="s">
        <v>12</v>
      </c>
      <c r="F375" t="s">
        <v>13</v>
      </c>
      <c r="S375">
        <v>2</v>
      </c>
      <c r="AQ375">
        <v>1</v>
      </c>
      <c r="BA375">
        <f>SUM(Pre[[#This Row],[1]:[46]])</f>
        <v>3</v>
      </c>
    </row>
    <row r="376" spans="1:53" x14ac:dyDescent="0.2">
      <c r="A376" t="s">
        <v>46</v>
      </c>
      <c r="B376" t="s">
        <v>6</v>
      </c>
      <c r="C376">
        <v>30267</v>
      </c>
      <c r="D376" t="s">
        <v>7</v>
      </c>
      <c r="E376" t="s">
        <v>10</v>
      </c>
      <c r="F376" t="s">
        <v>11</v>
      </c>
      <c r="AX376">
        <v>4</v>
      </c>
      <c r="BA376">
        <f>SUM(Pre[[#This Row],[1]:[46]])</f>
        <v>4</v>
      </c>
    </row>
    <row r="377" spans="1:53" x14ac:dyDescent="0.2">
      <c r="A377" t="s">
        <v>46</v>
      </c>
      <c r="B377" t="s">
        <v>6</v>
      </c>
      <c r="C377">
        <v>30396</v>
      </c>
      <c r="D377" t="s">
        <v>7</v>
      </c>
      <c r="E377" t="s">
        <v>14</v>
      </c>
      <c r="F377" t="s">
        <v>21</v>
      </c>
      <c r="AR377">
        <v>2</v>
      </c>
      <c r="BA377">
        <f>SUM(Pre[[#This Row],[1]:[46]])</f>
        <v>2</v>
      </c>
    </row>
    <row r="378" spans="1:53" x14ac:dyDescent="0.2">
      <c r="A378" t="s">
        <v>46</v>
      </c>
      <c r="B378" t="s">
        <v>6</v>
      </c>
      <c r="C378">
        <v>30481</v>
      </c>
      <c r="D378" t="s">
        <v>7</v>
      </c>
      <c r="E378" t="s">
        <v>8</v>
      </c>
      <c r="F378" t="s">
        <v>23</v>
      </c>
      <c r="J378">
        <v>1</v>
      </c>
      <c r="Y378">
        <v>2</v>
      </c>
      <c r="AK378">
        <v>1</v>
      </c>
      <c r="AZ378">
        <v>1</v>
      </c>
      <c r="BA378">
        <f>SUM(Pre[[#This Row],[1]:[46]])</f>
        <v>5</v>
      </c>
    </row>
    <row r="379" spans="1:53" x14ac:dyDescent="0.2">
      <c r="A379" t="s">
        <v>46</v>
      </c>
      <c r="B379" t="s">
        <v>6</v>
      </c>
      <c r="C379">
        <v>30920</v>
      </c>
      <c r="D379" t="s">
        <v>7</v>
      </c>
      <c r="E379" t="s">
        <v>12</v>
      </c>
      <c r="F379" t="s">
        <v>13</v>
      </c>
      <c r="BA379">
        <f>SUM(Pre[[#This Row],[1]:[46]])</f>
        <v>0</v>
      </c>
    </row>
    <row r="380" spans="1:53" x14ac:dyDescent="0.2">
      <c r="A380" t="s">
        <v>46</v>
      </c>
      <c r="B380" t="s">
        <v>6</v>
      </c>
      <c r="C380">
        <v>31443</v>
      </c>
      <c r="D380" t="s">
        <v>7</v>
      </c>
      <c r="E380" t="s">
        <v>12</v>
      </c>
      <c r="F380" t="s">
        <v>13</v>
      </c>
      <c r="AV380">
        <v>2</v>
      </c>
      <c r="BA380">
        <f>SUM(Pre[[#This Row],[1]:[46]])</f>
        <v>2</v>
      </c>
    </row>
    <row r="381" spans="1:53" x14ac:dyDescent="0.2">
      <c r="A381" t="s">
        <v>46</v>
      </c>
      <c r="B381" t="s">
        <v>6</v>
      </c>
      <c r="C381">
        <v>31648</v>
      </c>
      <c r="D381" t="s">
        <v>7</v>
      </c>
      <c r="E381" t="s">
        <v>14</v>
      </c>
      <c r="F381" t="s">
        <v>20</v>
      </c>
      <c r="N381">
        <v>1</v>
      </c>
      <c r="O381">
        <v>1</v>
      </c>
      <c r="AX381">
        <v>2</v>
      </c>
      <c r="BA381">
        <f>SUM(Pre[[#This Row],[1]:[46]])</f>
        <v>4</v>
      </c>
    </row>
    <row r="382" spans="1:53" x14ac:dyDescent="0.2">
      <c r="A382" t="s">
        <v>46</v>
      </c>
      <c r="B382" t="s">
        <v>6</v>
      </c>
      <c r="C382">
        <v>33857</v>
      </c>
      <c r="D382" t="s">
        <v>7</v>
      </c>
      <c r="E382" t="s">
        <v>8</v>
      </c>
      <c r="F382" t="s">
        <v>9</v>
      </c>
      <c r="G382">
        <v>1</v>
      </c>
      <c r="X382">
        <v>1</v>
      </c>
      <c r="AE382">
        <v>1</v>
      </c>
      <c r="AL382">
        <v>1</v>
      </c>
      <c r="AZ382">
        <v>1</v>
      </c>
      <c r="BA382">
        <f>SUM(Pre[[#This Row],[1]:[46]])</f>
        <v>5</v>
      </c>
    </row>
    <row r="383" spans="1:53" x14ac:dyDescent="0.2">
      <c r="A383" t="s">
        <v>46</v>
      </c>
      <c r="B383" t="s">
        <v>6</v>
      </c>
      <c r="C383">
        <v>881</v>
      </c>
      <c r="D383" t="s">
        <v>22</v>
      </c>
      <c r="E383" t="s">
        <v>8</v>
      </c>
      <c r="F383" t="s">
        <v>23</v>
      </c>
      <c r="Q383">
        <v>1</v>
      </c>
      <c r="AD383">
        <v>1</v>
      </c>
      <c r="AQ383">
        <v>1</v>
      </c>
      <c r="BA383">
        <f>SUM(Pre[[#This Row],[1]:[46]])</f>
        <v>3</v>
      </c>
    </row>
    <row r="384" spans="1:53" x14ac:dyDescent="0.2">
      <c r="A384" t="s">
        <v>46</v>
      </c>
      <c r="B384" t="s">
        <v>6</v>
      </c>
      <c r="C384">
        <v>1767</v>
      </c>
      <c r="D384" t="s">
        <v>22</v>
      </c>
      <c r="E384" t="s">
        <v>8</v>
      </c>
      <c r="F384" t="s">
        <v>23</v>
      </c>
      <c r="O384">
        <v>1</v>
      </c>
      <c r="AC384">
        <v>1</v>
      </c>
      <c r="AP384">
        <v>1</v>
      </c>
      <c r="AQ384">
        <v>1</v>
      </c>
      <c r="AR384">
        <v>3</v>
      </c>
      <c r="BA384">
        <f>SUM(Pre[[#This Row],[1]:[46]])</f>
        <v>7</v>
      </c>
    </row>
    <row r="385" spans="1:53" x14ac:dyDescent="0.2">
      <c r="A385" t="s">
        <v>46</v>
      </c>
      <c r="B385" t="s">
        <v>6</v>
      </c>
      <c r="C385">
        <v>6866</v>
      </c>
      <c r="D385" t="s">
        <v>22</v>
      </c>
      <c r="E385" t="s">
        <v>8</v>
      </c>
      <c r="F385" t="s">
        <v>23</v>
      </c>
      <c r="L385">
        <v>1</v>
      </c>
      <c r="AB385">
        <v>1</v>
      </c>
      <c r="AO385">
        <v>1</v>
      </c>
      <c r="AZ385">
        <v>1</v>
      </c>
      <c r="BA385">
        <f>SUM(Pre[[#This Row],[1]:[46]])</f>
        <v>4</v>
      </c>
    </row>
    <row r="386" spans="1:53" x14ac:dyDescent="0.2">
      <c r="A386" t="s">
        <v>46</v>
      </c>
      <c r="B386" t="s">
        <v>6</v>
      </c>
      <c r="C386">
        <v>7019</v>
      </c>
      <c r="D386" t="s">
        <v>22</v>
      </c>
      <c r="E386" t="s">
        <v>14</v>
      </c>
      <c r="F386" t="s">
        <v>20</v>
      </c>
      <c r="T386">
        <v>1</v>
      </c>
      <c r="Y386">
        <v>1</v>
      </c>
      <c r="AK386">
        <v>1</v>
      </c>
      <c r="AR386">
        <v>1</v>
      </c>
      <c r="AV386">
        <v>1</v>
      </c>
      <c r="BA386">
        <f>SUM(Pre[[#This Row],[1]:[46]])</f>
        <v>5</v>
      </c>
    </row>
    <row r="387" spans="1:53" x14ac:dyDescent="0.2">
      <c r="A387" t="s">
        <v>46</v>
      </c>
      <c r="B387" t="s">
        <v>6</v>
      </c>
      <c r="C387">
        <v>7832</v>
      </c>
      <c r="D387" t="s">
        <v>22</v>
      </c>
      <c r="E387" t="s">
        <v>8</v>
      </c>
      <c r="F387" t="s">
        <v>29</v>
      </c>
      <c r="H387">
        <v>1</v>
      </c>
      <c r="U387">
        <v>1</v>
      </c>
      <c r="BA387">
        <f>SUM(Pre[[#This Row],[1]:[46]])</f>
        <v>2</v>
      </c>
    </row>
    <row r="388" spans="1:53" x14ac:dyDescent="0.2">
      <c r="A388" t="s">
        <v>46</v>
      </c>
      <c r="B388" t="s">
        <v>6</v>
      </c>
      <c r="C388">
        <v>10008</v>
      </c>
      <c r="D388" t="s">
        <v>22</v>
      </c>
      <c r="E388" t="s">
        <v>8</v>
      </c>
      <c r="F388" t="s">
        <v>9</v>
      </c>
      <c r="H388">
        <v>1</v>
      </c>
      <c r="P388">
        <v>1</v>
      </c>
      <c r="AA388">
        <v>1</v>
      </c>
      <c r="AM388">
        <v>1</v>
      </c>
      <c r="AY388">
        <v>1</v>
      </c>
      <c r="BA388">
        <f>SUM(Pre[[#This Row],[1]:[46]])</f>
        <v>5</v>
      </c>
    </row>
    <row r="389" spans="1:53" x14ac:dyDescent="0.2">
      <c r="A389" t="s">
        <v>46</v>
      </c>
      <c r="B389" t="s">
        <v>6</v>
      </c>
      <c r="C389">
        <v>11414</v>
      </c>
      <c r="D389" t="s">
        <v>22</v>
      </c>
      <c r="E389" t="s">
        <v>8</v>
      </c>
      <c r="F389" t="s">
        <v>29</v>
      </c>
      <c r="N389">
        <v>1</v>
      </c>
      <c r="AA389">
        <v>1</v>
      </c>
      <c r="AN389">
        <v>1</v>
      </c>
      <c r="BA389">
        <f>SUM(Pre[[#This Row],[1]:[46]])</f>
        <v>3</v>
      </c>
    </row>
    <row r="390" spans="1:53" x14ac:dyDescent="0.2">
      <c r="A390" t="s">
        <v>46</v>
      </c>
      <c r="B390" t="s">
        <v>6</v>
      </c>
      <c r="C390">
        <v>15724</v>
      </c>
      <c r="D390" t="s">
        <v>22</v>
      </c>
      <c r="E390" t="s">
        <v>8</v>
      </c>
      <c r="F390" t="s">
        <v>9</v>
      </c>
      <c r="AV390">
        <v>1</v>
      </c>
      <c r="BA390">
        <f>SUM(Pre[[#This Row],[1]:[46]])</f>
        <v>1</v>
      </c>
    </row>
    <row r="391" spans="1:53" x14ac:dyDescent="0.2">
      <c r="A391" t="s">
        <v>46</v>
      </c>
      <c r="B391" t="s">
        <v>6</v>
      </c>
      <c r="C391">
        <v>19000</v>
      </c>
      <c r="D391" t="s">
        <v>22</v>
      </c>
      <c r="E391" t="s">
        <v>14</v>
      </c>
      <c r="F391" t="s">
        <v>20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2</v>
      </c>
      <c r="W391">
        <v>1</v>
      </c>
      <c r="X391">
        <v>1</v>
      </c>
      <c r="Y391">
        <v>1</v>
      </c>
      <c r="Z391">
        <v>2</v>
      </c>
      <c r="AB391">
        <v>1</v>
      </c>
      <c r="AC391">
        <v>1</v>
      </c>
      <c r="AD391">
        <v>1</v>
      </c>
      <c r="AE391">
        <v>2</v>
      </c>
      <c r="AG391">
        <v>1</v>
      </c>
      <c r="AH391">
        <v>1</v>
      </c>
      <c r="AI391">
        <v>1</v>
      </c>
      <c r="AJ391">
        <v>3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f>SUM(Pre[[#This Row],[1]:[46]])</f>
        <v>47</v>
      </c>
    </row>
    <row r="392" spans="1:53" x14ac:dyDescent="0.2">
      <c r="A392" t="s">
        <v>46</v>
      </c>
      <c r="B392" t="s">
        <v>6</v>
      </c>
      <c r="C392">
        <v>20121</v>
      </c>
      <c r="D392" t="s">
        <v>22</v>
      </c>
      <c r="E392" t="s">
        <v>8</v>
      </c>
      <c r="F392" t="s">
        <v>47</v>
      </c>
      <c r="R392">
        <v>1</v>
      </c>
      <c r="AE392">
        <v>1</v>
      </c>
      <c r="AQ392">
        <v>1</v>
      </c>
      <c r="BA392">
        <f>SUM(Pre[[#This Row],[1]:[46]])</f>
        <v>3</v>
      </c>
    </row>
    <row r="393" spans="1:53" x14ac:dyDescent="0.2">
      <c r="A393" t="s">
        <v>46</v>
      </c>
      <c r="B393" t="s">
        <v>6</v>
      </c>
      <c r="C393">
        <v>20121</v>
      </c>
      <c r="D393" t="s">
        <v>22</v>
      </c>
      <c r="E393" t="s">
        <v>8</v>
      </c>
      <c r="F393" t="s">
        <v>9</v>
      </c>
      <c r="BA393">
        <f>SUM(Pre[[#This Row],[1]:[46]])</f>
        <v>0</v>
      </c>
    </row>
    <row r="394" spans="1:53" x14ac:dyDescent="0.2">
      <c r="A394" t="s">
        <v>46</v>
      </c>
      <c r="B394" t="s">
        <v>6</v>
      </c>
      <c r="C394">
        <v>20121</v>
      </c>
      <c r="D394" t="s">
        <v>22</v>
      </c>
      <c r="E394" t="s">
        <v>8</v>
      </c>
      <c r="F394" t="s">
        <v>29</v>
      </c>
      <c r="G394">
        <v>1</v>
      </c>
      <c r="AM394">
        <v>1</v>
      </c>
      <c r="BA394">
        <f>SUM(Pre[[#This Row],[1]:[46]])</f>
        <v>2</v>
      </c>
    </row>
    <row r="395" spans="1:53" x14ac:dyDescent="0.2">
      <c r="A395" t="s">
        <v>46</v>
      </c>
      <c r="B395" t="s">
        <v>6</v>
      </c>
      <c r="C395">
        <v>24627</v>
      </c>
      <c r="D395" t="s">
        <v>22</v>
      </c>
      <c r="E395" t="s">
        <v>26</v>
      </c>
      <c r="F395" t="s">
        <v>27</v>
      </c>
      <c r="I395">
        <v>2</v>
      </c>
      <c r="S395">
        <v>1</v>
      </c>
      <c r="BA395">
        <f>SUM(Pre[[#This Row],[1]:[46]])</f>
        <v>3</v>
      </c>
    </row>
    <row r="396" spans="1:53" x14ac:dyDescent="0.2">
      <c r="A396" t="s">
        <v>46</v>
      </c>
      <c r="B396" t="s">
        <v>6</v>
      </c>
      <c r="C396">
        <v>24814</v>
      </c>
      <c r="D396" t="s">
        <v>22</v>
      </c>
      <c r="E396" t="s">
        <v>8</v>
      </c>
      <c r="F396" t="s">
        <v>9</v>
      </c>
      <c r="K396">
        <v>1</v>
      </c>
      <c r="AJ396">
        <v>1</v>
      </c>
      <c r="BA396">
        <f>SUM(Pre[[#This Row],[1]:[46]])</f>
        <v>2</v>
      </c>
    </row>
    <row r="397" spans="1:53" x14ac:dyDescent="0.2">
      <c r="A397" t="s">
        <v>46</v>
      </c>
      <c r="B397" t="s">
        <v>6</v>
      </c>
      <c r="C397">
        <v>24829</v>
      </c>
      <c r="D397" t="s">
        <v>22</v>
      </c>
      <c r="E397" t="s">
        <v>8</v>
      </c>
      <c r="F397" t="s">
        <v>23</v>
      </c>
      <c r="AA397">
        <v>1</v>
      </c>
      <c r="BA397">
        <f>SUM(Pre[[#This Row],[1]:[46]])</f>
        <v>1</v>
      </c>
    </row>
    <row r="398" spans="1:53" x14ac:dyDescent="0.2">
      <c r="A398" t="s">
        <v>46</v>
      </c>
      <c r="B398" t="s">
        <v>6</v>
      </c>
      <c r="C398">
        <v>24829</v>
      </c>
      <c r="D398" t="s">
        <v>22</v>
      </c>
      <c r="E398" t="s">
        <v>8</v>
      </c>
      <c r="F398" t="s">
        <v>9</v>
      </c>
      <c r="BA398">
        <f>SUM(Pre[[#This Row],[1]:[46]])</f>
        <v>0</v>
      </c>
    </row>
    <row r="399" spans="1:53" x14ac:dyDescent="0.2">
      <c r="A399" t="s">
        <v>46</v>
      </c>
      <c r="B399" t="s">
        <v>6</v>
      </c>
      <c r="C399">
        <v>25024</v>
      </c>
      <c r="D399" t="s">
        <v>22</v>
      </c>
      <c r="E399" t="s">
        <v>10</v>
      </c>
      <c r="F399" t="s">
        <v>11</v>
      </c>
      <c r="BA399">
        <f>SUM(Pre[[#This Row],[1]:[46]])</f>
        <v>0</v>
      </c>
    </row>
    <row r="400" spans="1:53" x14ac:dyDescent="0.2">
      <c r="A400" t="s">
        <v>46</v>
      </c>
      <c r="B400" t="s">
        <v>6</v>
      </c>
      <c r="C400">
        <v>25027</v>
      </c>
      <c r="D400" t="s">
        <v>22</v>
      </c>
      <c r="E400" t="s">
        <v>8</v>
      </c>
      <c r="F400" t="s">
        <v>23</v>
      </c>
      <c r="AE400">
        <v>1</v>
      </c>
      <c r="AS400">
        <v>1</v>
      </c>
      <c r="BA400">
        <f>SUM(Pre[[#This Row],[1]:[46]])</f>
        <v>2</v>
      </c>
    </row>
    <row r="401" spans="1:53" x14ac:dyDescent="0.2">
      <c r="A401" t="s">
        <v>46</v>
      </c>
      <c r="B401" t="s">
        <v>6</v>
      </c>
      <c r="C401">
        <v>25319</v>
      </c>
      <c r="D401" t="s">
        <v>22</v>
      </c>
      <c r="E401" t="s">
        <v>10</v>
      </c>
      <c r="F401" t="s">
        <v>11</v>
      </c>
      <c r="Q401">
        <v>1</v>
      </c>
      <c r="BA401">
        <f>SUM(Pre[[#This Row],[1]:[46]])</f>
        <v>1</v>
      </c>
    </row>
    <row r="402" spans="1:53" x14ac:dyDescent="0.2">
      <c r="A402" t="s">
        <v>46</v>
      </c>
      <c r="B402" t="s">
        <v>6</v>
      </c>
      <c r="C402">
        <v>25435</v>
      </c>
      <c r="D402" t="s">
        <v>22</v>
      </c>
      <c r="E402" t="s">
        <v>14</v>
      </c>
      <c r="F402" t="s">
        <v>31</v>
      </c>
      <c r="BA402">
        <f>SUM(Pre[[#This Row],[1]:[46]])</f>
        <v>0</v>
      </c>
    </row>
    <row r="403" spans="1:53" x14ac:dyDescent="0.2">
      <c r="A403" t="s">
        <v>46</v>
      </c>
      <c r="B403" t="s">
        <v>6</v>
      </c>
      <c r="C403">
        <v>27158</v>
      </c>
      <c r="D403" t="s">
        <v>22</v>
      </c>
      <c r="E403" t="s">
        <v>14</v>
      </c>
      <c r="F403" t="s">
        <v>28</v>
      </c>
      <c r="T403">
        <v>3</v>
      </c>
      <c r="BA403">
        <f>SUM(Pre[[#This Row],[1]:[46]])</f>
        <v>3</v>
      </c>
    </row>
    <row r="404" spans="1:53" x14ac:dyDescent="0.2">
      <c r="A404" t="s">
        <v>46</v>
      </c>
      <c r="B404" t="s">
        <v>6</v>
      </c>
      <c r="C404">
        <v>27335</v>
      </c>
      <c r="D404" t="s">
        <v>22</v>
      </c>
      <c r="E404" t="s">
        <v>8</v>
      </c>
      <c r="F404" t="s">
        <v>23</v>
      </c>
      <c r="G404">
        <v>1</v>
      </c>
      <c r="V404">
        <v>1</v>
      </c>
      <c r="AJ404">
        <v>1</v>
      </c>
      <c r="AX404">
        <v>1</v>
      </c>
      <c r="BA404">
        <f>SUM(Pre[[#This Row],[1]:[46]])</f>
        <v>4</v>
      </c>
    </row>
    <row r="405" spans="1:53" x14ac:dyDescent="0.2">
      <c r="A405" t="s">
        <v>46</v>
      </c>
      <c r="B405" t="s">
        <v>6</v>
      </c>
      <c r="C405">
        <v>27758</v>
      </c>
      <c r="D405" t="s">
        <v>22</v>
      </c>
      <c r="E405" t="s">
        <v>14</v>
      </c>
      <c r="F405" t="s">
        <v>19</v>
      </c>
      <c r="BA405">
        <f>SUM(Pre[[#This Row],[1]:[46]])</f>
        <v>0</v>
      </c>
    </row>
    <row r="406" spans="1:53" x14ac:dyDescent="0.2">
      <c r="A406" t="s">
        <v>46</v>
      </c>
      <c r="B406" t="s">
        <v>6</v>
      </c>
      <c r="C406">
        <v>28022</v>
      </c>
      <c r="D406" t="s">
        <v>22</v>
      </c>
      <c r="E406" t="s">
        <v>14</v>
      </c>
      <c r="F406" t="s">
        <v>19</v>
      </c>
      <c r="BA406">
        <f>SUM(Pre[[#This Row],[1]:[46]])</f>
        <v>0</v>
      </c>
    </row>
    <row r="407" spans="1:53" x14ac:dyDescent="0.2">
      <c r="A407" t="s">
        <v>46</v>
      </c>
      <c r="B407" t="s">
        <v>6</v>
      </c>
      <c r="C407">
        <v>28359</v>
      </c>
      <c r="D407" t="s">
        <v>22</v>
      </c>
      <c r="E407" t="s">
        <v>14</v>
      </c>
      <c r="F407" t="s">
        <v>35</v>
      </c>
      <c r="Q407">
        <v>1</v>
      </c>
      <c r="BA407">
        <f>SUM(Pre[[#This Row],[1]:[46]])</f>
        <v>1</v>
      </c>
    </row>
    <row r="408" spans="1:53" x14ac:dyDescent="0.2">
      <c r="A408" t="s">
        <v>46</v>
      </c>
      <c r="B408" t="s">
        <v>6</v>
      </c>
      <c r="C408">
        <v>30374</v>
      </c>
      <c r="D408" t="s">
        <v>22</v>
      </c>
      <c r="E408" t="s">
        <v>8</v>
      </c>
      <c r="F408" t="s">
        <v>9</v>
      </c>
      <c r="AD408">
        <v>1</v>
      </c>
      <c r="BA408">
        <f>SUM(Pre[[#This Row],[1]:[46]])</f>
        <v>1</v>
      </c>
    </row>
    <row r="409" spans="1:53" x14ac:dyDescent="0.2">
      <c r="A409" t="s">
        <v>46</v>
      </c>
      <c r="B409" t="s">
        <v>6</v>
      </c>
      <c r="C409">
        <v>33483</v>
      </c>
      <c r="D409" t="s">
        <v>22</v>
      </c>
      <c r="E409" t="s">
        <v>40</v>
      </c>
      <c r="F409" t="s">
        <v>44</v>
      </c>
      <c r="AS409">
        <v>1</v>
      </c>
      <c r="AW409">
        <v>1</v>
      </c>
      <c r="BA409">
        <f>SUM(Pre[[#This Row],[1]:[46]])</f>
        <v>2</v>
      </c>
    </row>
    <row r="410" spans="1:53" x14ac:dyDescent="0.2">
      <c r="A410" t="s">
        <v>46</v>
      </c>
      <c r="B410" t="s">
        <v>6</v>
      </c>
      <c r="C410">
        <v>1415</v>
      </c>
      <c r="D410" t="s">
        <v>7</v>
      </c>
      <c r="E410" t="s">
        <v>14</v>
      </c>
      <c r="F410" t="s">
        <v>31</v>
      </c>
      <c r="Z410">
        <v>2</v>
      </c>
      <c r="AO410">
        <v>1</v>
      </c>
      <c r="AT410">
        <v>1</v>
      </c>
      <c r="BA410">
        <f>SUM(Pre[[#This Row],[1]:[46]])</f>
        <v>4</v>
      </c>
    </row>
    <row r="411" spans="1:53" x14ac:dyDescent="0.2">
      <c r="A411" t="s">
        <v>46</v>
      </c>
      <c r="B411" t="s">
        <v>6</v>
      </c>
      <c r="C411">
        <v>1415</v>
      </c>
      <c r="D411" t="s">
        <v>7</v>
      </c>
      <c r="E411" t="s">
        <v>14</v>
      </c>
      <c r="F411" t="s">
        <v>28</v>
      </c>
      <c r="S411">
        <v>1</v>
      </c>
      <c r="Z411">
        <v>1</v>
      </c>
      <c r="AB411">
        <v>1</v>
      </c>
      <c r="AO411">
        <v>1</v>
      </c>
      <c r="AT411">
        <v>1</v>
      </c>
      <c r="BA411">
        <f>SUM(Pre[[#This Row],[1]:[46]])</f>
        <v>5</v>
      </c>
    </row>
    <row r="412" spans="1:53" x14ac:dyDescent="0.2">
      <c r="A412" t="s">
        <v>46</v>
      </c>
      <c r="B412" t="s">
        <v>6</v>
      </c>
      <c r="C412">
        <v>1617</v>
      </c>
      <c r="D412" t="s">
        <v>7</v>
      </c>
      <c r="E412" t="s">
        <v>14</v>
      </c>
      <c r="F412" t="s">
        <v>31</v>
      </c>
      <c r="T412">
        <v>1</v>
      </c>
      <c r="Z412">
        <v>1</v>
      </c>
      <c r="AJ412">
        <v>1</v>
      </c>
      <c r="AR412">
        <v>4</v>
      </c>
      <c r="AW412">
        <v>3</v>
      </c>
      <c r="BA412">
        <f>SUM(Pre[[#This Row],[1]:[46]])</f>
        <v>10</v>
      </c>
    </row>
    <row r="413" spans="1:53" x14ac:dyDescent="0.2">
      <c r="A413" t="s">
        <v>46</v>
      </c>
      <c r="B413" t="s">
        <v>6</v>
      </c>
      <c r="C413">
        <v>2338</v>
      </c>
      <c r="D413" t="s">
        <v>7</v>
      </c>
      <c r="E413" t="s">
        <v>14</v>
      </c>
      <c r="F413" t="s">
        <v>28</v>
      </c>
      <c r="S413">
        <v>1</v>
      </c>
      <c r="AF413">
        <v>1</v>
      </c>
      <c r="AT413">
        <v>1</v>
      </c>
      <c r="BA413">
        <f>SUM(Pre[[#This Row],[1]:[46]])</f>
        <v>3</v>
      </c>
    </row>
    <row r="414" spans="1:53" x14ac:dyDescent="0.2">
      <c r="A414" t="s">
        <v>46</v>
      </c>
      <c r="B414" t="s">
        <v>6</v>
      </c>
      <c r="C414">
        <v>3087</v>
      </c>
      <c r="D414" t="s">
        <v>7</v>
      </c>
      <c r="E414" t="s">
        <v>14</v>
      </c>
      <c r="F414" t="s">
        <v>15</v>
      </c>
      <c r="G414">
        <v>2</v>
      </c>
      <c r="H414">
        <v>1</v>
      </c>
      <c r="K414">
        <v>1</v>
      </c>
      <c r="O414">
        <v>1</v>
      </c>
      <c r="S414">
        <v>1</v>
      </c>
      <c r="W414">
        <v>1</v>
      </c>
      <c r="AA414">
        <v>1</v>
      </c>
      <c r="AE414">
        <v>1</v>
      </c>
      <c r="AI414">
        <v>1</v>
      </c>
      <c r="AM414">
        <v>1</v>
      </c>
      <c r="AQ414">
        <v>1</v>
      </c>
      <c r="AU414">
        <v>1</v>
      </c>
      <c r="AY414">
        <v>1</v>
      </c>
      <c r="BA414">
        <f>SUM(Pre[[#This Row],[1]:[46]])</f>
        <v>14</v>
      </c>
    </row>
    <row r="415" spans="1:53" x14ac:dyDescent="0.2">
      <c r="A415" t="s">
        <v>46</v>
      </c>
      <c r="B415" t="s">
        <v>6</v>
      </c>
      <c r="C415">
        <v>3228</v>
      </c>
      <c r="D415" t="s">
        <v>7</v>
      </c>
      <c r="E415" t="s">
        <v>14</v>
      </c>
      <c r="F415" t="s">
        <v>19</v>
      </c>
      <c r="T415">
        <v>1</v>
      </c>
      <c r="BA415">
        <f>SUM(Pre[[#This Row],[1]:[46]])</f>
        <v>1</v>
      </c>
    </row>
    <row r="416" spans="1:53" x14ac:dyDescent="0.2">
      <c r="A416" t="s">
        <v>46</v>
      </c>
      <c r="B416" t="s">
        <v>6</v>
      </c>
      <c r="C416">
        <v>3228</v>
      </c>
      <c r="D416" t="s">
        <v>7</v>
      </c>
      <c r="E416" t="s">
        <v>14</v>
      </c>
      <c r="F416" t="s">
        <v>21</v>
      </c>
      <c r="T416">
        <v>1</v>
      </c>
      <c r="AP416">
        <v>1</v>
      </c>
      <c r="BA416">
        <f>SUM(Pre[[#This Row],[1]:[46]])</f>
        <v>2</v>
      </c>
    </row>
    <row r="417" spans="1:53" x14ac:dyDescent="0.2">
      <c r="A417" t="s">
        <v>46</v>
      </c>
      <c r="B417" t="s">
        <v>6</v>
      </c>
      <c r="C417">
        <v>3233</v>
      </c>
      <c r="D417" t="s">
        <v>7</v>
      </c>
      <c r="E417" t="s">
        <v>14</v>
      </c>
      <c r="F417" t="s">
        <v>20</v>
      </c>
      <c r="H417">
        <v>2</v>
      </c>
      <c r="L417">
        <v>1</v>
      </c>
      <c r="P417">
        <v>1</v>
      </c>
      <c r="T417">
        <v>1</v>
      </c>
      <c r="X417">
        <v>2</v>
      </c>
      <c r="AB417">
        <v>1</v>
      </c>
      <c r="AF417">
        <v>1</v>
      </c>
      <c r="AJ417">
        <v>1</v>
      </c>
      <c r="AN417">
        <v>1</v>
      </c>
      <c r="AR417">
        <v>1</v>
      </c>
      <c r="AV417">
        <v>1</v>
      </c>
      <c r="AW417">
        <v>2</v>
      </c>
      <c r="AZ417">
        <v>1</v>
      </c>
      <c r="BA417">
        <f>SUM(Pre[[#This Row],[1]:[46]])</f>
        <v>16</v>
      </c>
    </row>
    <row r="418" spans="1:53" x14ac:dyDescent="0.2">
      <c r="A418" t="s">
        <v>46</v>
      </c>
      <c r="B418" t="s">
        <v>6</v>
      </c>
      <c r="C418">
        <v>3344</v>
      </c>
      <c r="D418" t="s">
        <v>7</v>
      </c>
      <c r="E418" t="s">
        <v>14</v>
      </c>
      <c r="F418" t="s">
        <v>20</v>
      </c>
      <c r="R418">
        <v>1</v>
      </c>
      <c r="T418">
        <v>1</v>
      </c>
      <c r="AJ418">
        <v>1</v>
      </c>
      <c r="BA418">
        <f>SUM(Pre[[#This Row],[1]:[46]])</f>
        <v>3</v>
      </c>
    </row>
    <row r="419" spans="1:53" x14ac:dyDescent="0.2">
      <c r="A419" t="s">
        <v>46</v>
      </c>
      <c r="B419" t="s">
        <v>6</v>
      </c>
      <c r="C419">
        <v>4434</v>
      </c>
      <c r="D419" t="s">
        <v>7</v>
      </c>
      <c r="E419" t="s">
        <v>10</v>
      </c>
      <c r="F419" t="s">
        <v>11</v>
      </c>
      <c r="AV419">
        <v>1</v>
      </c>
      <c r="BA419">
        <f>SUM(Pre[[#This Row],[1]:[46]])</f>
        <v>1</v>
      </c>
    </row>
    <row r="420" spans="1:53" x14ac:dyDescent="0.2">
      <c r="A420" t="s">
        <v>46</v>
      </c>
      <c r="B420" t="s">
        <v>6</v>
      </c>
      <c r="C420">
        <v>4434</v>
      </c>
      <c r="D420" t="s">
        <v>7</v>
      </c>
      <c r="E420" t="s">
        <v>14</v>
      </c>
      <c r="F420" t="s">
        <v>20</v>
      </c>
      <c r="AT420">
        <v>1</v>
      </c>
      <c r="AV420">
        <v>1</v>
      </c>
      <c r="BA420">
        <f>SUM(Pre[[#This Row],[1]:[46]])</f>
        <v>2</v>
      </c>
    </row>
    <row r="421" spans="1:53" x14ac:dyDescent="0.2">
      <c r="A421" t="s">
        <v>46</v>
      </c>
      <c r="B421" t="s">
        <v>6</v>
      </c>
      <c r="C421">
        <v>4486</v>
      </c>
      <c r="D421" t="s">
        <v>7</v>
      </c>
      <c r="E421" t="s">
        <v>8</v>
      </c>
      <c r="F421" t="s">
        <v>23</v>
      </c>
      <c r="N421">
        <v>1</v>
      </c>
      <c r="AA421">
        <v>1</v>
      </c>
      <c r="AN421">
        <v>1</v>
      </c>
      <c r="AZ421">
        <v>1</v>
      </c>
      <c r="BA421">
        <f>SUM(Pre[[#This Row],[1]:[46]])</f>
        <v>4</v>
      </c>
    </row>
    <row r="422" spans="1:53" x14ac:dyDescent="0.2">
      <c r="A422" t="s">
        <v>46</v>
      </c>
      <c r="B422" t="s">
        <v>6</v>
      </c>
      <c r="C422">
        <v>4486</v>
      </c>
      <c r="D422" t="s">
        <v>7</v>
      </c>
      <c r="E422" t="s">
        <v>14</v>
      </c>
      <c r="F422" t="s">
        <v>31</v>
      </c>
      <c r="N422">
        <v>1</v>
      </c>
      <c r="AA422">
        <v>1</v>
      </c>
      <c r="AN422">
        <v>1</v>
      </c>
      <c r="AZ422">
        <v>1</v>
      </c>
      <c r="BA422">
        <f>SUM(Pre[[#This Row],[1]:[46]])</f>
        <v>4</v>
      </c>
    </row>
    <row r="423" spans="1:53" x14ac:dyDescent="0.2">
      <c r="A423" t="s">
        <v>46</v>
      </c>
      <c r="B423" t="s">
        <v>6</v>
      </c>
      <c r="C423">
        <v>4589</v>
      </c>
      <c r="D423" t="s">
        <v>7</v>
      </c>
      <c r="E423" t="s">
        <v>14</v>
      </c>
      <c r="F423" t="s">
        <v>31</v>
      </c>
      <c r="J423">
        <v>1</v>
      </c>
      <c r="BA423">
        <f>SUM(Pre[[#This Row],[1]:[46]])</f>
        <v>1</v>
      </c>
    </row>
    <row r="424" spans="1:53" x14ac:dyDescent="0.2">
      <c r="A424" t="s">
        <v>46</v>
      </c>
      <c r="B424" t="s">
        <v>6</v>
      </c>
      <c r="C424">
        <v>4589</v>
      </c>
      <c r="D424" t="s">
        <v>7</v>
      </c>
      <c r="E424" t="s">
        <v>14</v>
      </c>
      <c r="F424" t="s">
        <v>28</v>
      </c>
      <c r="I424">
        <v>2</v>
      </c>
      <c r="BA424">
        <f>SUM(Pre[[#This Row],[1]:[46]])</f>
        <v>2</v>
      </c>
    </row>
    <row r="425" spans="1:53" x14ac:dyDescent="0.2">
      <c r="A425" t="s">
        <v>46</v>
      </c>
      <c r="B425" t="s">
        <v>6</v>
      </c>
      <c r="C425">
        <v>5760</v>
      </c>
      <c r="D425" t="s">
        <v>7</v>
      </c>
      <c r="E425" t="s">
        <v>14</v>
      </c>
      <c r="F425" t="s">
        <v>20</v>
      </c>
      <c r="G425">
        <v>1</v>
      </c>
      <c r="BA425">
        <f>SUM(Pre[[#This Row],[1]:[46]])</f>
        <v>1</v>
      </c>
    </row>
    <row r="426" spans="1:53" x14ac:dyDescent="0.2">
      <c r="A426" t="s">
        <v>46</v>
      </c>
      <c r="B426" t="s">
        <v>6</v>
      </c>
      <c r="C426">
        <v>6865</v>
      </c>
      <c r="D426" t="s">
        <v>7</v>
      </c>
      <c r="E426" t="s">
        <v>14</v>
      </c>
      <c r="F426" t="s">
        <v>15</v>
      </c>
      <c r="P426">
        <v>1</v>
      </c>
      <c r="AA426">
        <v>1</v>
      </c>
      <c r="AD426">
        <v>1</v>
      </c>
      <c r="AR426">
        <v>1</v>
      </c>
      <c r="AW426">
        <v>1</v>
      </c>
      <c r="BA426">
        <f>SUM(Pre[[#This Row],[1]:[46]])</f>
        <v>5</v>
      </c>
    </row>
    <row r="427" spans="1:53" x14ac:dyDescent="0.2">
      <c r="A427" t="s">
        <v>46</v>
      </c>
      <c r="B427" t="s">
        <v>6</v>
      </c>
      <c r="C427">
        <v>7767</v>
      </c>
      <c r="D427" t="s">
        <v>7</v>
      </c>
      <c r="E427" t="s">
        <v>14</v>
      </c>
      <c r="F427" t="s">
        <v>35</v>
      </c>
      <c r="BA427">
        <f>SUM(Pre[[#This Row],[1]:[46]])</f>
        <v>0</v>
      </c>
    </row>
    <row r="428" spans="1:53" x14ac:dyDescent="0.2">
      <c r="A428" t="s">
        <v>46</v>
      </c>
      <c r="B428" t="s">
        <v>6</v>
      </c>
      <c r="C428">
        <v>9121</v>
      </c>
      <c r="D428" t="s">
        <v>7</v>
      </c>
      <c r="E428" t="s">
        <v>8</v>
      </c>
      <c r="F428" t="s">
        <v>23</v>
      </c>
      <c r="K428">
        <v>1</v>
      </c>
      <c r="BA428">
        <f>SUM(Pre[[#This Row],[1]:[46]])</f>
        <v>1</v>
      </c>
    </row>
    <row r="429" spans="1:53" x14ac:dyDescent="0.2">
      <c r="A429" t="s">
        <v>46</v>
      </c>
      <c r="B429" t="s">
        <v>6</v>
      </c>
      <c r="C429">
        <v>10288</v>
      </c>
      <c r="D429" t="s">
        <v>7</v>
      </c>
      <c r="E429" t="s">
        <v>8</v>
      </c>
      <c r="F429" t="s">
        <v>23</v>
      </c>
      <c r="I429">
        <v>1</v>
      </c>
      <c r="V429">
        <v>1</v>
      </c>
      <c r="BA429">
        <f>SUM(Pre[[#This Row],[1]:[46]])</f>
        <v>2</v>
      </c>
    </row>
    <row r="430" spans="1:53" x14ac:dyDescent="0.2">
      <c r="A430" t="s">
        <v>46</v>
      </c>
      <c r="B430" t="s">
        <v>6</v>
      </c>
      <c r="C430">
        <v>10921</v>
      </c>
      <c r="D430" t="s">
        <v>7</v>
      </c>
      <c r="E430" t="s">
        <v>8</v>
      </c>
      <c r="F430" t="s">
        <v>23</v>
      </c>
      <c r="Q430">
        <v>1</v>
      </c>
      <c r="AE430">
        <v>1</v>
      </c>
      <c r="AT430">
        <v>1</v>
      </c>
      <c r="BA430">
        <f>SUM(Pre[[#This Row],[1]:[46]])</f>
        <v>3</v>
      </c>
    </row>
    <row r="431" spans="1:53" x14ac:dyDescent="0.2">
      <c r="A431" t="s">
        <v>46</v>
      </c>
      <c r="B431" t="s">
        <v>6</v>
      </c>
      <c r="C431">
        <v>11026</v>
      </c>
      <c r="D431" t="s">
        <v>7</v>
      </c>
      <c r="E431" t="s">
        <v>8</v>
      </c>
      <c r="F431" t="s">
        <v>23</v>
      </c>
      <c r="AI431">
        <v>1</v>
      </c>
      <c r="AV431">
        <v>1</v>
      </c>
      <c r="BA431">
        <f>SUM(Pre[[#This Row],[1]:[46]])</f>
        <v>2</v>
      </c>
    </row>
    <row r="432" spans="1:53" x14ac:dyDescent="0.2">
      <c r="A432" t="s">
        <v>46</v>
      </c>
      <c r="B432" t="s">
        <v>6</v>
      </c>
      <c r="C432">
        <v>11625</v>
      </c>
      <c r="D432" t="s">
        <v>7</v>
      </c>
      <c r="E432" t="s">
        <v>14</v>
      </c>
      <c r="F432" t="s">
        <v>31</v>
      </c>
      <c r="Q432">
        <v>1</v>
      </c>
      <c r="X432">
        <v>1</v>
      </c>
      <c r="AL432">
        <v>1</v>
      </c>
      <c r="AY432">
        <v>1</v>
      </c>
      <c r="AZ432">
        <v>1</v>
      </c>
      <c r="BA432">
        <f>SUM(Pre[[#This Row],[1]:[46]])</f>
        <v>5</v>
      </c>
    </row>
    <row r="433" spans="1:53" x14ac:dyDescent="0.2">
      <c r="A433" t="s">
        <v>46</v>
      </c>
      <c r="B433" t="s">
        <v>6</v>
      </c>
      <c r="C433">
        <v>13423</v>
      </c>
      <c r="D433" t="s">
        <v>7</v>
      </c>
      <c r="E433" t="s">
        <v>14</v>
      </c>
      <c r="F433" t="s">
        <v>31</v>
      </c>
      <c r="AA433">
        <v>1</v>
      </c>
      <c r="BA433">
        <f>SUM(Pre[[#This Row],[1]:[46]])</f>
        <v>1</v>
      </c>
    </row>
    <row r="434" spans="1:53" x14ac:dyDescent="0.2">
      <c r="A434" t="s">
        <v>46</v>
      </c>
      <c r="B434" t="s">
        <v>6</v>
      </c>
      <c r="C434">
        <v>13423</v>
      </c>
      <c r="D434" t="s">
        <v>7</v>
      </c>
      <c r="E434" t="s">
        <v>14</v>
      </c>
      <c r="F434" t="s">
        <v>28</v>
      </c>
      <c r="AA434">
        <v>1</v>
      </c>
      <c r="BA434">
        <f>SUM(Pre[[#This Row],[1]:[46]])</f>
        <v>1</v>
      </c>
    </row>
    <row r="435" spans="1:53" x14ac:dyDescent="0.2">
      <c r="A435" t="s">
        <v>46</v>
      </c>
      <c r="B435" t="s">
        <v>6</v>
      </c>
      <c r="C435">
        <v>16040</v>
      </c>
      <c r="D435" t="s">
        <v>7</v>
      </c>
      <c r="E435" t="s">
        <v>14</v>
      </c>
      <c r="F435" t="s">
        <v>15</v>
      </c>
      <c r="K435">
        <v>1</v>
      </c>
      <c r="O435">
        <v>1</v>
      </c>
      <c r="Q435">
        <v>1</v>
      </c>
      <c r="U435">
        <v>1</v>
      </c>
      <c r="AA435">
        <v>1</v>
      </c>
      <c r="BA435">
        <f>SUM(Pre[[#This Row],[1]:[46]])</f>
        <v>5</v>
      </c>
    </row>
    <row r="436" spans="1:53" x14ac:dyDescent="0.2">
      <c r="A436" t="s">
        <v>46</v>
      </c>
      <c r="B436" t="s">
        <v>6</v>
      </c>
      <c r="C436">
        <v>16174</v>
      </c>
      <c r="D436" t="s">
        <v>7</v>
      </c>
      <c r="E436" t="s">
        <v>14</v>
      </c>
      <c r="F436" t="s">
        <v>35</v>
      </c>
      <c r="AZ436">
        <v>1</v>
      </c>
      <c r="BA436">
        <f>SUM(Pre[[#This Row],[1]:[46]])</f>
        <v>1</v>
      </c>
    </row>
    <row r="437" spans="1:53" x14ac:dyDescent="0.2">
      <c r="A437" t="s">
        <v>46</v>
      </c>
      <c r="B437" t="s">
        <v>6</v>
      </c>
      <c r="C437">
        <v>16174</v>
      </c>
      <c r="D437" t="s">
        <v>7</v>
      </c>
      <c r="E437" t="s">
        <v>14</v>
      </c>
      <c r="F437" t="s">
        <v>20</v>
      </c>
      <c r="V437">
        <v>1</v>
      </c>
      <c r="BA437">
        <f>SUM(Pre[[#This Row],[1]:[46]])</f>
        <v>1</v>
      </c>
    </row>
    <row r="438" spans="1:53" x14ac:dyDescent="0.2">
      <c r="A438" t="s">
        <v>46</v>
      </c>
      <c r="B438" t="s">
        <v>6</v>
      </c>
      <c r="C438">
        <v>24790</v>
      </c>
      <c r="D438" t="s">
        <v>7</v>
      </c>
      <c r="E438" t="s">
        <v>10</v>
      </c>
      <c r="F438" t="s">
        <v>11</v>
      </c>
      <c r="AV438">
        <v>1</v>
      </c>
      <c r="BA438">
        <f>SUM(Pre[[#This Row],[1]:[46]])</f>
        <v>1</v>
      </c>
    </row>
    <row r="439" spans="1:53" x14ac:dyDescent="0.2">
      <c r="A439" t="s">
        <v>46</v>
      </c>
      <c r="B439" t="s">
        <v>6</v>
      </c>
      <c r="C439">
        <v>24831</v>
      </c>
      <c r="D439" t="s">
        <v>7</v>
      </c>
      <c r="E439" t="s">
        <v>10</v>
      </c>
      <c r="F439" t="s">
        <v>11</v>
      </c>
      <c r="I439">
        <v>1</v>
      </c>
      <c r="BA439">
        <f>SUM(Pre[[#This Row],[1]:[46]])</f>
        <v>1</v>
      </c>
    </row>
    <row r="440" spans="1:53" x14ac:dyDescent="0.2">
      <c r="A440" t="s">
        <v>46</v>
      </c>
      <c r="B440" t="s">
        <v>6</v>
      </c>
      <c r="C440">
        <v>25139</v>
      </c>
      <c r="D440" t="s">
        <v>7</v>
      </c>
      <c r="E440" t="s">
        <v>14</v>
      </c>
      <c r="F440" t="s">
        <v>28</v>
      </c>
      <c r="Q440">
        <v>1</v>
      </c>
      <c r="BA440">
        <f>SUM(Pre[[#This Row],[1]:[46]])</f>
        <v>1</v>
      </c>
    </row>
    <row r="441" spans="1:53" x14ac:dyDescent="0.2">
      <c r="A441" t="s">
        <v>46</v>
      </c>
      <c r="B441" t="s">
        <v>6</v>
      </c>
      <c r="C441">
        <v>29534</v>
      </c>
      <c r="D441" t="s">
        <v>7</v>
      </c>
      <c r="E441" t="s">
        <v>14</v>
      </c>
      <c r="F441" t="s">
        <v>31</v>
      </c>
      <c r="V441">
        <v>1</v>
      </c>
      <c r="BA441">
        <f>SUM(Pre[[#This Row],[1]:[46]])</f>
        <v>1</v>
      </c>
    </row>
    <row r="442" spans="1:53" x14ac:dyDescent="0.2">
      <c r="A442" t="s">
        <v>46</v>
      </c>
      <c r="B442" t="s">
        <v>6</v>
      </c>
      <c r="C442">
        <v>29568</v>
      </c>
      <c r="D442" t="s">
        <v>7</v>
      </c>
      <c r="E442" t="s">
        <v>14</v>
      </c>
      <c r="F442" t="s">
        <v>20</v>
      </c>
      <c r="N442">
        <v>1</v>
      </c>
      <c r="BA442">
        <f>SUM(Pre[[#This Row],[1]:[46]])</f>
        <v>1</v>
      </c>
    </row>
    <row r="443" spans="1:53" x14ac:dyDescent="0.2">
      <c r="A443" t="s">
        <v>46</v>
      </c>
      <c r="B443" t="s">
        <v>6</v>
      </c>
      <c r="C443">
        <v>29983</v>
      </c>
      <c r="D443" t="s">
        <v>7</v>
      </c>
      <c r="E443" t="s">
        <v>14</v>
      </c>
      <c r="F443" t="s">
        <v>20</v>
      </c>
      <c r="AH443">
        <v>1</v>
      </c>
      <c r="BA443">
        <f>SUM(Pre[[#This Row],[1]:[46]])</f>
        <v>1</v>
      </c>
    </row>
    <row r="444" spans="1:53" x14ac:dyDescent="0.2">
      <c r="A444" t="s">
        <v>46</v>
      </c>
      <c r="B444" t="s">
        <v>6</v>
      </c>
      <c r="C444">
        <v>30185</v>
      </c>
      <c r="D444" t="s">
        <v>7</v>
      </c>
      <c r="E444" t="s">
        <v>14</v>
      </c>
      <c r="F444" t="s">
        <v>31</v>
      </c>
      <c r="AJ444">
        <v>1</v>
      </c>
      <c r="BA444">
        <f>SUM(Pre[[#This Row],[1]:[46]])</f>
        <v>1</v>
      </c>
    </row>
    <row r="445" spans="1:53" x14ac:dyDescent="0.2">
      <c r="A445" t="s">
        <v>46</v>
      </c>
      <c r="B445" t="s">
        <v>6</v>
      </c>
      <c r="C445">
        <v>31828</v>
      </c>
      <c r="D445" t="s">
        <v>7</v>
      </c>
      <c r="E445" t="s">
        <v>14</v>
      </c>
      <c r="F445" t="s">
        <v>21</v>
      </c>
      <c r="Q445">
        <v>2</v>
      </c>
      <c r="AB445">
        <v>1</v>
      </c>
      <c r="AO445">
        <v>1</v>
      </c>
      <c r="BA445">
        <f>SUM(Pre[[#This Row],[1]:[46]])</f>
        <v>4</v>
      </c>
    </row>
    <row r="446" spans="1:53" x14ac:dyDescent="0.2">
      <c r="A446" t="s">
        <v>46</v>
      </c>
      <c r="B446" t="s">
        <v>6</v>
      </c>
      <c r="C446">
        <v>845</v>
      </c>
      <c r="D446" t="s">
        <v>22</v>
      </c>
      <c r="E446" t="s">
        <v>14</v>
      </c>
      <c r="F446" t="s">
        <v>20</v>
      </c>
      <c r="G446">
        <v>1</v>
      </c>
      <c r="J446">
        <v>1</v>
      </c>
      <c r="N446">
        <v>1</v>
      </c>
      <c r="R446">
        <v>1</v>
      </c>
      <c r="U446">
        <v>1</v>
      </c>
      <c r="X446">
        <v>1</v>
      </c>
      <c r="AA446">
        <v>1</v>
      </c>
      <c r="AE446">
        <v>1</v>
      </c>
      <c r="AH446">
        <v>1</v>
      </c>
      <c r="AL446">
        <v>1</v>
      </c>
      <c r="AM446">
        <v>4</v>
      </c>
      <c r="AP446">
        <v>1</v>
      </c>
      <c r="AV446">
        <v>1</v>
      </c>
      <c r="BA446">
        <f>SUM(Pre[[#This Row],[1]:[46]])</f>
        <v>16</v>
      </c>
    </row>
    <row r="447" spans="1:53" x14ac:dyDescent="0.2">
      <c r="A447" t="s">
        <v>46</v>
      </c>
      <c r="B447" t="s">
        <v>6</v>
      </c>
      <c r="C447">
        <v>4424</v>
      </c>
      <c r="D447" t="s">
        <v>22</v>
      </c>
      <c r="E447" t="s">
        <v>14</v>
      </c>
      <c r="F447" t="s">
        <v>19</v>
      </c>
      <c r="Q447">
        <v>1</v>
      </c>
      <c r="BA447">
        <f>SUM(Pre[[#This Row],[1]:[46]])</f>
        <v>1</v>
      </c>
    </row>
    <row r="448" spans="1:53" x14ac:dyDescent="0.2">
      <c r="A448" t="s">
        <v>46</v>
      </c>
      <c r="B448" t="s">
        <v>6</v>
      </c>
      <c r="C448">
        <v>5463</v>
      </c>
      <c r="D448" t="s">
        <v>22</v>
      </c>
      <c r="E448" t="s">
        <v>14</v>
      </c>
      <c r="F448" t="s">
        <v>35</v>
      </c>
      <c r="AE448">
        <v>1</v>
      </c>
      <c r="AF448">
        <v>1</v>
      </c>
      <c r="AR448">
        <v>1</v>
      </c>
      <c r="BA448">
        <f>SUM(Pre[[#This Row],[1]:[46]])</f>
        <v>3</v>
      </c>
    </row>
    <row r="449" spans="1:53" x14ac:dyDescent="0.2">
      <c r="A449" t="s">
        <v>46</v>
      </c>
      <c r="B449" t="s">
        <v>6</v>
      </c>
      <c r="C449">
        <v>7893</v>
      </c>
      <c r="D449" t="s">
        <v>22</v>
      </c>
      <c r="E449" t="s">
        <v>8</v>
      </c>
      <c r="F449" t="s">
        <v>30</v>
      </c>
      <c r="K449">
        <v>2</v>
      </c>
      <c r="W449">
        <v>1</v>
      </c>
      <c r="AJ449">
        <v>1</v>
      </c>
      <c r="AV449">
        <v>1</v>
      </c>
      <c r="BA449">
        <f>SUM(Pre[[#This Row],[1]:[46]])</f>
        <v>5</v>
      </c>
    </row>
    <row r="450" spans="1:53" x14ac:dyDescent="0.2">
      <c r="A450" t="s">
        <v>46</v>
      </c>
      <c r="B450" t="s">
        <v>6</v>
      </c>
      <c r="C450">
        <v>8898</v>
      </c>
      <c r="D450" t="s">
        <v>22</v>
      </c>
      <c r="E450" t="s">
        <v>14</v>
      </c>
      <c r="F450" t="s">
        <v>15</v>
      </c>
      <c r="G450">
        <v>1</v>
      </c>
      <c r="J450">
        <v>1</v>
      </c>
      <c r="Y450">
        <v>1</v>
      </c>
      <c r="AF450">
        <v>1</v>
      </c>
      <c r="AR450">
        <v>1</v>
      </c>
      <c r="BA450">
        <f>SUM(Pre[[#This Row],[1]:[46]])</f>
        <v>5</v>
      </c>
    </row>
    <row r="451" spans="1:53" x14ac:dyDescent="0.2">
      <c r="A451" t="s">
        <v>46</v>
      </c>
      <c r="B451" t="s">
        <v>6</v>
      </c>
      <c r="C451">
        <v>11214</v>
      </c>
      <c r="D451" t="s">
        <v>22</v>
      </c>
      <c r="E451" t="s">
        <v>8</v>
      </c>
      <c r="F451" t="s">
        <v>23</v>
      </c>
      <c r="I451">
        <v>3</v>
      </c>
      <c r="V451">
        <v>1</v>
      </c>
      <c r="AC451">
        <v>1</v>
      </c>
      <c r="AJ451">
        <v>1</v>
      </c>
      <c r="AO451">
        <v>1</v>
      </c>
      <c r="BA451">
        <f>SUM(Pre[[#This Row],[1]:[46]])</f>
        <v>7</v>
      </c>
    </row>
    <row r="452" spans="1:53" x14ac:dyDescent="0.2">
      <c r="A452" t="s">
        <v>46</v>
      </c>
      <c r="B452" t="s">
        <v>6</v>
      </c>
      <c r="C452">
        <v>12044</v>
      </c>
      <c r="D452" t="s">
        <v>22</v>
      </c>
      <c r="E452" t="s">
        <v>14</v>
      </c>
      <c r="F452" t="s">
        <v>21</v>
      </c>
      <c r="J452">
        <v>1</v>
      </c>
      <c r="W452">
        <v>1</v>
      </c>
      <c r="AL452">
        <v>1</v>
      </c>
      <c r="AX452">
        <v>1</v>
      </c>
      <c r="BA452">
        <f>SUM(Pre[[#This Row],[1]:[46]])</f>
        <v>4</v>
      </c>
    </row>
    <row r="453" spans="1:53" x14ac:dyDescent="0.2">
      <c r="A453" t="s">
        <v>46</v>
      </c>
      <c r="B453" t="s">
        <v>6</v>
      </c>
      <c r="C453">
        <v>14175</v>
      </c>
      <c r="D453" t="s">
        <v>22</v>
      </c>
      <c r="E453" t="s">
        <v>14</v>
      </c>
      <c r="F453" t="s">
        <v>19</v>
      </c>
      <c r="AN453">
        <v>1</v>
      </c>
      <c r="BA453">
        <f>SUM(Pre[[#This Row],[1]:[46]])</f>
        <v>1</v>
      </c>
    </row>
    <row r="454" spans="1:53" x14ac:dyDescent="0.2">
      <c r="A454" t="s">
        <v>46</v>
      </c>
      <c r="B454" t="s">
        <v>6</v>
      </c>
      <c r="C454">
        <v>16141</v>
      </c>
      <c r="D454" t="s">
        <v>22</v>
      </c>
      <c r="E454" t="s">
        <v>14</v>
      </c>
      <c r="F454" t="s">
        <v>15</v>
      </c>
      <c r="Y454">
        <v>1</v>
      </c>
      <c r="AM454">
        <v>1</v>
      </c>
      <c r="AP454">
        <v>1</v>
      </c>
      <c r="AR454">
        <v>1</v>
      </c>
      <c r="BA454">
        <f>SUM(Pre[[#This Row],[1]:[46]])</f>
        <v>4</v>
      </c>
    </row>
    <row r="455" spans="1:53" x14ac:dyDescent="0.2">
      <c r="A455" t="s">
        <v>46</v>
      </c>
      <c r="B455" t="s">
        <v>6</v>
      </c>
      <c r="C455">
        <v>18938</v>
      </c>
      <c r="D455" t="s">
        <v>22</v>
      </c>
      <c r="E455" t="s">
        <v>14</v>
      </c>
      <c r="F455" t="s">
        <v>31</v>
      </c>
      <c r="AF455">
        <v>1</v>
      </c>
      <c r="BA455">
        <f>SUM(Pre[[#This Row],[1]:[46]])</f>
        <v>1</v>
      </c>
    </row>
    <row r="456" spans="1:53" x14ac:dyDescent="0.2">
      <c r="A456" t="s">
        <v>46</v>
      </c>
      <c r="B456" t="s">
        <v>6</v>
      </c>
      <c r="C456">
        <v>20257</v>
      </c>
      <c r="D456" t="s">
        <v>22</v>
      </c>
      <c r="E456" t="s">
        <v>14</v>
      </c>
      <c r="F456" t="s">
        <v>31</v>
      </c>
      <c r="T456">
        <v>1</v>
      </c>
      <c r="BA456">
        <f>SUM(Pre[[#This Row],[1]:[46]])</f>
        <v>1</v>
      </c>
    </row>
    <row r="457" spans="1:53" x14ac:dyDescent="0.2">
      <c r="A457" t="s">
        <v>46</v>
      </c>
      <c r="B457" t="s">
        <v>6</v>
      </c>
      <c r="C457">
        <v>20315</v>
      </c>
      <c r="D457" t="s">
        <v>22</v>
      </c>
      <c r="E457" t="s">
        <v>14</v>
      </c>
      <c r="F457" t="s">
        <v>20</v>
      </c>
      <c r="P457">
        <v>2</v>
      </c>
      <c r="T457">
        <v>1</v>
      </c>
      <c r="AA457">
        <v>1</v>
      </c>
      <c r="AN457">
        <v>1</v>
      </c>
      <c r="BA457">
        <f>SUM(Pre[[#This Row],[1]:[46]])</f>
        <v>5</v>
      </c>
    </row>
    <row r="458" spans="1:53" x14ac:dyDescent="0.2">
      <c r="A458" t="s">
        <v>46</v>
      </c>
      <c r="B458" t="s">
        <v>6</v>
      </c>
      <c r="C458">
        <v>21745</v>
      </c>
      <c r="D458" t="s">
        <v>22</v>
      </c>
      <c r="E458" t="s">
        <v>14</v>
      </c>
      <c r="F458" t="s">
        <v>31</v>
      </c>
      <c r="BA458">
        <f>SUM(Pre[[#This Row],[1]:[46]])</f>
        <v>0</v>
      </c>
    </row>
    <row r="459" spans="1:53" x14ac:dyDescent="0.2">
      <c r="A459" t="s">
        <v>46</v>
      </c>
      <c r="B459" t="s">
        <v>6</v>
      </c>
      <c r="C459">
        <v>25966</v>
      </c>
      <c r="D459" t="s">
        <v>22</v>
      </c>
      <c r="E459" t="s">
        <v>14</v>
      </c>
      <c r="F459" t="s">
        <v>31</v>
      </c>
      <c r="O459">
        <v>2</v>
      </c>
      <c r="T459">
        <v>2</v>
      </c>
      <c r="AJ459">
        <v>1</v>
      </c>
      <c r="AR459">
        <v>1</v>
      </c>
      <c r="AY459">
        <v>1</v>
      </c>
      <c r="BA459">
        <f>SUM(Pre[[#This Row],[1]:[46]])</f>
        <v>7</v>
      </c>
    </row>
    <row r="460" spans="1:53" x14ac:dyDescent="0.2">
      <c r="A460" t="s">
        <v>46</v>
      </c>
      <c r="B460" t="s">
        <v>6</v>
      </c>
      <c r="C460">
        <v>26358</v>
      </c>
      <c r="D460" t="s">
        <v>22</v>
      </c>
      <c r="E460" t="s">
        <v>14</v>
      </c>
      <c r="F460" t="s">
        <v>35</v>
      </c>
      <c r="M460">
        <v>4</v>
      </c>
      <c r="BA460">
        <f>SUM(Pre[[#This Row],[1]:[46]])</f>
        <v>4</v>
      </c>
    </row>
    <row r="461" spans="1:53" x14ac:dyDescent="0.2">
      <c r="A461" t="s">
        <v>46</v>
      </c>
      <c r="B461" t="s">
        <v>6</v>
      </c>
      <c r="C461">
        <v>26358</v>
      </c>
      <c r="D461" t="s">
        <v>22</v>
      </c>
      <c r="E461" t="s">
        <v>14</v>
      </c>
      <c r="F461" t="s">
        <v>31</v>
      </c>
      <c r="T461">
        <v>5</v>
      </c>
      <c r="BA461">
        <f>SUM(Pre[[#This Row],[1]:[46]])</f>
        <v>5</v>
      </c>
    </row>
    <row r="462" spans="1:53" x14ac:dyDescent="0.2">
      <c r="A462" t="s">
        <v>46</v>
      </c>
      <c r="B462" t="s">
        <v>6</v>
      </c>
      <c r="C462">
        <v>26706</v>
      </c>
      <c r="D462" t="s">
        <v>22</v>
      </c>
      <c r="E462" t="s">
        <v>10</v>
      </c>
      <c r="F462" t="s">
        <v>11</v>
      </c>
      <c r="BA462">
        <f>SUM(Pre[[#This Row],[1]:[46]])</f>
        <v>0</v>
      </c>
    </row>
    <row r="463" spans="1:53" x14ac:dyDescent="0.2">
      <c r="A463" t="s">
        <v>46</v>
      </c>
      <c r="B463" t="s">
        <v>6</v>
      </c>
      <c r="C463">
        <v>27297</v>
      </c>
      <c r="D463" t="s">
        <v>22</v>
      </c>
      <c r="E463" t="s">
        <v>14</v>
      </c>
      <c r="F463" t="s">
        <v>35</v>
      </c>
      <c r="AJ463">
        <v>1</v>
      </c>
      <c r="AQ463">
        <v>1</v>
      </c>
      <c r="AV463">
        <v>1</v>
      </c>
      <c r="BA463">
        <f>SUM(Pre[[#This Row],[1]:[46]])</f>
        <v>3</v>
      </c>
    </row>
    <row r="464" spans="1:53" x14ac:dyDescent="0.2">
      <c r="A464" t="s">
        <v>46</v>
      </c>
      <c r="B464" t="s">
        <v>6</v>
      </c>
      <c r="C464">
        <v>27555</v>
      </c>
      <c r="D464" t="s">
        <v>22</v>
      </c>
      <c r="E464" t="s">
        <v>14</v>
      </c>
      <c r="F464" t="s">
        <v>35</v>
      </c>
      <c r="AK464">
        <v>1</v>
      </c>
      <c r="BA464">
        <f>SUM(Pre[[#This Row],[1]:[46]])</f>
        <v>1</v>
      </c>
    </row>
    <row r="465" spans="1:53" x14ac:dyDescent="0.2">
      <c r="A465" t="s">
        <v>46</v>
      </c>
      <c r="B465" t="s">
        <v>6</v>
      </c>
      <c r="C465">
        <v>9600</v>
      </c>
      <c r="D465" t="s">
        <v>7</v>
      </c>
      <c r="E465" t="s">
        <v>14</v>
      </c>
      <c r="F465" t="s">
        <v>20</v>
      </c>
      <c r="R465">
        <v>1</v>
      </c>
      <c r="AE465">
        <v>1</v>
      </c>
      <c r="AR465">
        <v>1</v>
      </c>
      <c r="BA465">
        <f>SUM(Pre[[#This Row],[1]:[46]])</f>
        <v>3</v>
      </c>
    </row>
    <row r="466" spans="1:53" x14ac:dyDescent="0.2">
      <c r="A466" t="s">
        <v>46</v>
      </c>
      <c r="B466" t="s">
        <v>6</v>
      </c>
      <c r="C466">
        <v>2351</v>
      </c>
      <c r="D466" t="s">
        <v>7</v>
      </c>
      <c r="E466" t="s">
        <v>14</v>
      </c>
      <c r="F466" t="s">
        <v>20</v>
      </c>
      <c r="AE466">
        <v>1</v>
      </c>
      <c r="BA466">
        <f>SUM(Pre[[#This Row],[1]:[46]])</f>
        <v>1</v>
      </c>
    </row>
    <row r="467" spans="1:53" x14ac:dyDescent="0.2">
      <c r="A467" t="s">
        <v>46</v>
      </c>
      <c r="B467" t="s">
        <v>6</v>
      </c>
      <c r="C467">
        <v>9313</v>
      </c>
      <c r="D467" t="s">
        <v>7</v>
      </c>
      <c r="E467" t="s">
        <v>10</v>
      </c>
      <c r="F467" t="s">
        <v>11</v>
      </c>
      <c r="V467">
        <v>1</v>
      </c>
      <c r="AT467">
        <v>1</v>
      </c>
      <c r="BA467">
        <f>SUM(Pre[[#This Row],[1]:[46]])</f>
        <v>2</v>
      </c>
    </row>
    <row r="468" spans="1:53" x14ac:dyDescent="0.2">
      <c r="A468" t="s">
        <v>46</v>
      </c>
      <c r="B468" t="s">
        <v>6</v>
      </c>
      <c r="C468">
        <v>9313</v>
      </c>
      <c r="D468" t="s">
        <v>7</v>
      </c>
      <c r="E468" t="s">
        <v>14</v>
      </c>
      <c r="F468" t="s">
        <v>20</v>
      </c>
      <c r="S468">
        <v>1</v>
      </c>
      <c r="BA468">
        <f>SUM(Pre[[#This Row],[1]:[46]])</f>
        <v>1</v>
      </c>
    </row>
    <row r="469" spans="1:53" x14ac:dyDescent="0.2">
      <c r="A469" t="s">
        <v>46</v>
      </c>
      <c r="B469" t="s">
        <v>6</v>
      </c>
      <c r="C469">
        <v>9964</v>
      </c>
      <c r="D469" t="s">
        <v>7</v>
      </c>
      <c r="E469" t="s">
        <v>14</v>
      </c>
      <c r="F469" t="s">
        <v>19</v>
      </c>
      <c r="J469">
        <v>1</v>
      </c>
      <c r="Q469">
        <v>1</v>
      </c>
      <c r="X469">
        <v>1</v>
      </c>
      <c r="AB469">
        <v>1</v>
      </c>
      <c r="AF469">
        <v>1</v>
      </c>
      <c r="AK469">
        <v>1</v>
      </c>
      <c r="AP469">
        <v>1</v>
      </c>
      <c r="AT469">
        <v>1</v>
      </c>
      <c r="AY469">
        <v>1</v>
      </c>
      <c r="BA469">
        <f>SUM(Pre[[#This Row],[1]:[46]])</f>
        <v>9</v>
      </c>
    </row>
    <row r="470" spans="1:53" x14ac:dyDescent="0.2">
      <c r="A470" t="s">
        <v>46</v>
      </c>
      <c r="B470" t="s">
        <v>6</v>
      </c>
      <c r="C470">
        <v>12999</v>
      </c>
      <c r="D470" t="s">
        <v>7</v>
      </c>
      <c r="E470" t="s">
        <v>14</v>
      </c>
      <c r="F470" t="s">
        <v>31</v>
      </c>
      <c r="AE470">
        <v>1</v>
      </c>
      <c r="BA470">
        <f>SUM(Pre[[#This Row],[1]:[46]])</f>
        <v>1</v>
      </c>
    </row>
    <row r="471" spans="1:53" x14ac:dyDescent="0.2">
      <c r="A471" t="s">
        <v>46</v>
      </c>
      <c r="B471" t="s">
        <v>6</v>
      </c>
      <c r="C471">
        <v>15818</v>
      </c>
      <c r="D471" t="s">
        <v>7</v>
      </c>
      <c r="E471" t="s">
        <v>14</v>
      </c>
      <c r="F471" t="s">
        <v>28</v>
      </c>
      <c r="T471">
        <v>1</v>
      </c>
      <c r="AG471">
        <v>1</v>
      </c>
      <c r="AL471">
        <v>1</v>
      </c>
      <c r="AP471">
        <v>2</v>
      </c>
      <c r="BA471">
        <f>SUM(Pre[[#This Row],[1]:[46]])</f>
        <v>5</v>
      </c>
    </row>
    <row r="472" spans="1:53" x14ac:dyDescent="0.2">
      <c r="A472" t="s">
        <v>46</v>
      </c>
      <c r="B472" t="s">
        <v>6</v>
      </c>
      <c r="C472">
        <v>31745</v>
      </c>
      <c r="D472" t="s">
        <v>7</v>
      </c>
      <c r="E472" t="s">
        <v>14</v>
      </c>
      <c r="F472" t="s">
        <v>31</v>
      </c>
      <c r="P472">
        <v>1</v>
      </c>
      <c r="AC472">
        <v>1</v>
      </c>
      <c r="AQ472">
        <v>1</v>
      </c>
      <c r="BA472">
        <f>SUM(Pre[[#This Row],[1]:[46]])</f>
        <v>3</v>
      </c>
    </row>
    <row r="473" spans="1:53" x14ac:dyDescent="0.2">
      <c r="A473" t="s">
        <v>46</v>
      </c>
      <c r="B473" t="s">
        <v>6</v>
      </c>
      <c r="C473">
        <v>31745</v>
      </c>
      <c r="D473" t="s">
        <v>7</v>
      </c>
      <c r="E473" t="s">
        <v>14</v>
      </c>
      <c r="F473" t="s">
        <v>19</v>
      </c>
      <c r="BA473">
        <f>SUM(Pre[[#This Row],[1]:[46]])</f>
        <v>0</v>
      </c>
    </row>
    <row r="474" spans="1:53" x14ac:dyDescent="0.2">
      <c r="A474" t="s">
        <v>46</v>
      </c>
      <c r="B474" t="s">
        <v>6</v>
      </c>
      <c r="C474">
        <v>1948</v>
      </c>
      <c r="D474" t="s">
        <v>22</v>
      </c>
      <c r="E474" t="s">
        <v>14</v>
      </c>
      <c r="F474" t="s">
        <v>28</v>
      </c>
      <c r="K474">
        <v>1</v>
      </c>
      <c r="AG474">
        <v>1</v>
      </c>
      <c r="AT474">
        <v>1</v>
      </c>
      <c r="BA474">
        <f>SUM(Pre[[#This Row],[1]:[46]])</f>
        <v>3</v>
      </c>
    </row>
    <row r="475" spans="1:53" x14ac:dyDescent="0.2">
      <c r="A475" t="s">
        <v>46</v>
      </c>
      <c r="B475" t="s">
        <v>6</v>
      </c>
      <c r="C475">
        <v>11014</v>
      </c>
      <c r="D475" t="s">
        <v>7</v>
      </c>
      <c r="E475" t="s">
        <v>14</v>
      </c>
      <c r="F475" t="s">
        <v>20</v>
      </c>
      <c r="H475">
        <v>1</v>
      </c>
      <c r="T475">
        <v>1</v>
      </c>
      <c r="AY475">
        <v>1</v>
      </c>
      <c r="BA475">
        <f>SUM(Pre[[#This Row],[1]:[46]])</f>
        <v>3</v>
      </c>
    </row>
    <row r="476" spans="1:53" x14ac:dyDescent="0.2">
      <c r="A476" t="s">
        <v>46</v>
      </c>
      <c r="B476" t="s">
        <v>6</v>
      </c>
      <c r="C476">
        <v>3334</v>
      </c>
      <c r="D476" t="s">
        <v>22</v>
      </c>
      <c r="E476" t="s">
        <v>14</v>
      </c>
      <c r="F476" t="s">
        <v>20</v>
      </c>
      <c r="G476">
        <v>1</v>
      </c>
      <c r="H476">
        <v>1</v>
      </c>
      <c r="I476">
        <v>1</v>
      </c>
      <c r="J476">
        <v>1</v>
      </c>
      <c r="L476">
        <v>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X476">
        <v>3</v>
      </c>
      <c r="Y476">
        <v>1</v>
      </c>
      <c r="Z476">
        <v>1</v>
      </c>
      <c r="AA476">
        <v>1</v>
      </c>
      <c r="AC476">
        <v>1</v>
      </c>
      <c r="AD476">
        <v>3</v>
      </c>
      <c r="AF476">
        <v>2</v>
      </c>
      <c r="AG476">
        <v>1</v>
      </c>
      <c r="AH476">
        <v>1</v>
      </c>
      <c r="AJ476">
        <v>3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2</v>
      </c>
      <c r="AX476">
        <v>1</v>
      </c>
      <c r="AY476">
        <v>1</v>
      </c>
      <c r="AZ476">
        <v>1</v>
      </c>
      <c r="BA476">
        <f>SUM(Pre[[#This Row],[1]:[46]])</f>
        <v>50</v>
      </c>
    </row>
    <row r="477" spans="1:53" x14ac:dyDescent="0.2">
      <c r="A477" t="s">
        <v>46</v>
      </c>
      <c r="B477" t="s">
        <v>6</v>
      </c>
      <c r="C477">
        <v>10288</v>
      </c>
      <c r="D477" t="s">
        <v>7</v>
      </c>
      <c r="E477" t="s">
        <v>14</v>
      </c>
      <c r="F477" t="s">
        <v>21</v>
      </c>
      <c r="O477">
        <v>1</v>
      </c>
      <c r="V477">
        <v>1</v>
      </c>
      <c r="BA477">
        <f>SUM(Pre[[#This Row],[1]:[46]])</f>
        <v>2</v>
      </c>
    </row>
    <row r="478" spans="1:53" x14ac:dyDescent="0.2">
      <c r="A478" t="s">
        <v>46</v>
      </c>
      <c r="B478" t="s">
        <v>6</v>
      </c>
      <c r="C478">
        <v>11459</v>
      </c>
      <c r="D478" t="s">
        <v>7</v>
      </c>
      <c r="E478" t="s">
        <v>14</v>
      </c>
      <c r="F478" t="s">
        <v>20</v>
      </c>
      <c r="O478">
        <v>1</v>
      </c>
      <c r="P478">
        <v>1</v>
      </c>
      <c r="AC478">
        <v>1</v>
      </c>
      <c r="AQ478">
        <v>1</v>
      </c>
      <c r="BA478">
        <f>SUM(Pre[[#This Row],[1]:[46]])</f>
        <v>4</v>
      </c>
    </row>
    <row r="479" spans="1:53" x14ac:dyDescent="0.2">
      <c r="A479" t="s">
        <v>46</v>
      </c>
      <c r="B479" t="s">
        <v>6</v>
      </c>
      <c r="C479">
        <v>9724</v>
      </c>
      <c r="D479" t="s">
        <v>22</v>
      </c>
      <c r="E479" t="s">
        <v>14</v>
      </c>
      <c r="F479" t="s">
        <v>21</v>
      </c>
      <c r="G479">
        <v>1</v>
      </c>
      <c r="X479">
        <v>1</v>
      </c>
      <c r="BA479">
        <f>SUM(Pre[[#This Row],[1]:[46]])</f>
        <v>2</v>
      </c>
    </row>
    <row r="480" spans="1:53" x14ac:dyDescent="0.2">
      <c r="A480" t="s">
        <v>46</v>
      </c>
      <c r="B480" t="s">
        <v>6</v>
      </c>
      <c r="C480">
        <v>6810</v>
      </c>
      <c r="D480" t="s">
        <v>7</v>
      </c>
      <c r="E480" t="s">
        <v>8</v>
      </c>
      <c r="F480" t="s">
        <v>29</v>
      </c>
      <c r="AV480">
        <v>2</v>
      </c>
      <c r="BA480">
        <f>SUM(Pre[[#This Row],[1]:[46]])</f>
        <v>2</v>
      </c>
    </row>
    <row r="481" spans="1:53" x14ac:dyDescent="0.2">
      <c r="A481" t="s">
        <v>46</v>
      </c>
      <c r="B481" t="s">
        <v>6</v>
      </c>
      <c r="C481">
        <v>7366</v>
      </c>
      <c r="D481" t="s">
        <v>7</v>
      </c>
      <c r="E481" t="s">
        <v>8</v>
      </c>
      <c r="F481" t="s">
        <v>23</v>
      </c>
      <c r="L481">
        <v>1</v>
      </c>
      <c r="AA481">
        <v>1</v>
      </c>
      <c r="AO481">
        <v>1</v>
      </c>
      <c r="BA481">
        <f>SUM(Pre[[#This Row],[1]:[46]])</f>
        <v>3</v>
      </c>
    </row>
    <row r="482" spans="1:53" x14ac:dyDescent="0.2">
      <c r="A482" t="s">
        <v>46</v>
      </c>
      <c r="B482" t="s">
        <v>6</v>
      </c>
      <c r="C482">
        <v>7527</v>
      </c>
      <c r="D482" t="s">
        <v>7</v>
      </c>
      <c r="E482" t="s">
        <v>26</v>
      </c>
      <c r="F482" t="s">
        <v>27</v>
      </c>
      <c r="AR482">
        <v>1</v>
      </c>
      <c r="AW482">
        <v>1</v>
      </c>
      <c r="AY482">
        <v>1</v>
      </c>
      <c r="BA482">
        <f>SUM(Pre[[#This Row],[1]:[46]])</f>
        <v>3</v>
      </c>
    </row>
    <row r="483" spans="1:53" x14ac:dyDescent="0.2">
      <c r="A483" t="s">
        <v>46</v>
      </c>
      <c r="B483" t="s">
        <v>6</v>
      </c>
      <c r="C483">
        <v>7833</v>
      </c>
      <c r="D483" t="s">
        <v>7</v>
      </c>
      <c r="E483" t="s">
        <v>8</v>
      </c>
      <c r="F483" t="s">
        <v>9</v>
      </c>
      <c r="R483">
        <v>1</v>
      </c>
      <c r="AE483">
        <v>1</v>
      </c>
      <c r="AS483">
        <v>1</v>
      </c>
      <c r="BA483">
        <f>SUM(Pre[[#This Row],[1]:[46]])</f>
        <v>3</v>
      </c>
    </row>
    <row r="484" spans="1:53" x14ac:dyDescent="0.2">
      <c r="A484" t="s">
        <v>46</v>
      </c>
      <c r="B484" t="s">
        <v>6</v>
      </c>
      <c r="C484">
        <v>7896</v>
      </c>
      <c r="D484" t="s">
        <v>7</v>
      </c>
      <c r="E484" t="s">
        <v>8</v>
      </c>
      <c r="F484" t="s">
        <v>23</v>
      </c>
      <c r="L484">
        <v>1</v>
      </c>
      <c r="AB484">
        <v>1</v>
      </c>
      <c r="AP484">
        <v>1</v>
      </c>
      <c r="BA484">
        <f>SUM(Pre[[#This Row],[1]:[46]])</f>
        <v>3</v>
      </c>
    </row>
    <row r="485" spans="1:53" x14ac:dyDescent="0.2">
      <c r="A485" t="s">
        <v>46</v>
      </c>
      <c r="B485" t="s">
        <v>6</v>
      </c>
      <c r="C485">
        <v>9600</v>
      </c>
      <c r="D485" t="s">
        <v>7</v>
      </c>
      <c r="E485" t="s">
        <v>8</v>
      </c>
      <c r="F485" t="s">
        <v>9</v>
      </c>
      <c r="R485">
        <v>1</v>
      </c>
      <c r="AE485">
        <v>1</v>
      </c>
      <c r="AR485">
        <v>1</v>
      </c>
      <c r="BA485">
        <f>SUM(Pre[[#This Row],[1]:[46]])</f>
        <v>3</v>
      </c>
    </row>
    <row r="486" spans="1:53" x14ac:dyDescent="0.2">
      <c r="A486" t="s">
        <v>46</v>
      </c>
      <c r="B486" t="s">
        <v>6</v>
      </c>
      <c r="C486">
        <v>10576</v>
      </c>
      <c r="D486" t="s">
        <v>7</v>
      </c>
      <c r="E486" t="s">
        <v>8</v>
      </c>
      <c r="F486" t="s">
        <v>23</v>
      </c>
      <c r="M486">
        <v>1</v>
      </c>
      <c r="AC486">
        <v>1</v>
      </c>
      <c r="AT486">
        <v>1</v>
      </c>
      <c r="BA486">
        <f>SUM(Pre[[#This Row],[1]:[46]])</f>
        <v>3</v>
      </c>
    </row>
    <row r="487" spans="1:53" x14ac:dyDescent="0.2">
      <c r="A487" t="s">
        <v>46</v>
      </c>
      <c r="B487" t="s">
        <v>6</v>
      </c>
      <c r="C487">
        <v>10636</v>
      </c>
      <c r="D487" t="s">
        <v>7</v>
      </c>
      <c r="E487" t="s">
        <v>8</v>
      </c>
      <c r="F487" t="s">
        <v>34</v>
      </c>
      <c r="J487">
        <v>1</v>
      </c>
      <c r="W487">
        <v>1</v>
      </c>
      <c r="AJ487">
        <v>1</v>
      </c>
      <c r="AW487">
        <v>1</v>
      </c>
      <c r="BA487">
        <f>SUM(Pre[[#This Row],[1]:[46]])</f>
        <v>4</v>
      </c>
    </row>
    <row r="488" spans="1:53" x14ac:dyDescent="0.2">
      <c r="A488" t="s">
        <v>46</v>
      </c>
      <c r="B488" t="s">
        <v>6</v>
      </c>
      <c r="C488">
        <v>10867</v>
      </c>
      <c r="D488" t="s">
        <v>7</v>
      </c>
      <c r="E488" t="s">
        <v>26</v>
      </c>
      <c r="F488" t="s">
        <v>27</v>
      </c>
      <c r="K488">
        <v>1</v>
      </c>
      <c r="X488">
        <v>1</v>
      </c>
      <c r="AL488">
        <v>1</v>
      </c>
      <c r="AX488">
        <v>1</v>
      </c>
      <c r="BA488">
        <f>SUM(Pre[[#This Row],[1]:[46]])</f>
        <v>4</v>
      </c>
    </row>
    <row r="489" spans="1:53" x14ac:dyDescent="0.2">
      <c r="A489" t="s">
        <v>46</v>
      </c>
      <c r="B489" t="s">
        <v>6</v>
      </c>
      <c r="C489">
        <v>10891</v>
      </c>
      <c r="D489" t="s">
        <v>7</v>
      </c>
      <c r="E489" t="s">
        <v>8</v>
      </c>
      <c r="F489" t="s">
        <v>23</v>
      </c>
      <c r="L489">
        <v>1</v>
      </c>
      <c r="Z489">
        <v>1</v>
      </c>
      <c r="AH489">
        <v>1</v>
      </c>
      <c r="BA489">
        <f>SUM(Pre[[#This Row],[1]:[46]])</f>
        <v>3</v>
      </c>
    </row>
    <row r="490" spans="1:53" x14ac:dyDescent="0.2">
      <c r="A490" t="s">
        <v>46</v>
      </c>
      <c r="B490" t="s">
        <v>6</v>
      </c>
      <c r="C490">
        <v>11965</v>
      </c>
      <c r="D490" t="s">
        <v>7</v>
      </c>
      <c r="E490" t="s">
        <v>8</v>
      </c>
      <c r="F490" t="s">
        <v>23</v>
      </c>
      <c r="V490">
        <v>1</v>
      </c>
      <c r="AL490">
        <v>1</v>
      </c>
      <c r="AZ490">
        <v>1</v>
      </c>
      <c r="BA490">
        <f>SUM(Pre[[#This Row],[1]:[46]])</f>
        <v>3</v>
      </c>
    </row>
    <row r="491" spans="1:53" x14ac:dyDescent="0.2">
      <c r="A491" t="s">
        <v>46</v>
      </c>
      <c r="B491" t="s">
        <v>6</v>
      </c>
      <c r="C491">
        <v>12581</v>
      </c>
      <c r="D491" t="s">
        <v>7</v>
      </c>
      <c r="E491" t="s">
        <v>8</v>
      </c>
      <c r="F491" t="s">
        <v>23</v>
      </c>
      <c r="P491">
        <v>1</v>
      </c>
      <c r="AC491">
        <v>1</v>
      </c>
      <c r="AQ491">
        <v>1</v>
      </c>
      <c r="BA491">
        <f>SUM(Pre[[#This Row],[1]:[46]])</f>
        <v>3</v>
      </c>
    </row>
    <row r="492" spans="1:53" x14ac:dyDescent="0.2">
      <c r="A492" t="s">
        <v>46</v>
      </c>
      <c r="B492" t="s">
        <v>6</v>
      </c>
      <c r="C492">
        <v>12658</v>
      </c>
      <c r="D492" t="s">
        <v>7</v>
      </c>
      <c r="E492" t="s">
        <v>8</v>
      </c>
      <c r="F492" t="s">
        <v>23</v>
      </c>
      <c r="J492">
        <v>1</v>
      </c>
      <c r="BA492">
        <f>SUM(Pre[[#This Row],[1]:[46]])</f>
        <v>1</v>
      </c>
    </row>
    <row r="493" spans="1:53" x14ac:dyDescent="0.2">
      <c r="A493" t="s">
        <v>46</v>
      </c>
      <c r="B493" t="s">
        <v>6</v>
      </c>
      <c r="C493">
        <v>13050</v>
      </c>
      <c r="D493" t="s">
        <v>7</v>
      </c>
      <c r="E493" t="s">
        <v>8</v>
      </c>
      <c r="F493" t="s">
        <v>23</v>
      </c>
      <c r="L493">
        <v>1</v>
      </c>
      <c r="AC493">
        <v>1</v>
      </c>
      <c r="AT493">
        <v>1</v>
      </c>
      <c r="BA493">
        <f>SUM(Pre[[#This Row],[1]:[46]])</f>
        <v>3</v>
      </c>
    </row>
    <row r="494" spans="1:53" x14ac:dyDescent="0.2">
      <c r="A494" t="s">
        <v>46</v>
      </c>
      <c r="B494" t="s">
        <v>6</v>
      </c>
      <c r="C494">
        <v>13665</v>
      </c>
      <c r="D494" t="s">
        <v>7</v>
      </c>
      <c r="E494" t="s">
        <v>8</v>
      </c>
      <c r="F494" t="s">
        <v>23</v>
      </c>
      <c r="G494">
        <v>1</v>
      </c>
      <c r="K494">
        <v>1</v>
      </c>
      <c r="M494">
        <v>1</v>
      </c>
      <c r="N494">
        <v>1</v>
      </c>
      <c r="AC494">
        <v>1</v>
      </c>
      <c r="AM494">
        <v>1</v>
      </c>
      <c r="BA494">
        <f>SUM(Pre[[#This Row],[1]:[46]])</f>
        <v>6</v>
      </c>
    </row>
    <row r="495" spans="1:53" x14ac:dyDescent="0.2">
      <c r="A495" t="s">
        <v>46</v>
      </c>
      <c r="B495" t="s">
        <v>6</v>
      </c>
      <c r="C495">
        <v>13712</v>
      </c>
      <c r="D495" t="s">
        <v>7</v>
      </c>
      <c r="E495" t="s">
        <v>8</v>
      </c>
      <c r="F495" t="s">
        <v>9</v>
      </c>
      <c r="S495">
        <v>1</v>
      </c>
      <c r="AG495">
        <v>1</v>
      </c>
      <c r="AS495">
        <v>1</v>
      </c>
      <c r="BA495">
        <f>SUM(Pre[[#This Row],[1]:[46]])</f>
        <v>3</v>
      </c>
    </row>
    <row r="496" spans="1:53" x14ac:dyDescent="0.2">
      <c r="A496" t="s">
        <v>46</v>
      </c>
      <c r="B496" t="s">
        <v>6</v>
      </c>
      <c r="C496">
        <v>15606</v>
      </c>
      <c r="D496" t="s">
        <v>7</v>
      </c>
      <c r="E496" t="s">
        <v>8</v>
      </c>
      <c r="F496" t="s">
        <v>23</v>
      </c>
      <c r="M496">
        <v>1</v>
      </c>
      <c r="Z496">
        <v>1</v>
      </c>
      <c r="AO496">
        <v>1</v>
      </c>
      <c r="AY496">
        <v>1</v>
      </c>
      <c r="BA496">
        <f>SUM(Pre[[#This Row],[1]:[46]])</f>
        <v>4</v>
      </c>
    </row>
    <row r="497" spans="1:53" x14ac:dyDescent="0.2">
      <c r="A497" t="s">
        <v>46</v>
      </c>
      <c r="B497" t="s">
        <v>6</v>
      </c>
      <c r="C497">
        <v>19322</v>
      </c>
      <c r="D497" t="s">
        <v>7</v>
      </c>
      <c r="E497" t="s">
        <v>8</v>
      </c>
      <c r="F497" t="s">
        <v>9</v>
      </c>
      <c r="R497">
        <v>2</v>
      </c>
      <c r="W497">
        <v>1</v>
      </c>
      <c r="AB497">
        <v>1</v>
      </c>
      <c r="AF497">
        <v>1</v>
      </c>
      <c r="AT497">
        <v>1</v>
      </c>
      <c r="BA497">
        <f>SUM(Pre[[#This Row],[1]:[46]])</f>
        <v>6</v>
      </c>
    </row>
    <row r="498" spans="1:53" x14ac:dyDescent="0.2">
      <c r="A498" t="s">
        <v>46</v>
      </c>
      <c r="B498" t="s">
        <v>6</v>
      </c>
      <c r="C498">
        <v>25228</v>
      </c>
      <c r="D498" t="s">
        <v>7</v>
      </c>
      <c r="E498" t="s">
        <v>8</v>
      </c>
      <c r="F498" t="s">
        <v>23</v>
      </c>
      <c r="G498">
        <v>1</v>
      </c>
      <c r="U498">
        <v>1</v>
      </c>
      <c r="BA498">
        <f>SUM(Pre[[#This Row],[1]:[46]])</f>
        <v>2</v>
      </c>
    </row>
    <row r="499" spans="1:53" x14ac:dyDescent="0.2">
      <c r="A499" t="s">
        <v>46</v>
      </c>
      <c r="B499" t="s">
        <v>6</v>
      </c>
      <c r="C499">
        <v>26039</v>
      </c>
      <c r="D499" t="s">
        <v>7</v>
      </c>
      <c r="E499" t="s">
        <v>37</v>
      </c>
      <c r="F499" t="s">
        <v>38</v>
      </c>
      <c r="AD499">
        <v>1</v>
      </c>
      <c r="AH499">
        <v>1</v>
      </c>
      <c r="BA499">
        <f>SUM(Pre[[#This Row],[1]:[46]])</f>
        <v>2</v>
      </c>
    </row>
    <row r="500" spans="1:53" x14ac:dyDescent="0.2">
      <c r="A500" t="s">
        <v>46</v>
      </c>
      <c r="B500" t="s">
        <v>6</v>
      </c>
      <c r="C500">
        <v>27700</v>
      </c>
      <c r="D500" t="s">
        <v>7</v>
      </c>
      <c r="E500" t="s">
        <v>8</v>
      </c>
      <c r="F500" t="s">
        <v>23</v>
      </c>
      <c r="S500">
        <v>1</v>
      </c>
      <c r="AV500">
        <v>1</v>
      </c>
      <c r="BA500">
        <f>SUM(Pre[[#This Row],[1]:[46]])</f>
        <v>2</v>
      </c>
    </row>
    <row r="501" spans="1:53" x14ac:dyDescent="0.2">
      <c r="A501" t="s">
        <v>46</v>
      </c>
      <c r="B501" t="s">
        <v>6</v>
      </c>
      <c r="C501">
        <v>30267</v>
      </c>
      <c r="D501" t="s">
        <v>7</v>
      </c>
      <c r="E501" t="s">
        <v>8</v>
      </c>
      <c r="F501" t="s">
        <v>23</v>
      </c>
      <c r="AT501">
        <v>1</v>
      </c>
      <c r="AV501">
        <v>1</v>
      </c>
      <c r="AX501">
        <v>1</v>
      </c>
      <c r="AZ501">
        <v>1</v>
      </c>
      <c r="BA501">
        <f>SUM(Pre[[#This Row],[1]:[46]])</f>
        <v>4</v>
      </c>
    </row>
    <row r="502" spans="1:53" x14ac:dyDescent="0.2">
      <c r="A502" t="s">
        <v>46</v>
      </c>
      <c r="B502" t="s">
        <v>6</v>
      </c>
      <c r="C502">
        <v>33016</v>
      </c>
      <c r="D502" t="s">
        <v>7</v>
      </c>
      <c r="E502" t="s">
        <v>8</v>
      </c>
      <c r="F502" t="s">
        <v>9</v>
      </c>
      <c r="Y502">
        <v>2</v>
      </c>
      <c r="BA502">
        <f>SUM(Pre[[#This Row],[1]:[46]])</f>
        <v>2</v>
      </c>
    </row>
    <row r="503" spans="1:53" x14ac:dyDescent="0.2">
      <c r="A503" t="s">
        <v>46</v>
      </c>
      <c r="B503" t="s">
        <v>6</v>
      </c>
      <c r="C503">
        <v>5532</v>
      </c>
      <c r="D503" t="s">
        <v>22</v>
      </c>
      <c r="E503" t="s">
        <v>8</v>
      </c>
      <c r="F503" t="s">
        <v>34</v>
      </c>
      <c r="J503">
        <v>1</v>
      </c>
      <c r="AF503">
        <v>1</v>
      </c>
      <c r="AS503">
        <v>1</v>
      </c>
      <c r="BA503">
        <f>SUM(Pre[[#This Row],[1]:[46]])</f>
        <v>3</v>
      </c>
    </row>
    <row r="504" spans="1:53" x14ac:dyDescent="0.2">
      <c r="A504" t="s">
        <v>46</v>
      </c>
      <c r="B504" t="s">
        <v>6</v>
      </c>
      <c r="C504">
        <v>7895</v>
      </c>
      <c r="D504" t="s">
        <v>22</v>
      </c>
      <c r="E504" t="s">
        <v>8</v>
      </c>
      <c r="F504" t="s">
        <v>9</v>
      </c>
      <c r="K504">
        <v>1</v>
      </c>
      <c r="Y504">
        <v>1</v>
      </c>
      <c r="AL504">
        <v>1</v>
      </c>
      <c r="BA504">
        <f>SUM(Pre[[#This Row],[1]:[46]])</f>
        <v>3</v>
      </c>
    </row>
    <row r="505" spans="1:53" x14ac:dyDescent="0.2">
      <c r="A505" t="s">
        <v>46</v>
      </c>
      <c r="B505" t="s">
        <v>6</v>
      </c>
      <c r="C505">
        <v>9120</v>
      </c>
      <c r="D505" t="s">
        <v>22</v>
      </c>
      <c r="E505" t="s">
        <v>8</v>
      </c>
      <c r="F505" t="s">
        <v>23</v>
      </c>
      <c r="AI505">
        <v>1</v>
      </c>
      <c r="BA505">
        <f>SUM(Pre[[#This Row],[1]:[46]])</f>
        <v>1</v>
      </c>
    </row>
    <row r="506" spans="1:53" x14ac:dyDescent="0.2">
      <c r="A506" t="s">
        <v>46</v>
      </c>
      <c r="B506" t="s">
        <v>6</v>
      </c>
      <c r="C506">
        <v>13069</v>
      </c>
      <c r="D506" t="s">
        <v>22</v>
      </c>
      <c r="E506" t="s">
        <v>8</v>
      </c>
      <c r="F506" t="s">
        <v>23</v>
      </c>
      <c r="R506">
        <v>1</v>
      </c>
      <c r="AE506">
        <v>1</v>
      </c>
      <c r="AR506">
        <v>1</v>
      </c>
      <c r="BA506">
        <f>SUM(Pre[[#This Row],[1]:[46]])</f>
        <v>3</v>
      </c>
    </row>
    <row r="507" spans="1:53" x14ac:dyDescent="0.2">
      <c r="A507" t="s">
        <v>46</v>
      </c>
      <c r="B507" t="s">
        <v>6</v>
      </c>
      <c r="C507">
        <v>15061</v>
      </c>
      <c r="D507" t="s">
        <v>22</v>
      </c>
      <c r="E507" t="s">
        <v>8</v>
      </c>
      <c r="F507" t="s">
        <v>23</v>
      </c>
      <c r="H507">
        <v>1</v>
      </c>
      <c r="V507">
        <v>1</v>
      </c>
      <c r="AG507">
        <v>1</v>
      </c>
      <c r="AV507">
        <v>1</v>
      </c>
      <c r="BA507">
        <f>SUM(Pre[[#This Row],[1]:[46]])</f>
        <v>4</v>
      </c>
    </row>
    <row r="508" spans="1:53" x14ac:dyDescent="0.2">
      <c r="A508" t="s">
        <v>46</v>
      </c>
      <c r="B508" t="s">
        <v>6</v>
      </c>
      <c r="C508">
        <v>17751</v>
      </c>
      <c r="D508" t="s">
        <v>22</v>
      </c>
      <c r="E508" t="s">
        <v>8</v>
      </c>
      <c r="F508" t="s">
        <v>23</v>
      </c>
      <c r="K508">
        <v>1</v>
      </c>
      <c r="Y508">
        <v>1</v>
      </c>
      <c r="AL508">
        <v>1</v>
      </c>
      <c r="AZ508">
        <v>1</v>
      </c>
      <c r="BA508">
        <f>SUM(Pre[[#This Row],[1]:[46]])</f>
        <v>4</v>
      </c>
    </row>
    <row r="509" spans="1:53" x14ac:dyDescent="0.2">
      <c r="A509" t="s">
        <v>46</v>
      </c>
      <c r="B509" t="s">
        <v>6</v>
      </c>
      <c r="C509">
        <v>18532</v>
      </c>
      <c r="D509" t="s">
        <v>22</v>
      </c>
      <c r="E509" t="s">
        <v>8</v>
      </c>
      <c r="F509" t="s">
        <v>23</v>
      </c>
      <c r="L509">
        <v>1</v>
      </c>
      <c r="Z509">
        <v>1</v>
      </c>
      <c r="AL509">
        <v>2</v>
      </c>
      <c r="BA509">
        <f>SUM(Pre[[#This Row],[1]:[46]])</f>
        <v>4</v>
      </c>
    </row>
    <row r="510" spans="1:53" x14ac:dyDescent="0.2">
      <c r="A510" t="s">
        <v>46</v>
      </c>
      <c r="B510" t="s">
        <v>6</v>
      </c>
      <c r="C510">
        <v>19000</v>
      </c>
      <c r="D510" t="s">
        <v>22</v>
      </c>
      <c r="E510" t="s">
        <v>8</v>
      </c>
      <c r="F510" t="s">
        <v>29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2</v>
      </c>
      <c r="W510">
        <v>1</v>
      </c>
      <c r="X510">
        <v>1</v>
      </c>
      <c r="Y510">
        <v>1</v>
      </c>
      <c r="Z510">
        <v>2</v>
      </c>
      <c r="AB510">
        <v>1</v>
      </c>
      <c r="AC510">
        <v>1</v>
      </c>
      <c r="AD510">
        <v>1</v>
      </c>
      <c r="AE510">
        <v>2</v>
      </c>
      <c r="AG510">
        <v>1</v>
      </c>
      <c r="AH510">
        <v>1</v>
      </c>
      <c r="AI510">
        <v>1</v>
      </c>
      <c r="AJ510">
        <v>2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f>SUM(Pre[[#This Row],[1]:[46]])</f>
        <v>46</v>
      </c>
    </row>
    <row r="511" spans="1:53" x14ac:dyDescent="0.2">
      <c r="A511" t="s">
        <v>46</v>
      </c>
      <c r="B511" t="s">
        <v>6</v>
      </c>
      <c r="C511">
        <v>25123</v>
      </c>
      <c r="D511" t="s">
        <v>22</v>
      </c>
      <c r="E511" t="s">
        <v>8</v>
      </c>
      <c r="F511" t="s">
        <v>9</v>
      </c>
      <c r="U511">
        <v>2</v>
      </c>
      <c r="AE511">
        <v>1</v>
      </c>
      <c r="AT511">
        <v>1</v>
      </c>
      <c r="BA511">
        <f>SUM(Pre[[#This Row],[1]:[46]])</f>
        <v>4</v>
      </c>
    </row>
    <row r="512" spans="1:53" x14ac:dyDescent="0.2">
      <c r="A512" t="s">
        <v>46</v>
      </c>
      <c r="B512" t="s">
        <v>6</v>
      </c>
      <c r="C512">
        <v>27738</v>
      </c>
      <c r="D512" t="s">
        <v>22</v>
      </c>
      <c r="E512" t="s">
        <v>8</v>
      </c>
      <c r="F512" t="s">
        <v>23</v>
      </c>
      <c r="AC512">
        <v>2</v>
      </c>
      <c r="AT512">
        <v>1</v>
      </c>
      <c r="BA512">
        <f>SUM(Pre[[#This Row],[1]:[46]])</f>
        <v>3</v>
      </c>
    </row>
    <row r="513" spans="1:53" x14ac:dyDescent="0.2">
      <c r="A513" t="s">
        <v>46</v>
      </c>
      <c r="B513" t="s">
        <v>6</v>
      </c>
      <c r="C513">
        <v>27984</v>
      </c>
      <c r="D513" t="s">
        <v>22</v>
      </c>
      <c r="E513" t="s">
        <v>8</v>
      </c>
      <c r="F513" t="s">
        <v>23</v>
      </c>
      <c r="J513">
        <v>1</v>
      </c>
      <c r="X513">
        <v>1</v>
      </c>
      <c r="AN513">
        <v>1</v>
      </c>
      <c r="BA513">
        <f>SUM(Pre[[#This Row],[1]:[46]])</f>
        <v>3</v>
      </c>
    </row>
    <row r="514" spans="1:53" x14ac:dyDescent="0.2">
      <c r="A514" t="s">
        <v>46</v>
      </c>
      <c r="B514" t="s">
        <v>6</v>
      </c>
      <c r="C514">
        <v>1882</v>
      </c>
      <c r="D514" t="s">
        <v>7</v>
      </c>
      <c r="E514" t="s">
        <v>8</v>
      </c>
      <c r="F514" t="s">
        <v>9</v>
      </c>
      <c r="N514">
        <v>1</v>
      </c>
      <c r="AM514">
        <v>1</v>
      </c>
      <c r="BA514">
        <f>SUM(Pre[[#This Row],[1]:[46]])</f>
        <v>2</v>
      </c>
    </row>
    <row r="515" spans="1:53" x14ac:dyDescent="0.2">
      <c r="A515" t="s">
        <v>46</v>
      </c>
      <c r="B515" t="s">
        <v>6</v>
      </c>
      <c r="C515">
        <v>3228</v>
      </c>
      <c r="D515" t="s">
        <v>7</v>
      </c>
      <c r="E515" t="s">
        <v>8</v>
      </c>
      <c r="F515" t="s">
        <v>9</v>
      </c>
      <c r="Y515">
        <v>1</v>
      </c>
      <c r="AX515">
        <v>1</v>
      </c>
      <c r="BA515">
        <f>SUM(Pre[[#This Row],[1]:[46]])</f>
        <v>2</v>
      </c>
    </row>
    <row r="516" spans="1:53" x14ac:dyDescent="0.2">
      <c r="A516" t="s">
        <v>46</v>
      </c>
      <c r="B516" t="s">
        <v>6</v>
      </c>
      <c r="C516">
        <v>3344</v>
      </c>
      <c r="D516" t="s">
        <v>7</v>
      </c>
      <c r="E516" t="s">
        <v>8</v>
      </c>
      <c r="F516" t="s">
        <v>9</v>
      </c>
      <c r="Z516">
        <v>1</v>
      </c>
      <c r="AE516">
        <v>1</v>
      </c>
      <c r="AI516">
        <v>1</v>
      </c>
      <c r="AM516">
        <v>1</v>
      </c>
      <c r="BA516">
        <f>SUM(Pre[[#This Row],[1]:[46]])</f>
        <v>4</v>
      </c>
    </row>
    <row r="517" spans="1:53" x14ac:dyDescent="0.2">
      <c r="A517" t="s">
        <v>46</v>
      </c>
      <c r="B517" t="s">
        <v>6</v>
      </c>
      <c r="C517">
        <v>9964</v>
      </c>
      <c r="D517" t="s">
        <v>7</v>
      </c>
      <c r="E517" t="s">
        <v>8</v>
      </c>
      <c r="F517" t="s">
        <v>23</v>
      </c>
      <c r="J517">
        <v>1</v>
      </c>
      <c r="X517">
        <v>1</v>
      </c>
      <c r="AF517">
        <v>1</v>
      </c>
      <c r="AK517">
        <v>1</v>
      </c>
      <c r="AY517">
        <v>1</v>
      </c>
      <c r="BA517">
        <f>SUM(Pre[[#This Row],[1]:[46]])</f>
        <v>5</v>
      </c>
    </row>
    <row r="518" spans="1:53" x14ac:dyDescent="0.2">
      <c r="A518" t="s">
        <v>46</v>
      </c>
      <c r="B518" t="s">
        <v>6</v>
      </c>
      <c r="C518">
        <v>12912</v>
      </c>
      <c r="D518" t="s">
        <v>7</v>
      </c>
      <c r="E518" t="s">
        <v>8</v>
      </c>
      <c r="F518" t="s">
        <v>23</v>
      </c>
      <c r="K518">
        <v>1</v>
      </c>
      <c r="V518">
        <v>1</v>
      </c>
      <c r="AI518">
        <v>1</v>
      </c>
      <c r="AV518">
        <v>1</v>
      </c>
      <c r="BA518">
        <f>SUM(Pre[[#This Row],[1]:[46]])</f>
        <v>4</v>
      </c>
    </row>
    <row r="519" spans="1:53" x14ac:dyDescent="0.2">
      <c r="A519" t="s">
        <v>46</v>
      </c>
      <c r="B519" t="s">
        <v>6</v>
      </c>
      <c r="C519">
        <v>12999</v>
      </c>
      <c r="D519" t="s">
        <v>7</v>
      </c>
      <c r="E519" t="s">
        <v>8</v>
      </c>
      <c r="F519" t="s">
        <v>23</v>
      </c>
      <c r="AE519">
        <v>1</v>
      </c>
      <c r="BA519">
        <f>SUM(Pre[[#This Row],[1]:[46]])</f>
        <v>1</v>
      </c>
    </row>
    <row r="520" spans="1:53" x14ac:dyDescent="0.2">
      <c r="A520" t="s">
        <v>46</v>
      </c>
      <c r="B520" t="s">
        <v>6</v>
      </c>
      <c r="C520">
        <v>16938</v>
      </c>
      <c r="D520" t="s">
        <v>7</v>
      </c>
      <c r="E520" t="s">
        <v>8</v>
      </c>
      <c r="F520" t="s">
        <v>23</v>
      </c>
      <c r="J520">
        <v>1</v>
      </c>
      <c r="L520">
        <v>1</v>
      </c>
      <c r="W520">
        <v>1</v>
      </c>
      <c r="AF520">
        <v>1</v>
      </c>
      <c r="AP520">
        <v>1</v>
      </c>
      <c r="AV520">
        <v>1</v>
      </c>
      <c r="BA520">
        <f>SUM(Pre[[#This Row],[1]:[46]])</f>
        <v>6</v>
      </c>
    </row>
    <row r="521" spans="1:53" x14ac:dyDescent="0.2">
      <c r="A521" t="s">
        <v>46</v>
      </c>
      <c r="B521" t="s">
        <v>6</v>
      </c>
      <c r="C521">
        <v>22653</v>
      </c>
      <c r="D521" t="s">
        <v>7</v>
      </c>
      <c r="E521" t="s">
        <v>8</v>
      </c>
      <c r="F521" t="s">
        <v>9</v>
      </c>
      <c r="T521">
        <v>1</v>
      </c>
      <c r="AM521">
        <v>1</v>
      </c>
      <c r="BA521">
        <f>SUM(Pre[[#This Row],[1]:[46]])</f>
        <v>2</v>
      </c>
    </row>
    <row r="522" spans="1:53" x14ac:dyDescent="0.2">
      <c r="A522" t="s">
        <v>46</v>
      </c>
      <c r="B522" t="s">
        <v>6</v>
      </c>
      <c r="C522">
        <v>1948</v>
      </c>
      <c r="D522" t="s">
        <v>22</v>
      </c>
      <c r="E522" t="s">
        <v>8</v>
      </c>
      <c r="F522" t="s">
        <v>23</v>
      </c>
      <c r="G522">
        <v>1</v>
      </c>
      <c r="T522">
        <v>1</v>
      </c>
      <c r="AG522">
        <v>1</v>
      </c>
      <c r="AM522">
        <v>1</v>
      </c>
      <c r="AT522">
        <v>2</v>
      </c>
      <c r="BA522">
        <f>SUM(Pre[[#This Row],[1]:[46]])</f>
        <v>6</v>
      </c>
    </row>
    <row r="523" spans="1:53" x14ac:dyDescent="0.2">
      <c r="A523" t="s">
        <v>46</v>
      </c>
      <c r="B523" t="s">
        <v>6</v>
      </c>
      <c r="C523">
        <v>16141</v>
      </c>
      <c r="D523" t="s">
        <v>22</v>
      </c>
      <c r="E523" t="s">
        <v>8</v>
      </c>
      <c r="F523" t="s">
        <v>23</v>
      </c>
      <c r="BA523">
        <f>SUM(Pre[[#This Row],[1]:[46]])</f>
        <v>0</v>
      </c>
    </row>
    <row r="524" spans="1:53" x14ac:dyDescent="0.2">
      <c r="A524" t="s">
        <v>46</v>
      </c>
      <c r="B524" t="s">
        <v>6</v>
      </c>
      <c r="C524">
        <v>20315</v>
      </c>
      <c r="D524" t="s">
        <v>22</v>
      </c>
      <c r="E524" t="s">
        <v>8</v>
      </c>
      <c r="F524" t="s">
        <v>23</v>
      </c>
      <c r="P524">
        <v>1</v>
      </c>
      <c r="T524">
        <v>1</v>
      </c>
      <c r="AA524">
        <v>1</v>
      </c>
      <c r="AN524">
        <v>1</v>
      </c>
      <c r="BA524">
        <f>SUM(Pre[[#This Row],[1]:[46]])</f>
        <v>4</v>
      </c>
    </row>
    <row r="525" spans="1:53" x14ac:dyDescent="0.2">
      <c r="A525" t="s">
        <v>48</v>
      </c>
      <c r="B525" t="s">
        <v>6</v>
      </c>
      <c r="C525">
        <v>635</v>
      </c>
      <c r="D525" t="s">
        <v>7</v>
      </c>
      <c r="E525" t="s">
        <v>14</v>
      </c>
      <c r="F525" t="s">
        <v>19</v>
      </c>
      <c r="BA525">
        <f>SUM(Pre[[#This Row],[1]:[46]])</f>
        <v>0</v>
      </c>
    </row>
    <row r="526" spans="1:53" x14ac:dyDescent="0.2">
      <c r="A526" t="s">
        <v>48</v>
      </c>
      <c r="B526" t="s">
        <v>6</v>
      </c>
      <c r="C526">
        <v>883</v>
      </c>
      <c r="D526" t="s">
        <v>7</v>
      </c>
      <c r="E526" t="s">
        <v>8</v>
      </c>
      <c r="F526" t="s">
        <v>23</v>
      </c>
      <c r="P526">
        <v>1</v>
      </c>
      <c r="Z526">
        <v>1</v>
      </c>
      <c r="AR526">
        <v>1</v>
      </c>
      <c r="BA526">
        <f>SUM(Pre[[#This Row],[1]:[46]])</f>
        <v>3</v>
      </c>
    </row>
    <row r="527" spans="1:53" x14ac:dyDescent="0.2">
      <c r="A527" t="s">
        <v>48</v>
      </c>
      <c r="B527" t="s">
        <v>6</v>
      </c>
      <c r="C527">
        <v>1388</v>
      </c>
      <c r="D527" t="s">
        <v>7</v>
      </c>
      <c r="E527" t="s">
        <v>14</v>
      </c>
      <c r="F527" t="s">
        <v>19</v>
      </c>
      <c r="BA527">
        <f>SUM(Pre[[#This Row],[1]:[46]])</f>
        <v>0</v>
      </c>
    </row>
    <row r="528" spans="1:53" x14ac:dyDescent="0.2">
      <c r="A528" t="s">
        <v>48</v>
      </c>
      <c r="B528" t="s">
        <v>6</v>
      </c>
      <c r="C528">
        <v>1511</v>
      </c>
      <c r="D528" t="s">
        <v>7</v>
      </c>
      <c r="E528" t="s">
        <v>8</v>
      </c>
      <c r="F528" t="s">
        <v>23</v>
      </c>
      <c r="M528">
        <v>1</v>
      </c>
      <c r="Y528">
        <v>1</v>
      </c>
      <c r="AQ528">
        <v>2</v>
      </c>
      <c r="AS528">
        <v>2</v>
      </c>
      <c r="BA528">
        <f>SUM(Pre[[#This Row],[1]:[46]])</f>
        <v>6</v>
      </c>
    </row>
    <row r="529" spans="1:53" x14ac:dyDescent="0.2">
      <c r="A529" t="s">
        <v>48</v>
      </c>
      <c r="B529" t="s">
        <v>6</v>
      </c>
      <c r="C529">
        <v>2462</v>
      </c>
      <c r="D529" t="s">
        <v>7</v>
      </c>
      <c r="E529" t="s">
        <v>14</v>
      </c>
      <c r="F529" t="s">
        <v>19</v>
      </c>
      <c r="G529">
        <v>1</v>
      </c>
      <c r="H529">
        <v>2</v>
      </c>
      <c r="I529">
        <v>1</v>
      </c>
      <c r="J529">
        <v>1</v>
      </c>
      <c r="L529">
        <v>1</v>
      </c>
      <c r="N529">
        <v>1</v>
      </c>
      <c r="P529">
        <v>1</v>
      </c>
      <c r="R529">
        <v>1</v>
      </c>
      <c r="T529">
        <v>1</v>
      </c>
      <c r="V529">
        <v>1</v>
      </c>
      <c r="X529">
        <v>1</v>
      </c>
      <c r="Y529">
        <v>1</v>
      </c>
      <c r="AA529">
        <v>1</v>
      </c>
      <c r="AC529">
        <v>1</v>
      </c>
      <c r="AD529">
        <v>1</v>
      </c>
      <c r="AE529">
        <v>1</v>
      </c>
      <c r="AG529">
        <v>1</v>
      </c>
      <c r="AI529">
        <v>1</v>
      </c>
      <c r="AK529">
        <v>1</v>
      </c>
      <c r="AM529">
        <v>1</v>
      </c>
      <c r="AO529">
        <v>1</v>
      </c>
      <c r="AQ529">
        <v>1</v>
      </c>
      <c r="AS529">
        <v>1</v>
      </c>
      <c r="AU529">
        <v>1</v>
      </c>
      <c r="AW529">
        <v>1</v>
      </c>
      <c r="AY529">
        <v>1</v>
      </c>
      <c r="BA529">
        <f>SUM(Pre[[#This Row],[1]:[46]])</f>
        <v>27</v>
      </c>
    </row>
    <row r="530" spans="1:53" x14ac:dyDescent="0.2">
      <c r="A530" t="s">
        <v>48</v>
      </c>
      <c r="B530" t="s">
        <v>6</v>
      </c>
      <c r="C530">
        <v>2778</v>
      </c>
      <c r="D530" t="s">
        <v>7</v>
      </c>
      <c r="E530" t="s">
        <v>8</v>
      </c>
      <c r="F530" t="s">
        <v>23</v>
      </c>
      <c r="AE530">
        <v>1</v>
      </c>
      <c r="BA530">
        <f>SUM(Pre[[#This Row],[1]:[46]])</f>
        <v>1</v>
      </c>
    </row>
    <row r="531" spans="1:53" x14ac:dyDescent="0.2">
      <c r="A531" t="s">
        <v>48</v>
      </c>
      <c r="B531" t="s">
        <v>6</v>
      </c>
      <c r="C531">
        <v>3851</v>
      </c>
      <c r="D531" t="s">
        <v>7</v>
      </c>
      <c r="E531" t="s">
        <v>8</v>
      </c>
      <c r="F531" t="s">
        <v>9</v>
      </c>
      <c r="U531">
        <v>1</v>
      </c>
      <c r="AL531">
        <v>1</v>
      </c>
      <c r="AT531">
        <v>1</v>
      </c>
      <c r="BA531">
        <f>SUM(Pre[[#This Row],[1]:[46]])</f>
        <v>3</v>
      </c>
    </row>
    <row r="532" spans="1:53" x14ac:dyDescent="0.2">
      <c r="A532" t="s">
        <v>48</v>
      </c>
      <c r="B532" t="s">
        <v>6</v>
      </c>
      <c r="C532">
        <v>5739</v>
      </c>
      <c r="D532" t="s">
        <v>7</v>
      </c>
      <c r="E532" t="s">
        <v>8</v>
      </c>
      <c r="F532" t="s">
        <v>23</v>
      </c>
      <c r="G532">
        <v>2</v>
      </c>
      <c r="K532">
        <v>1</v>
      </c>
      <c r="O532">
        <v>1</v>
      </c>
      <c r="S532">
        <v>2</v>
      </c>
      <c r="X532">
        <v>1</v>
      </c>
      <c r="AB532">
        <v>1</v>
      </c>
      <c r="BA532">
        <f>SUM(Pre[[#This Row],[1]:[46]])</f>
        <v>8</v>
      </c>
    </row>
    <row r="533" spans="1:53" x14ac:dyDescent="0.2">
      <c r="A533" t="s">
        <v>48</v>
      </c>
      <c r="B533" t="s">
        <v>6</v>
      </c>
      <c r="C533">
        <v>5739</v>
      </c>
      <c r="D533" t="s">
        <v>7</v>
      </c>
      <c r="E533" t="s">
        <v>14</v>
      </c>
      <c r="F533" t="s">
        <v>20</v>
      </c>
      <c r="G533">
        <v>4</v>
      </c>
      <c r="K533">
        <v>1</v>
      </c>
      <c r="O533">
        <v>1</v>
      </c>
      <c r="S533">
        <v>2</v>
      </c>
      <c r="X533">
        <v>1</v>
      </c>
      <c r="AB533">
        <v>1</v>
      </c>
      <c r="AH533">
        <v>2</v>
      </c>
      <c r="AL533">
        <v>2</v>
      </c>
      <c r="AO533">
        <v>2</v>
      </c>
      <c r="AR533">
        <v>1</v>
      </c>
      <c r="AX533">
        <v>3</v>
      </c>
      <c r="BA533">
        <f>SUM(Pre[[#This Row],[1]:[46]])</f>
        <v>20</v>
      </c>
    </row>
    <row r="534" spans="1:53" x14ac:dyDescent="0.2">
      <c r="A534" t="s">
        <v>48</v>
      </c>
      <c r="B534" t="s">
        <v>6</v>
      </c>
      <c r="C534">
        <v>6210</v>
      </c>
      <c r="D534" t="s">
        <v>7</v>
      </c>
      <c r="E534" t="s">
        <v>14</v>
      </c>
      <c r="F534" t="s">
        <v>20</v>
      </c>
      <c r="U534">
        <v>2</v>
      </c>
      <c r="BA534">
        <f>SUM(Pre[[#This Row],[1]:[46]])</f>
        <v>2</v>
      </c>
    </row>
    <row r="535" spans="1:53" x14ac:dyDescent="0.2">
      <c r="A535" t="s">
        <v>48</v>
      </c>
      <c r="B535" t="s">
        <v>6</v>
      </c>
      <c r="C535">
        <v>7198</v>
      </c>
      <c r="D535" t="s">
        <v>7</v>
      </c>
      <c r="E535" t="s">
        <v>14</v>
      </c>
      <c r="F535" t="s">
        <v>19</v>
      </c>
      <c r="Y535">
        <v>1</v>
      </c>
      <c r="BA535">
        <f>SUM(Pre[[#This Row],[1]:[46]])</f>
        <v>1</v>
      </c>
    </row>
    <row r="536" spans="1:53" x14ac:dyDescent="0.2">
      <c r="A536" t="s">
        <v>48</v>
      </c>
      <c r="B536" t="s">
        <v>6</v>
      </c>
      <c r="C536">
        <v>7985</v>
      </c>
      <c r="D536" t="s">
        <v>7</v>
      </c>
      <c r="E536" t="s">
        <v>8</v>
      </c>
      <c r="F536" t="s">
        <v>9</v>
      </c>
      <c r="AF536">
        <v>1</v>
      </c>
      <c r="AS536">
        <v>1</v>
      </c>
      <c r="BA536">
        <f>SUM(Pre[[#This Row],[1]:[46]])</f>
        <v>2</v>
      </c>
    </row>
    <row r="537" spans="1:53" x14ac:dyDescent="0.2">
      <c r="A537" t="s">
        <v>48</v>
      </c>
      <c r="B537" t="s">
        <v>6</v>
      </c>
      <c r="C537">
        <v>10321</v>
      </c>
      <c r="D537" t="s">
        <v>7</v>
      </c>
      <c r="E537" t="s">
        <v>14</v>
      </c>
      <c r="F537" t="s">
        <v>19</v>
      </c>
      <c r="I537">
        <v>1</v>
      </c>
      <c r="P537">
        <v>1</v>
      </c>
      <c r="Y537">
        <v>1</v>
      </c>
      <c r="AH537">
        <v>1</v>
      </c>
      <c r="AQ537">
        <v>1</v>
      </c>
      <c r="AZ537">
        <v>1</v>
      </c>
      <c r="BA537">
        <f>SUM(Pre[[#This Row],[1]:[46]])</f>
        <v>6</v>
      </c>
    </row>
    <row r="538" spans="1:53" x14ac:dyDescent="0.2">
      <c r="A538" t="s">
        <v>48</v>
      </c>
      <c r="B538" t="s">
        <v>6</v>
      </c>
      <c r="C538">
        <v>10956</v>
      </c>
      <c r="D538" t="s">
        <v>7</v>
      </c>
      <c r="E538" t="s">
        <v>8</v>
      </c>
      <c r="F538" t="s">
        <v>9</v>
      </c>
      <c r="J538">
        <v>1</v>
      </c>
      <c r="X538">
        <v>1</v>
      </c>
      <c r="AS538">
        <v>1</v>
      </c>
      <c r="BA538">
        <f>SUM(Pre[[#This Row],[1]:[46]])</f>
        <v>3</v>
      </c>
    </row>
    <row r="539" spans="1:53" x14ac:dyDescent="0.2">
      <c r="A539" t="s">
        <v>48</v>
      </c>
      <c r="B539" t="s">
        <v>6</v>
      </c>
      <c r="C539">
        <v>10956</v>
      </c>
      <c r="D539" t="s">
        <v>7</v>
      </c>
      <c r="E539" t="s">
        <v>14</v>
      </c>
      <c r="F539" t="s">
        <v>19</v>
      </c>
      <c r="AS539">
        <v>1</v>
      </c>
      <c r="BA539">
        <f>SUM(Pre[[#This Row],[1]:[46]])</f>
        <v>1</v>
      </c>
    </row>
    <row r="540" spans="1:53" x14ac:dyDescent="0.2">
      <c r="A540" t="s">
        <v>48</v>
      </c>
      <c r="B540" t="s">
        <v>6</v>
      </c>
      <c r="C540">
        <v>11383</v>
      </c>
      <c r="D540" t="s">
        <v>7</v>
      </c>
      <c r="E540" t="s">
        <v>8</v>
      </c>
      <c r="F540" t="s">
        <v>23</v>
      </c>
      <c r="P540">
        <v>1</v>
      </c>
      <c r="AC540">
        <v>1</v>
      </c>
      <c r="AP540">
        <v>1</v>
      </c>
      <c r="BA540">
        <f>SUM(Pre[[#This Row],[1]:[46]])</f>
        <v>3</v>
      </c>
    </row>
    <row r="541" spans="1:53" x14ac:dyDescent="0.2">
      <c r="A541" t="s">
        <v>48</v>
      </c>
      <c r="B541" t="s">
        <v>6</v>
      </c>
      <c r="C541">
        <v>12293</v>
      </c>
      <c r="D541" t="s">
        <v>7</v>
      </c>
      <c r="E541" t="s">
        <v>32</v>
      </c>
      <c r="F541" t="s">
        <v>33</v>
      </c>
      <c r="R541">
        <v>2</v>
      </c>
      <c r="AF541">
        <v>1</v>
      </c>
      <c r="AR541">
        <v>1</v>
      </c>
      <c r="AW541">
        <v>1</v>
      </c>
      <c r="BA541">
        <f>SUM(Pre[[#This Row],[1]:[46]])</f>
        <v>5</v>
      </c>
    </row>
    <row r="542" spans="1:53" x14ac:dyDescent="0.2">
      <c r="A542" t="s">
        <v>48</v>
      </c>
      <c r="B542" t="s">
        <v>6</v>
      </c>
      <c r="C542">
        <v>12293</v>
      </c>
      <c r="D542" t="s">
        <v>7</v>
      </c>
      <c r="E542" t="s">
        <v>14</v>
      </c>
      <c r="F542" t="s">
        <v>20</v>
      </c>
      <c r="R542">
        <v>3</v>
      </c>
      <c r="AE542">
        <v>1</v>
      </c>
      <c r="AR542">
        <v>1</v>
      </c>
      <c r="AW542">
        <v>1</v>
      </c>
      <c r="BA542">
        <f>SUM(Pre[[#This Row],[1]:[46]])</f>
        <v>6</v>
      </c>
    </row>
    <row r="543" spans="1:53" x14ac:dyDescent="0.2">
      <c r="A543" t="s">
        <v>48</v>
      </c>
      <c r="B543" t="s">
        <v>6</v>
      </c>
      <c r="C543">
        <v>12650</v>
      </c>
      <c r="D543" t="s">
        <v>7</v>
      </c>
      <c r="E543" t="s">
        <v>8</v>
      </c>
      <c r="F543" t="s">
        <v>29</v>
      </c>
      <c r="V543">
        <v>2</v>
      </c>
      <c r="AE543">
        <v>1</v>
      </c>
      <c r="AI543">
        <v>1</v>
      </c>
      <c r="AM543">
        <v>1</v>
      </c>
      <c r="AS543">
        <v>1</v>
      </c>
      <c r="AV543">
        <v>1</v>
      </c>
      <c r="BA543">
        <f>SUM(Pre[[#This Row],[1]:[46]])</f>
        <v>7</v>
      </c>
    </row>
    <row r="544" spans="1:53" x14ac:dyDescent="0.2">
      <c r="A544" t="s">
        <v>48</v>
      </c>
      <c r="B544" t="s">
        <v>6</v>
      </c>
      <c r="C544">
        <v>12650</v>
      </c>
      <c r="D544" t="s">
        <v>7</v>
      </c>
      <c r="E544" t="s">
        <v>14</v>
      </c>
      <c r="F544" t="s">
        <v>20</v>
      </c>
      <c r="V544">
        <v>1</v>
      </c>
      <c r="AI544">
        <v>1</v>
      </c>
      <c r="AM544">
        <v>1</v>
      </c>
      <c r="AS544">
        <v>1</v>
      </c>
      <c r="AV544">
        <v>1</v>
      </c>
      <c r="BA544">
        <f>SUM(Pre[[#This Row],[1]:[46]])</f>
        <v>5</v>
      </c>
    </row>
    <row r="545" spans="1:53" x14ac:dyDescent="0.2">
      <c r="A545" t="s">
        <v>48</v>
      </c>
      <c r="B545" t="s">
        <v>6</v>
      </c>
      <c r="C545">
        <v>13245</v>
      </c>
      <c r="D545" t="s">
        <v>7</v>
      </c>
      <c r="E545" t="s">
        <v>14</v>
      </c>
      <c r="F545" t="s">
        <v>20</v>
      </c>
      <c r="BA545">
        <f>SUM(Pre[[#This Row],[1]:[46]])</f>
        <v>0</v>
      </c>
    </row>
    <row r="546" spans="1:53" x14ac:dyDescent="0.2">
      <c r="A546" t="s">
        <v>48</v>
      </c>
      <c r="B546" t="s">
        <v>6</v>
      </c>
      <c r="C546">
        <v>13456</v>
      </c>
      <c r="D546" t="s">
        <v>7</v>
      </c>
      <c r="E546" t="s">
        <v>12</v>
      </c>
      <c r="F546" t="s">
        <v>13</v>
      </c>
      <c r="Q546">
        <v>1</v>
      </c>
      <c r="BA546">
        <f>SUM(Pre[[#This Row],[1]:[46]])</f>
        <v>1</v>
      </c>
    </row>
    <row r="547" spans="1:53" x14ac:dyDescent="0.2">
      <c r="A547" t="s">
        <v>48</v>
      </c>
      <c r="B547" t="s">
        <v>6</v>
      </c>
      <c r="C547">
        <v>14091</v>
      </c>
      <c r="D547" t="s">
        <v>7</v>
      </c>
      <c r="E547" t="s">
        <v>8</v>
      </c>
      <c r="F547" t="s">
        <v>23</v>
      </c>
      <c r="R547">
        <v>1</v>
      </c>
      <c r="AF547">
        <v>1</v>
      </c>
      <c r="AS547">
        <v>1</v>
      </c>
      <c r="BA547">
        <f>SUM(Pre[[#This Row],[1]:[46]])</f>
        <v>3</v>
      </c>
    </row>
    <row r="548" spans="1:53" x14ac:dyDescent="0.2">
      <c r="A548" t="s">
        <v>48</v>
      </c>
      <c r="B548" t="s">
        <v>6</v>
      </c>
      <c r="C548">
        <v>21321</v>
      </c>
      <c r="D548" t="s">
        <v>7</v>
      </c>
      <c r="E548" t="s">
        <v>8</v>
      </c>
      <c r="F548" t="s">
        <v>23</v>
      </c>
      <c r="J548">
        <v>1</v>
      </c>
      <c r="AF548">
        <v>1</v>
      </c>
      <c r="AV548">
        <v>1</v>
      </c>
      <c r="BA548">
        <f>SUM(Pre[[#This Row],[1]:[46]])</f>
        <v>3</v>
      </c>
    </row>
    <row r="549" spans="1:53" x14ac:dyDescent="0.2">
      <c r="A549" t="s">
        <v>48</v>
      </c>
      <c r="B549" t="s">
        <v>6</v>
      </c>
      <c r="C549">
        <v>22993</v>
      </c>
      <c r="D549" t="s">
        <v>7</v>
      </c>
      <c r="E549" t="s">
        <v>10</v>
      </c>
      <c r="F549" t="s">
        <v>11</v>
      </c>
      <c r="BA549">
        <f>SUM(Pre[[#This Row],[1]:[46]])</f>
        <v>0</v>
      </c>
    </row>
    <row r="550" spans="1:53" x14ac:dyDescent="0.2">
      <c r="A550" t="s">
        <v>48</v>
      </c>
      <c r="B550" t="s">
        <v>6</v>
      </c>
      <c r="C550">
        <v>24897</v>
      </c>
      <c r="D550" t="s">
        <v>7</v>
      </c>
      <c r="E550" t="s">
        <v>14</v>
      </c>
      <c r="F550" t="s">
        <v>20</v>
      </c>
      <c r="M550">
        <v>1</v>
      </c>
      <c r="Z550">
        <v>1</v>
      </c>
      <c r="AN550">
        <v>1</v>
      </c>
      <c r="AY550">
        <v>1</v>
      </c>
      <c r="BA550">
        <f>SUM(Pre[[#This Row],[1]:[46]])</f>
        <v>4</v>
      </c>
    </row>
    <row r="551" spans="1:53" x14ac:dyDescent="0.2">
      <c r="A551" t="s">
        <v>48</v>
      </c>
      <c r="B551" t="s">
        <v>6</v>
      </c>
      <c r="C551">
        <v>26668</v>
      </c>
      <c r="D551" t="s">
        <v>7</v>
      </c>
      <c r="E551" t="s">
        <v>14</v>
      </c>
      <c r="F551" t="s">
        <v>20</v>
      </c>
      <c r="AY551">
        <v>1</v>
      </c>
      <c r="BA551">
        <f>SUM(Pre[[#This Row],[1]:[46]])</f>
        <v>1</v>
      </c>
    </row>
    <row r="552" spans="1:53" x14ac:dyDescent="0.2">
      <c r="A552" t="s">
        <v>48</v>
      </c>
      <c r="B552" t="s">
        <v>6</v>
      </c>
      <c r="C552">
        <v>27143</v>
      </c>
      <c r="D552" t="s">
        <v>7</v>
      </c>
      <c r="E552" t="s">
        <v>40</v>
      </c>
      <c r="F552" t="s">
        <v>44</v>
      </c>
      <c r="BA552">
        <f>SUM(Pre[[#This Row],[1]:[46]])</f>
        <v>0</v>
      </c>
    </row>
    <row r="553" spans="1:53" x14ac:dyDescent="0.2">
      <c r="A553" t="s">
        <v>48</v>
      </c>
      <c r="B553" t="s">
        <v>6</v>
      </c>
      <c r="C553">
        <v>27143</v>
      </c>
      <c r="D553" t="s">
        <v>7</v>
      </c>
      <c r="E553" t="s">
        <v>32</v>
      </c>
      <c r="F553" t="s">
        <v>33</v>
      </c>
      <c r="AN553">
        <v>1</v>
      </c>
      <c r="BA553">
        <f>SUM(Pre[[#This Row],[1]:[46]])</f>
        <v>1</v>
      </c>
    </row>
    <row r="554" spans="1:53" x14ac:dyDescent="0.2">
      <c r="A554" t="s">
        <v>48</v>
      </c>
      <c r="B554" t="s">
        <v>6</v>
      </c>
      <c r="C554">
        <v>27143</v>
      </c>
      <c r="D554" t="s">
        <v>7</v>
      </c>
      <c r="E554" t="s">
        <v>14</v>
      </c>
      <c r="F554" t="s">
        <v>21</v>
      </c>
      <c r="BA554">
        <f>SUM(Pre[[#This Row],[1]:[46]])</f>
        <v>0</v>
      </c>
    </row>
    <row r="555" spans="1:53" x14ac:dyDescent="0.2">
      <c r="A555" t="s">
        <v>48</v>
      </c>
      <c r="B555" t="s">
        <v>6</v>
      </c>
      <c r="C555">
        <v>27167</v>
      </c>
      <c r="D555" t="s">
        <v>7</v>
      </c>
      <c r="E555" t="s">
        <v>14</v>
      </c>
      <c r="F555" t="s">
        <v>19</v>
      </c>
      <c r="K555">
        <v>1</v>
      </c>
      <c r="Q555">
        <v>1</v>
      </c>
      <c r="U555">
        <v>1</v>
      </c>
      <c r="Z555">
        <v>1</v>
      </c>
      <c r="AL555">
        <v>1</v>
      </c>
      <c r="BA555">
        <f>SUM(Pre[[#This Row],[1]:[46]])</f>
        <v>5</v>
      </c>
    </row>
    <row r="556" spans="1:53" x14ac:dyDescent="0.2">
      <c r="A556" t="s">
        <v>48</v>
      </c>
      <c r="B556" t="s">
        <v>6</v>
      </c>
      <c r="C556">
        <v>27167</v>
      </c>
      <c r="D556" t="s">
        <v>7</v>
      </c>
      <c r="E556" t="s">
        <v>14</v>
      </c>
      <c r="F556" t="s">
        <v>20</v>
      </c>
      <c r="AX556">
        <v>1</v>
      </c>
      <c r="AY556">
        <v>1</v>
      </c>
      <c r="BA556">
        <f>SUM(Pre[[#This Row],[1]:[46]])</f>
        <v>2</v>
      </c>
    </row>
    <row r="557" spans="1:53" x14ac:dyDescent="0.2">
      <c r="A557" t="s">
        <v>48</v>
      </c>
      <c r="B557" t="s">
        <v>6</v>
      </c>
      <c r="C557">
        <v>27242</v>
      </c>
      <c r="D557" t="s">
        <v>7</v>
      </c>
      <c r="E557" t="s">
        <v>14</v>
      </c>
      <c r="F557" t="s">
        <v>20</v>
      </c>
      <c r="AQ557">
        <v>1</v>
      </c>
      <c r="BA557">
        <f>SUM(Pre[[#This Row],[1]:[46]])</f>
        <v>1</v>
      </c>
    </row>
    <row r="558" spans="1:53" x14ac:dyDescent="0.2">
      <c r="A558" t="s">
        <v>48</v>
      </c>
      <c r="B558" t="s">
        <v>6</v>
      </c>
      <c r="C558">
        <v>27786</v>
      </c>
      <c r="D558" t="s">
        <v>7</v>
      </c>
      <c r="E558" t="s">
        <v>8</v>
      </c>
      <c r="F558" t="s">
        <v>9</v>
      </c>
      <c r="G558">
        <v>1</v>
      </c>
      <c r="V558">
        <v>1</v>
      </c>
      <c r="AI558">
        <v>1</v>
      </c>
      <c r="AX558">
        <v>1</v>
      </c>
      <c r="BA558">
        <f>SUM(Pre[[#This Row],[1]:[46]])</f>
        <v>4</v>
      </c>
    </row>
    <row r="559" spans="1:53" x14ac:dyDescent="0.2">
      <c r="A559" t="s">
        <v>48</v>
      </c>
      <c r="B559" t="s">
        <v>6</v>
      </c>
      <c r="C559">
        <v>27864</v>
      </c>
      <c r="D559" t="s">
        <v>7</v>
      </c>
      <c r="E559" t="s">
        <v>8</v>
      </c>
      <c r="F559" t="s">
        <v>9</v>
      </c>
      <c r="M559">
        <v>1</v>
      </c>
      <c r="BA559">
        <f>SUM(Pre[[#This Row],[1]:[46]])</f>
        <v>1</v>
      </c>
    </row>
    <row r="560" spans="1:53" x14ac:dyDescent="0.2">
      <c r="A560" t="s">
        <v>48</v>
      </c>
      <c r="B560" t="s">
        <v>6</v>
      </c>
      <c r="C560">
        <v>28017</v>
      </c>
      <c r="D560" t="s">
        <v>7</v>
      </c>
      <c r="E560" t="s">
        <v>26</v>
      </c>
      <c r="F560" t="s">
        <v>27</v>
      </c>
      <c r="BA560">
        <f>SUM(Pre[[#This Row],[1]:[46]])</f>
        <v>0</v>
      </c>
    </row>
    <row r="561" spans="1:53" x14ac:dyDescent="0.2">
      <c r="A561" t="s">
        <v>48</v>
      </c>
      <c r="B561" t="s">
        <v>6</v>
      </c>
      <c r="C561">
        <v>28017</v>
      </c>
      <c r="D561" t="s">
        <v>7</v>
      </c>
      <c r="E561" t="s">
        <v>14</v>
      </c>
      <c r="F561" t="s">
        <v>35</v>
      </c>
      <c r="BA561">
        <f>SUM(Pre[[#This Row],[1]:[46]])</f>
        <v>0</v>
      </c>
    </row>
    <row r="562" spans="1:53" x14ac:dyDescent="0.2">
      <c r="A562" t="s">
        <v>48</v>
      </c>
      <c r="B562" t="s">
        <v>6</v>
      </c>
      <c r="C562">
        <v>29277</v>
      </c>
      <c r="D562" t="s">
        <v>7</v>
      </c>
      <c r="E562" t="s">
        <v>14</v>
      </c>
      <c r="F562" t="s">
        <v>20</v>
      </c>
      <c r="G562">
        <v>1</v>
      </c>
      <c r="BA562">
        <f>SUM(Pre[[#This Row],[1]:[46]])</f>
        <v>1</v>
      </c>
    </row>
    <row r="563" spans="1:53" x14ac:dyDescent="0.2">
      <c r="A563" t="s">
        <v>48</v>
      </c>
      <c r="B563" t="s">
        <v>6</v>
      </c>
      <c r="C563">
        <v>29341</v>
      </c>
      <c r="D563" t="s">
        <v>7</v>
      </c>
      <c r="E563" t="s">
        <v>10</v>
      </c>
      <c r="F563" t="s">
        <v>11</v>
      </c>
      <c r="BA563">
        <f>SUM(Pre[[#This Row],[1]:[46]])</f>
        <v>0</v>
      </c>
    </row>
    <row r="564" spans="1:53" x14ac:dyDescent="0.2">
      <c r="A564" t="s">
        <v>48</v>
      </c>
      <c r="B564" t="s">
        <v>6</v>
      </c>
      <c r="C564">
        <v>29341</v>
      </c>
      <c r="D564" t="s">
        <v>7</v>
      </c>
      <c r="E564" t="s">
        <v>8</v>
      </c>
      <c r="F564" t="s">
        <v>23</v>
      </c>
      <c r="U564">
        <v>1</v>
      </c>
      <c r="AF564">
        <v>1</v>
      </c>
      <c r="AT564">
        <v>1</v>
      </c>
      <c r="BA564">
        <f>SUM(Pre[[#This Row],[1]:[46]])</f>
        <v>3</v>
      </c>
    </row>
    <row r="565" spans="1:53" x14ac:dyDescent="0.2">
      <c r="A565" t="s">
        <v>48</v>
      </c>
      <c r="B565" t="s">
        <v>6</v>
      </c>
      <c r="C565">
        <v>29341</v>
      </c>
      <c r="D565" t="s">
        <v>7</v>
      </c>
      <c r="E565" t="s">
        <v>14</v>
      </c>
      <c r="F565" t="s">
        <v>20</v>
      </c>
      <c r="K565">
        <v>1</v>
      </c>
      <c r="U565">
        <v>1</v>
      </c>
      <c r="AF565">
        <v>1</v>
      </c>
      <c r="AT565">
        <v>1</v>
      </c>
      <c r="BA565">
        <f>SUM(Pre[[#This Row],[1]:[46]])</f>
        <v>4</v>
      </c>
    </row>
    <row r="566" spans="1:53" x14ac:dyDescent="0.2">
      <c r="A566" t="s">
        <v>48</v>
      </c>
      <c r="B566" t="s">
        <v>6</v>
      </c>
      <c r="C566">
        <v>29747</v>
      </c>
      <c r="D566" t="s">
        <v>7</v>
      </c>
      <c r="E566" t="s">
        <v>14</v>
      </c>
      <c r="F566" t="s">
        <v>19</v>
      </c>
      <c r="X566">
        <v>1</v>
      </c>
      <c r="BA566">
        <f>SUM(Pre[[#This Row],[1]:[46]])</f>
        <v>1</v>
      </c>
    </row>
    <row r="567" spans="1:53" x14ac:dyDescent="0.2">
      <c r="A567" t="s">
        <v>48</v>
      </c>
      <c r="B567" t="s">
        <v>6</v>
      </c>
      <c r="C567">
        <v>29747</v>
      </c>
      <c r="D567" t="s">
        <v>7</v>
      </c>
      <c r="E567" t="s">
        <v>14</v>
      </c>
      <c r="F567" t="s">
        <v>21</v>
      </c>
      <c r="Z567">
        <v>1</v>
      </c>
      <c r="AE567">
        <v>1</v>
      </c>
      <c r="BA567">
        <f>SUM(Pre[[#This Row],[1]:[46]])</f>
        <v>2</v>
      </c>
    </row>
    <row r="568" spans="1:53" x14ac:dyDescent="0.2">
      <c r="A568" t="s">
        <v>48</v>
      </c>
      <c r="B568" t="s">
        <v>6</v>
      </c>
      <c r="C568">
        <v>30259</v>
      </c>
      <c r="D568" t="s">
        <v>7</v>
      </c>
      <c r="E568" t="s">
        <v>8</v>
      </c>
      <c r="F568" t="s">
        <v>9</v>
      </c>
      <c r="T568">
        <v>1</v>
      </c>
      <c r="AJ568">
        <v>1</v>
      </c>
      <c r="AX568">
        <v>1</v>
      </c>
      <c r="BA568">
        <f>SUM(Pre[[#This Row],[1]:[46]])</f>
        <v>3</v>
      </c>
    </row>
    <row r="569" spans="1:53" x14ac:dyDescent="0.2">
      <c r="A569" t="s">
        <v>48</v>
      </c>
      <c r="B569" t="s">
        <v>6</v>
      </c>
      <c r="C569">
        <v>31187</v>
      </c>
      <c r="D569" t="s">
        <v>7</v>
      </c>
      <c r="E569" t="s">
        <v>10</v>
      </c>
      <c r="F569" t="s">
        <v>11</v>
      </c>
      <c r="V569">
        <v>1</v>
      </c>
      <c r="BA569">
        <f>SUM(Pre[[#This Row],[1]:[46]])</f>
        <v>1</v>
      </c>
    </row>
    <row r="570" spans="1:53" x14ac:dyDescent="0.2">
      <c r="A570" t="s">
        <v>48</v>
      </c>
      <c r="B570" t="s">
        <v>6</v>
      </c>
      <c r="C570">
        <v>1300</v>
      </c>
      <c r="D570" t="s">
        <v>22</v>
      </c>
      <c r="E570" t="s">
        <v>8</v>
      </c>
      <c r="F570" t="s">
        <v>23</v>
      </c>
      <c r="K570">
        <v>1</v>
      </c>
      <c r="O570">
        <v>1</v>
      </c>
      <c r="U570">
        <v>1</v>
      </c>
      <c r="Y570">
        <v>1</v>
      </c>
      <c r="AD570">
        <v>1</v>
      </c>
      <c r="AH570">
        <v>1</v>
      </c>
      <c r="AJ570">
        <v>1</v>
      </c>
      <c r="AU570">
        <v>1</v>
      </c>
      <c r="BA570">
        <f>SUM(Pre[[#This Row],[1]:[46]])</f>
        <v>8</v>
      </c>
    </row>
    <row r="571" spans="1:53" x14ac:dyDescent="0.2">
      <c r="A571" t="s">
        <v>48</v>
      </c>
      <c r="B571" t="s">
        <v>6</v>
      </c>
      <c r="C571">
        <v>2569</v>
      </c>
      <c r="D571" t="s">
        <v>22</v>
      </c>
      <c r="E571" t="s">
        <v>37</v>
      </c>
      <c r="F571" t="s">
        <v>38</v>
      </c>
      <c r="K571">
        <v>1</v>
      </c>
      <c r="O571">
        <v>1</v>
      </c>
      <c r="T571">
        <v>1</v>
      </c>
      <c r="W571">
        <v>2</v>
      </c>
      <c r="AB571">
        <v>1</v>
      </c>
      <c r="AG571">
        <v>1</v>
      </c>
      <c r="AM571">
        <v>1</v>
      </c>
      <c r="AQ571">
        <v>1</v>
      </c>
      <c r="AS571">
        <v>1</v>
      </c>
      <c r="AZ571">
        <v>1</v>
      </c>
      <c r="BA571">
        <f>SUM(Pre[[#This Row],[1]:[46]])</f>
        <v>11</v>
      </c>
    </row>
    <row r="572" spans="1:53" x14ac:dyDescent="0.2">
      <c r="A572" t="s">
        <v>48</v>
      </c>
      <c r="B572" t="s">
        <v>6</v>
      </c>
      <c r="C572">
        <v>2569</v>
      </c>
      <c r="D572" t="s">
        <v>22</v>
      </c>
      <c r="E572" t="s">
        <v>8</v>
      </c>
      <c r="F572" t="s">
        <v>23</v>
      </c>
      <c r="K572">
        <v>1</v>
      </c>
      <c r="O572">
        <v>1</v>
      </c>
      <c r="T572">
        <v>1</v>
      </c>
      <c r="W572">
        <v>1</v>
      </c>
      <c r="AB572">
        <v>1</v>
      </c>
      <c r="AG572">
        <v>1</v>
      </c>
      <c r="AM572">
        <v>1</v>
      </c>
      <c r="AQ572">
        <v>1</v>
      </c>
      <c r="AS572">
        <v>1</v>
      </c>
      <c r="AZ572">
        <v>1</v>
      </c>
      <c r="BA572">
        <f>SUM(Pre[[#This Row],[1]:[46]])</f>
        <v>10</v>
      </c>
    </row>
    <row r="573" spans="1:53" x14ac:dyDescent="0.2">
      <c r="A573" t="s">
        <v>48</v>
      </c>
      <c r="B573" t="s">
        <v>6</v>
      </c>
      <c r="C573">
        <v>2569</v>
      </c>
      <c r="D573" t="s">
        <v>22</v>
      </c>
      <c r="E573" t="s">
        <v>14</v>
      </c>
      <c r="F573" t="s">
        <v>35</v>
      </c>
      <c r="K573">
        <v>1</v>
      </c>
      <c r="O573">
        <v>1</v>
      </c>
      <c r="T573">
        <v>1</v>
      </c>
      <c r="W573">
        <v>1</v>
      </c>
      <c r="AB573">
        <v>1</v>
      </c>
      <c r="AG573">
        <v>1</v>
      </c>
      <c r="AM573">
        <v>1</v>
      </c>
      <c r="AQ573">
        <v>1</v>
      </c>
      <c r="AS573">
        <v>1</v>
      </c>
      <c r="AZ573">
        <v>1</v>
      </c>
      <c r="BA573">
        <f>SUM(Pre[[#This Row],[1]:[46]])</f>
        <v>10</v>
      </c>
    </row>
    <row r="574" spans="1:53" x14ac:dyDescent="0.2">
      <c r="A574" t="s">
        <v>48</v>
      </c>
      <c r="B574" t="s">
        <v>6</v>
      </c>
      <c r="C574">
        <v>5738</v>
      </c>
      <c r="D574" t="s">
        <v>22</v>
      </c>
      <c r="E574" t="s">
        <v>8</v>
      </c>
      <c r="F574" t="s">
        <v>9</v>
      </c>
      <c r="N574">
        <v>1</v>
      </c>
      <c r="BA574">
        <f>SUM(Pre[[#This Row],[1]:[46]])</f>
        <v>1</v>
      </c>
    </row>
    <row r="575" spans="1:53" x14ac:dyDescent="0.2">
      <c r="A575" t="s">
        <v>48</v>
      </c>
      <c r="B575" t="s">
        <v>6</v>
      </c>
      <c r="C575">
        <v>6647</v>
      </c>
      <c r="D575" t="s">
        <v>22</v>
      </c>
      <c r="E575" t="s">
        <v>8</v>
      </c>
      <c r="F575" t="s">
        <v>9</v>
      </c>
      <c r="Z575">
        <v>1</v>
      </c>
      <c r="AL575">
        <v>1</v>
      </c>
      <c r="AQ575">
        <v>2</v>
      </c>
      <c r="AW575">
        <v>1</v>
      </c>
      <c r="BA575">
        <f>SUM(Pre[[#This Row],[1]:[46]])</f>
        <v>5</v>
      </c>
    </row>
    <row r="576" spans="1:53" x14ac:dyDescent="0.2">
      <c r="A576" t="s">
        <v>48</v>
      </c>
      <c r="B576" t="s">
        <v>6</v>
      </c>
      <c r="C576">
        <v>7033</v>
      </c>
      <c r="D576" t="s">
        <v>22</v>
      </c>
      <c r="E576" t="s">
        <v>8</v>
      </c>
      <c r="F576" t="s">
        <v>23</v>
      </c>
      <c r="BA576">
        <f>SUM(Pre[[#This Row],[1]:[46]])</f>
        <v>0</v>
      </c>
    </row>
    <row r="577" spans="1:53" x14ac:dyDescent="0.2">
      <c r="A577" t="s">
        <v>48</v>
      </c>
      <c r="B577" t="s">
        <v>6</v>
      </c>
      <c r="C577">
        <v>7033</v>
      </c>
      <c r="D577" t="s">
        <v>22</v>
      </c>
      <c r="E577" t="s">
        <v>8</v>
      </c>
      <c r="F577" t="s">
        <v>9</v>
      </c>
      <c r="R577">
        <v>1</v>
      </c>
      <c r="V577">
        <v>1</v>
      </c>
      <c r="AZ577">
        <v>1</v>
      </c>
      <c r="BA577">
        <f>SUM(Pre[[#This Row],[1]:[46]])</f>
        <v>3</v>
      </c>
    </row>
    <row r="578" spans="1:53" x14ac:dyDescent="0.2">
      <c r="A578" t="s">
        <v>48</v>
      </c>
      <c r="B578" t="s">
        <v>6</v>
      </c>
      <c r="C578">
        <v>11064</v>
      </c>
      <c r="D578" t="s">
        <v>22</v>
      </c>
      <c r="E578" t="s">
        <v>8</v>
      </c>
      <c r="F578" t="s">
        <v>23</v>
      </c>
      <c r="K578">
        <v>1</v>
      </c>
      <c r="AE578">
        <v>1</v>
      </c>
      <c r="AQ578">
        <v>1</v>
      </c>
      <c r="AX578">
        <v>1</v>
      </c>
      <c r="BA578">
        <f>SUM(Pre[[#This Row],[1]:[46]])</f>
        <v>4</v>
      </c>
    </row>
    <row r="579" spans="1:53" x14ac:dyDescent="0.2">
      <c r="A579" t="s">
        <v>48</v>
      </c>
      <c r="B579" t="s">
        <v>6</v>
      </c>
      <c r="C579">
        <v>11064</v>
      </c>
      <c r="D579" t="s">
        <v>22</v>
      </c>
      <c r="E579" t="s">
        <v>8</v>
      </c>
      <c r="F579" t="s">
        <v>9</v>
      </c>
      <c r="V579">
        <v>1</v>
      </c>
      <c r="AQ579">
        <v>1</v>
      </c>
      <c r="AX579">
        <v>1</v>
      </c>
      <c r="BA579">
        <f>SUM(Pre[[#This Row],[1]:[46]])</f>
        <v>3</v>
      </c>
    </row>
    <row r="580" spans="1:53" x14ac:dyDescent="0.2">
      <c r="A580" t="s">
        <v>48</v>
      </c>
      <c r="B580" t="s">
        <v>6</v>
      </c>
      <c r="C580">
        <v>12649</v>
      </c>
      <c r="D580" t="s">
        <v>22</v>
      </c>
      <c r="E580" t="s">
        <v>8</v>
      </c>
      <c r="F580" t="s">
        <v>23</v>
      </c>
      <c r="V580">
        <v>1</v>
      </c>
      <c r="AI580">
        <v>1</v>
      </c>
      <c r="AS580">
        <v>1</v>
      </c>
      <c r="AV580">
        <v>1</v>
      </c>
      <c r="BA580">
        <f>SUM(Pre[[#This Row],[1]:[46]])</f>
        <v>4</v>
      </c>
    </row>
    <row r="581" spans="1:53" x14ac:dyDescent="0.2">
      <c r="A581" t="s">
        <v>48</v>
      </c>
      <c r="B581" t="s">
        <v>6</v>
      </c>
      <c r="C581">
        <v>14707</v>
      </c>
      <c r="D581" t="s">
        <v>22</v>
      </c>
      <c r="E581" t="s">
        <v>14</v>
      </c>
      <c r="F581" t="s">
        <v>20</v>
      </c>
      <c r="U581">
        <v>1</v>
      </c>
      <c r="X581">
        <v>1</v>
      </c>
      <c r="AJ581">
        <v>2</v>
      </c>
      <c r="AN581">
        <v>1</v>
      </c>
      <c r="AR581">
        <v>1</v>
      </c>
      <c r="AX581">
        <v>3</v>
      </c>
      <c r="BA581">
        <f>SUM(Pre[[#This Row],[1]:[46]])</f>
        <v>9</v>
      </c>
    </row>
    <row r="582" spans="1:53" x14ac:dyDescent="0.2">
      <c r="A582" t="s">
        <v>48</v>
      </c>
      <c r="B582" t="s">
        <v>6</v>
      </c>
      <c r="C582">
        <v>14990</v>
      </c>
      <c r="D582" t="s">
        <v>22</v>
      </c>
      <c r="E582" t="s">
        <v>14</v>
      </c>
      <c r="F582" t="s">
        <v>20</v>
      </c>
      <c r="Q582">
        <v>1</v>
      </c>
      <c r="AC582">
        <v>2</v>
      </c>
      <c r="AQ582">
        <v>2</v>
      </c>
      <c r="AT582">
        <v>2</v>
      </c>
      <c r="BA582">
        <f>SUM(Pre[[#This Row],[1]:[46]])</f>
        <v>7</v>
      </c>
    </row>
    <row r="583" spans="1:53" x14ac:dyDescent="0.2">
      <c r="A583" t="s">
        <v>48</v>
      </c>
      <c r="B583" t="s">
        <v>6</v>
      </c>
      <c r="C583">
        <v>18342</v>
      </c>
      <c r="D583" t="s">
        <v>22</v>
      </c>
      <c r="E583" t="s">
        <v>10</v>
      </c>
      <c r="F583" t="s">
        <v>11</v>
      </c>
      <c r="AD583">
        <v>1</v>
      </c>
      <c r="BA583">
        <f>SUM(Pre[[#This Row],[1]:[46]])</f>
        <v>1</v>
      </c>
    </row>
    <row r="584" spans="1:53" x14ac:dyDescent="0.2">
      <c r="A584" t="s">
        <v>48</v>
      </c>
      <c r="B584" t="s">
        <v>6</v>
      </c>
      <c r="C584">
        <v>18342</v>
      </c>
      <c r="D584" t="s">
        <v>22</v>
      </c>
      <c r="E584" t="s">
        <v>14</v>
      </c>
      <c r="F584" t="s">
        <v>20</v>
      </c>
      <c r="AE584">
        <v>1</v>
      </c>
      <c r="AF584">
        <v>1</v>
      </c>
      <c r="AN584">
        <v>2</v>
      </c>
      <c r="AR584">
        <v>1</v>
      </c>
      <c r="AS584">
        <v>1</v>
      </c>
      <c r="AW584">
        <v>1</v>
      </c>
      <c r="BA584">
        <f>SUM(Pre[[#This Row],[1]:[46]])</f>
        <v>7</v>
      </c>
    </row>
    <row r="585" spans="1:53" x14ac:dyDescent="0.2">
      <c r="A585" t="s">
        <v>48</v>
      </c>
      <c r="B585" t="s">
        <v>6</v>
      </c>
      <c r="C585">
        <v>19012</v>
      </c>
      <c r="D585" t="s">
        <v>22</v>
      </c>
      <c r="E585" t="s">
        <v>8</v>
      </c>
      <c r="F585" t="s">
        <v>9</v>
      </c>
      <c r="G585">
        <v>1</v>
      </c>
      <c r="X585">
        <v>1</v>
      </c>
      <c r="Y585">
        <v>1</v>
      </c>
      <c r="Z585">
        <v>1</v>
      </c>
      <c r="AA585">
        <v>1</v>
      </c>
      <c r="AD585">
        <v>1</v>
      </c>
      <c r="AE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2</v>
      </c>
      <c r="AN585">
        <v>1</v>
      </c>
      <c r="BA585">
        <f>SUM(Pre[[#This Row],[1]:[46]])</f>
        <v>15</v>
      </c>
    </row>
    <row r="586" spans="1:53" x14ac:dyDescent="0.2">
      <c r="A586" t="s">
        <v>48</v>
      </c>
      <c r="B586" t="s">
        <v>6</v>
      </c>
      <c r="C586">
        <v>21134</v>
      </c>
      <c r="D586" t="s">
        <v>22</v>
      </c>
      <c r="E586" t="s">
        <v>8</v>
      </c>
      <c r="F586" t="s">
        <v>23</v>
      </c>
      <c r="N586">
        <v>1</v>
      </c>
      <c r="S586">
        <v>2</v>
      </c>
      <c r="AF586">
        <v>1</v>
      </c>
      <c r="AR586">
        <v>1</v>
      </c>
      <c r="BA586">
        <f>SUM(Pre[[#This Row],[1]:[46]])</f>
        <v>5</v>
      </c>
    </row>
    <row r="587" spans="1:53" x14ac:dyDescent="0.2">
      <c r="A587" t="s">
        <v>48</v>
      </c>
      <c r="B587" t="s">
        <v>6</v>
      </c>
      <c r="C587">
        <v>21352</v>
      </c>
      <c r="D587" t="s">
        <v>22</v>
      </c>
      <c r="E587" t="s">
        <v>14</v>
      </c>
      <c r="F587" t="s">
        <v>19</v>
      </c>
      <c r="V587">
        <v>2</v>
      </c>
      <c r="BA587">
        <f>SUM(Pre[[#This Row],[1]:[46]])</f>
        <v>2</v>
      </c>
    </row>
    <row r="588" spans="1:53" x14ac:dyDescent="0.2">
      <c r="A588" t="s">
        <v>48</v>
      </c>
      <c r="B588" t="s">
        <v>6</v>
      </c>
      <c r="C588">
        <v>22854</v>
      </c>
      <c r="D588" t="s">
        <v>22</v>
      </c>
      <c r="E588" t="s">
        <v>14</v>
      </c>
      <c r="F588" t="s">
        <v>20</v>
      </c>
      <c r="X588">
        <v>1</v>
      </c>
      <c r="BA588">
        <f>SUM(Pre[[#This Row],[1]:[46]])</f>
        <v>1</v>
      </c>
    </row>
    <row r="589" spans="1:53" x14ac:dyDescent="0.2">
      <c r="A589" t="s">
        <v>48</v>
      </c>
      <c r="B589" t="s">
        <v>6</v>
      </c>
      <c r="C589">
        <v>26635</v>
      </c>
      <c r="D589" t="s">
        <v>22</v>
      </c>
      <c r="E589" t="s">
        <v>14</v>
      </c>
      <c r="F589" t="s">
        <v>20</v>
      </c>
      <c r="AG589">
        <v>1</v>
      </c>
      <c r="AN589">
        <v>1</v>
      </c>
      <c r="BA589">
        <f>SUM(Pre[[#This Row],[1]:[46]])</f>
        <v>2</v>
      </c>
    </row>
    <row r="590" spans="1:53" x14ac:dyDescent="0.2">
      <c r="A590" t="s">
        <v>48</v>
      </c>
      <c r="B590" t="s">
        <v>6</v>
      </c>
      <c r="C590">
        <v>27534</v>
      </c>
      <c r="D590" t="s">
        <v>22</v>
      </c>
      <c r="E590" t="s">
        <v>14</v>
      </c>
      <c r="F590" t="s">
        <v>31</v>
      </c>
      <c r="I590">
        <v>1</v>
      </c>
      <c r="BA590">
        <f>SUM(Pre[[#This Row],[1]:[46]])</f>
        <v>1</v>
      </c>
    </row>
    <row r="591" spans="1:53" x14ac:dyDescent="0.2">
      <c r="A591" t="s">
        <v>48</v>
      </c>
      <c r="B591" t="s">
        <v>6</v>
      </c>
      <c r="C591">
        <v>29779</v>
      </c>
      <c r="D591" t="s">
        <v>22</v>
      </c>
      <c r="E591" t="s">
        <v>8</v>
      </c>
      <c r="F591" t="s">
        <v>9</v>
      </c>
      <c r="G591">
        <v>1</v>
      </c>
      <c r="Q591">
        <v>1</v>
      </c>
      <c r="AF591">
        <v>1</v>
      </c>
      <c r="AR591">
        <v>1</v>
      </c>
      <c r="BA591">
        <f>SUM(Pre[[#This Row],[1]:[46]])</f>
        <v>4</v>
      </c>
    </row>
    <row r="592" spans="1:53" x14ac:dyDescent="0.2">
      <c r="A592" t="s">
        <v>48</v>
      </c>
      <c r="B592" t="s">
        <v>6</v>
      </c>
      <c r="C592">
        <v>30608</v>
      </c>
      <c r="D592" t="s">
        <v>22</v>
      </c>
      <c r="E592" t="s">
        <v>8</v>
      </c>
      <c r="F592" t="s">
        <v>9</v>
      </c>
      <c r="BA592">
        <f>SUM(Pre[[#This Row],[1]:[46]])</f>
        <v>0</v>
      </c>
    </row>
    <row r="593" spans="1:53" x14ac:dyDescent="0.2">
      <c r="A593" t="s">
        <v>48</v>
      </c>
      <c r="B593" t="s">
        <v>6</v>
      </c>
      <c r="C593">
        <v>32699</v>
      </c>
      <c r="D593" t="s">
        <v>22</v>
      </c>
      <c r="E593" t="s">
        <v>8</v>
      </c>
      <c r="F593" t="s">
        <v>23</v>
      </c>
      <c r="T593">
        <v>1</v>
      </c>
      <c r="AG593">
        <v>1</v>
      </c>
      <c r="AS593">
        <v>1</v>
      </c>
      <c r="BA593">
        <f>SUM(Pre[[#This Row],[1]:[46]])</f>
        <v>3</v>
      </c>
    </row>
    <row r="594" spans="1:53" x14ac:dyDescent="0.2">
      <c r="A594" t="s">
        <v>48</v>
      </c>
      <c r="B594" t="s">
        <v>6</v>
      </c>
      <c r="C594">
        <v>498</v>
      </c>
      <c r="D594" t="s">
        <v>7</v>
      </c>
      <c r="E594" t="s">
        <v>14</v>
      </c>
      <c r="F594" t="s">
        <v>20</v>
      </c>
      <c r="AK594">
        <v>1</v>
      </c>
      <c r="AU594">
        <v>1</v>
      </c>
      <c r="BA594">
        <f>SUM(Pre[[#This Row],[1]:[46]])</f>
        <v>2</v>
      </c>
    </row>
    <row r="595" spans="1:53" x14ac:dyDescent="0.2">
      <c r="A595" t="s">
        <v>48</v>
      </c>
      <c r="B595" t="s">
        <v>6</v>
      </c>
      <c r="C595">
        <v>585</v>
      </c>
      <c r="D595" t="s">
        <v>7</v>
      </c>
      <c r="E595" t="s">
        <v>8</v>
      </c>
      <c r="F595" t="s">
        <v>23</v>
      </c>
      <c r="H595">
        <v>1</v>
      </c>
      <c r="J595">
        <v>1</v>
      </c>
      <c r="L595">
        <v>1</v>
      </c>
      <c r="N595">
        <v>1</v>
      </c>
      <c r="P595">
        <v>1</v>
      </c>
      <c r="R595">
        <v>1</v>
      </c>
      <c r="T595">
        <v>1</v>
      </c>
      <c r="V595">
        <v>1</v>
      </c>
      <c r="X595">
        <v>1</v>
      </c>
      <c r="Z595">
        <v>1</v>
      </c>
      <c r="AB595">
        <v>1</v>
      </c>
      <c r="AD595">
        <v>1</v>
      </c>
      <c r="AF595">
        <v>3</v>
      </c>
      <c r="AH595">
        <v>1</v>
      </c>
      <c r="AJ595">
        <v>1</v>
      </c>
      <c r="AL595">
        <v>1</v>
      </c>
      <c r="AN595">
        <v>1</v>
      </c>
      <c r="AP595">
        <v>1</v>
      </c>
      <c r="AR595">
        <v>1</v>
      </c>
      <c r="AT595">
        <v>1</v>
      </c>
      <c r="AV595">
        <v>1</v>
      </c>
      <c r="AW595">
        <v>1</v>
      </c>
      <c r="AZ595">
        <v>1</v>
      </c>
      <c r="BA595">
        <f>SUM(Pre[[#This Row],[1]:[46]])</f>
        <v>25</v>
      </c>
    </row>
    <row r="596" spans="1:53" x14ac:dyDescent="0.2">
      <c r="A596" t="s">
        <v>48</v>
      </c>
      <c r="B596" t="s">
        <v>6</v>
      </c>
      <c r="C596">
        <v>1248</v>
      </c>
      <c r="D596" t="s">
        <v>7</v>
      </c>
      <c r="E596" t="s">
        <v>14</v>
      </c>
      <c r="F596" t="s">
        <v>20</v>
      </c>
      <c r="I596">
        <v>1</v>
      </c>
      <c r="AU596">
        <v>2</v>
      </c>
      <c r="AW596">
        <v>1</v>
      </c>
      <c r="BA596">
        <f>SUM(Pre[[#This Row],[1]:[46]])</f>
        <v>4</v>
      </c>
    </row>
    <row r="597" spans="1:53" x14ac:dyDescent="0.2">
      <c r="A597" t="s">
        <v>48</v>
      </c>
      <c r="B597" t="s">
        <v>6</v>
      </c>
      <c r="C597">
        <v>2048</v>
      </c>
      <c r="D597" t="s">
        <v>7</v>
      </c>
      <c r="E597" t="s">
        <v>8</v>
      </c>
      <c r="F597" t="s">
        <v>23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2</v>
      </c>
      <c r="Q597">
        <v>1</v>
      </c>
      <c r="R597">
        <v>1</v>
      </c>
      <c r="S597">
        <v>2</v>
      </c>
      <c r="T597">
        <v>1</v>
      </c>
      <c r="U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H597">
        <v>2</v>
      </c>
      <c r="AI597">
        <v>2</v>
      </c>
      <c r="AJ597">
        <v>1</v>
      </c>
      <c r="AK597">
        <v>1</v>
      </c>
      <c r="AL597">
        <v>2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f>SUM(Pre[[#This Row],[1]:[46]])</f>
        <v>45</v>
      </c>
    </row>
    <row r="598" spans="1:53" x14ac:dyDescent="0.2">
      <c r="A598" t="s">
        <v>48</v>
      </c>
      <c r="B598" t="s">
        <v>6</v>
      </c>
      <c r="C598">
        <v>2382</v>
      </c>
      <c r="D598" t="s">
        <v>7</v>
      </c>
      <c r="E598" t="s">
        <v>10</v>
      </c>
      <c r="F598" t="s">
        <v>11</v>
      </c>
      <c r="X598">
        <v>2</v>
      </c>
      <c r="BA598">
        <f>SUM(Pre[[#This Row],[1]:[46]])</f>
        <v>2</v>
      </c>
    </row>
    <row r="599" spans="1:53" x14ac:dyDescent="0.2">
      <c r="A599" t="s">
        <v>48</v>
      </c>
      <c r="B599" t="s">
        <v>6</v>
      </c>
      <c r="C599">
        <v>2687</v>
      </c>
      <c r="D599" t="s">
        <v>7</v>
      </c>
      <c r="E599" t="s">
        <v>8</v>
      </c>
      <c r="F599" t="s">
        <v>29</v>
      </c>
      <c r="P599">
        <v>1</v>
      </c>
      <c r="Q599">
        <v>1</v>
      </c>
      <c r="U599">
        <v>1</v>
      </c>
      <c r="V599">
        <v>1</v>
      </c>
      <c r="AD599">
        <v>1</v>
      </c>
      <c r="AQ599">
        <v>1</v>
      </c>
      <c r="BA599">
        <f>SUM(Pre[[#This Row],[1]:[46]])</f>
        <v>6</v>
      </c>
    </row>
    <row r="600" spans="1:53" x14ac:dyDescent="0.2">
      <c r="A600" t="s">
        <v>48</v>
      </c>
      <c r="B600" t="s">
        <v>6</v>
      </c>
      <c r="C600">
        <v>2745</v>
      </c>
      <c r="D600" t="s">
        <v>7</v>
      </c>
      <c r="E600" t="s">
        <v>14</v>
      </c>
      <c r="F600" t="s">
        <v>20</v>
      </c>
      <c r="L600">
        <v>1</v>
      </c>
      <c r="AI600">
        <v>1</v>
      </c>
      <c r="BA600">
        <f>SUM(Pre[[#This Row],[1]:[46]])</f>
        <v>2</v>
      </c>
    </row>
    <row r="601" spans="1:53" x14ac:dyDescent="0.2">
      <c r="A601" t="s">
        <v>48</v>
      </c>
      <c r="B601" t="s">
        <v>6</v>
      </c>
      <c r="C601">
        <v>2988</v>
      </c>
      <c r="D601" t="s">
        <v>7</v>
      </c>
      <c r="E601" t="s">
        <v>14</v>
      </c>
      <c r="F601" t="s">
        <v>20</v>
      </c>
      <c r="M601">
        <v>1</v>
      </c>
      <c r="Z601">
        <v>1</v>
      </c>
      <c r="AL601">
        <v>1</v>
      </c>
      <c r="AV601">
        <v>1</v>
      </c>
      <c r="AY601">
        <v>1</v>
      </c>
      <c r="BA601">
        <f>SUM(Pre[[#This Row],[1]:[46]])</f>
        <v>5</v>
      </c>
    </row>
    <row r="602" spans="1:53" x14ac:dyDescent="0.2">
      <c r="A602" t="s">
        <v>48</v>
      </c>
      <c r="B602" t="s">
        <v>6</v>
      </c>
      <c r="C602">
        <v>4527</v>
      </c>
      <c r="D602" t="s">
        <v>7</v>
      </c>
      <c r="E602" t="s">
        <v>8</v>
      </c>
      <c r="F602" t="s">
        <v>9</v>
      </c>
      <c r="O602">
        <v>1</v>
      </c>
      <c r="AA602">
        <v>1</v>
      </c>
      <c r="BA602">
        <f>SUM(Pre[[#This Row],[1]:[46]])</f>
        <v>2</v>
      </c>
    </row>
    <row r="603" spans="1:53" x14ac:dyDescent="0.2">
      <c r="A603" t="s">
        <v>48</v>
      </c>
      <c r="B603" t="s">
        <v>6</v>
      </c>
      <c r="C603">
        <v>5711</v>
      </c>
      <c r="D603" t="s">
        <v>7</v>
      </c>
      <c r="E603" t="s">
        <v>14</v>
      </c>
      <c r="F603" t="s">
        <v>19</v>
      </c>
      <c r="AQ603">
        <v>1</v>
      </c>
      <c r="BA603">
        <f>SUM(Pre[[#This Row],[1]:[46]])</f>
        <v>1</v>
      </c>
    </row>
    <row r="604" spans="1:53" x14ac:dyDescent="0.2">
      <c r="A604" t="s">
        <v>48</v>
      </c>
      <c r="B604" t="s">
        <v>6</v>
      </c>
      <c r="C604">
        <v>5944</v>
      </c>
      <c r="D604" t="s">
        <v>7</v>
      </c>
      <c r="E604" t="s">
        <v>8</v>
      </c>
      <c r="F604" t="s">
        <v>23</v>
      </c>
      <c r="N604">
        <v>1</v>
      </c>
      <c r="X604">
        <v>1</v>
      </c>
      <c r="AH604">
        <v>1</v>
      </c>
      <c r="AJ604">
        <v>1</v>
      </c>
      <c r="AL604">
        <v>1</v>
      </c>
      <c r="AM604">
        <v>1</v>
      </c>
      <c r="AN604">
        <v>1</v>
      </c>
      <c r="AP604">
        <v>1</v>
      </c>
      <c r="AR604">
        <v>1</v>
      </c>
      <c r="AT604">
        <v>1</v>
      </c>
      <c r="AV604">
        <v>1</v>
      </c>
      <c r="AW604">
        <v>1</v>
      </c>
      <c r="AZ604">
        <v>1</v>
      </c>
      <c r="BA604">
        <f>SUM(Pre[[#This Row],[1]:[46]])</f>
        <v>13</v>
      </c>
    </row>
    <row r="605" spans="1:53" x14ac:dyDescent="0.2">
      <c r="A605" t="s">
        <v>48</v>
      </c>
      <c r="B605" t="s">
        <v>6</v>
      </c>
      <c r="C605">
        <v>6648</v>
      </c>
      <c r="D605" t="s">
        <v>7</v>
      </c>
      <c r="E605" t="s">
        <v>8</v>
      </c>
      <c r="F605" t="s">
        <v>29</v>
      </c>
      <c r="BA605">
        <f>SUM(Pre[[#This Row],[1]:[46]])</f>
        <v>0</v>
      </c>
    </row>
    <row r="606" spans="1:53" x14ac:dyDescent="0.2">
      <c r="A606" t="s">
        <v>48</v>
      </c>
      <c r="B606" t="s">
        <v>6</v>
      </c>
      <c r="C606">
        <v>6648</v>
      </c>
      <c r="D606" t="s">
        <v>7</v>
      </c>
      <c r="E606" t="s">
        <v>26</v>
      </c>
      <c r="F606" t="s">
        <v>27</v>
      </c>
      <c r="J606">
        <v>1</v>
      </c>
      <c r="Q606">
        <v>1</v>
      </c>
      <c r="U606">
        <v>1</v>
      </c>
      <c r="Y606">
        <v>1</v>
      </c>
      <c r="AC606">
        <v>1</v>
      </c>
      <c r="AD606">
        <v>2</v>
      </c>
      <c r="BA606">
        <f>SUM(Pre[[#This Row],[1]:[46]])</f>
        <v>7</v>
      </c>
    </row>
    <row r="607" spans="1:53" x14ac:dyDescent="0.2">
      <c r="A607" t="s">
        <v>48</v>
      </c>
      <c r="B607" t="s">
        <v>6</v>
      </c>
      <c r="C607">
        <v>6648</v>
      </c>
      <c r="D607" t="s">
        <v>7</v>
      </c>
      <c r="E607" t="s">
        <v>14</v>
      </c>
      <c r="F607" t="s">
        <v>21</v>
      </c>
      <c r="BA607">
        <f>SUM(Pre[[#This Row],[1]:[46]])</f>
        <v>0</v>
      </c>
    </row>
    <row r="608" spans="1:53" x14ac:dyDescent="0.2">
      <c r="A608" t="s">
        <v>48</v>
      </c>
      <c r="B608" t="s">
        <v>6</v>
      </c>
      <c r="C608">
        <v>7184</v>
      </c>
      <c r="D608" t="s">
        <v>7</v>
      </c>
      <c r="E608" t="s">
        <v>14</v>
      </c>
      <c r="F608" t="s">
        <v>20</v>
      </c>
      <c r="AF608">
        <v>1</v>
      </c>
      <c r="AX608">
        <v>1</v>
      </c>
      <c r="BA608">
        <f>SUM(Pre[[#This Row],[1]:[46]])</f>
        <v>2</v>
      </c>
    </row>
    <row r="609" spans="1:53" x14ac:dyDescent="0.2">
      <c r="A609" t="s">
        <v>48</v>
      </c>
      <c r="B609" t="s">
        <v>6</v>
      </c>
      <c r="C609">
        <v>8027</v>
      </c>
      <c r="D609" t="s">
        <v>7</v>
      </c>
      <c r="E609" t="s">
        <v>14</v>
      </c>
      <c r="F609" t="s">
        <v>15</v>
      </c>
      <c r="BA609">
        <f>SUM(Pre[[#This Row],[1]:[46]])</f>
        <v>0</v>
      </c>
    </row>
    <row r="610" spans="1:53" x14ac:dyDescent="0.2">
      <c r="A610" t="s">
        <v>48</v>
      </c>
      <c r="B610" t="s">
        <v>6</v>
      </c>
      <c r="C610">
        <v>8027</v>
      </c>
      <c r="D610" t="s">
        <v>7</v>
      </c>
      <c r="E610" t="s">
        <v>14</v>
      </c>
      <c r="F610" t="s">
        <v>21</v>
      </c>
      <c r="BA610">
        <f>SUM(Pre[[#This Row],[1]:[46]])</f>
        <v>0</v>
      </c>
    </row>
    <row r="611" spans="1:53" x14ac:dyDescent="0.2">
      <c r="A611" t="s">
        <v>48</v>
      </c>
      <c r="B611" t="s">
        <v>6</v>
      </c>
      <c r="C611">
        <v>8215</v>
      </c>
      <c r="D611" t="s">
        <v>7</v>
      </c>
      <c r="E611" t="s">
        <v>14</v>
      </c>
      <c r="F611" t="s">
        <v>19</v>
      </c>
      <c r="AJ611">
        <v>1</v>
      </c>
      <c r="AX611">
        <v>1</v>
      </c>
      <c r="BA611">
        <f>SUM(Pre[[#This Row],[1]:[46]])</f>
        <v>2</v>
      </c>
    </row>
    <row r="612" spans="1:53" x14ac:dyDescent="0.2">
      <c r="A612" t="s">
        <v>48</v>
      </c>
      <c r="B612" t="s">
        <v>6</v>
      </c>
      <c r="C612">
        <v>8596</v>
      </c>
      <c r="D612" t="s">
        <v>7</v>
      </c>
      <c r="E612" t="s">
        <v>8</v>
      </c>
      <c r="F612" t="s">
        <v>29</v>
      </c>
      <c r="AF612">
        <v>1</v>
      </c>
      <c r="AS612">
        <v>1</v>
      </c>
      <c r="BA612">
        <f>SUM(Pre[[#This Row],[1]:[46]])</f>
        <v>2</v>
      </c>
    </row>
    <row r="613" spans="1:53" x14ac:dyDescent="0.2">
      <c r="A613" t="s">
        <v>48</v>
      </c>
      <c r="B613" t="s">
        <v>6</v>
      </c>
      <c r="C613">
        <v>8760</v>
      </c>
      <c r="D613" t="s">
        <v>7</v>
      </c>
      <c r="E613" t="s">
        <v>40</v>
      </c>
      <c r="F613" t="s">
        <v>44</v>
      </c>
      <c r="BA613">
        <f>SUM(Pre[[#This Row],[1]:[46]])</f>
        <v>0</v>
      </c>
    </row>
    <row r="614" spans="1:53" x14ac:dyDescent="0.2">
      <c r="A614" t="s">
        <v>48</v>
      </c>
      <c r="B614" t="s">
        <v>6</v>
      </c>
      <c r="C614">
        <v>8760</v>
      </c>
      <c r="D614" t="s">
        <v>7</v>
      </c>
      <c r="E614" t="s">
        <v>40</v>
      </c>
      <c r="F614" t="s">
        <v>41</v>
      </c>
      <c r="W614">
        <v>1</v>
      </c>
      <c r="AR614">
        <v>2</v>
      </c>
      <c r="BA614">
        <f>SUM(Pre[[#This Row],[1]:[46]])</f>
        <v>3</v>
      </c>
    </row>
    <row r="615" spans="1:53" x14ac:dyDescent="0.2">
      <c r="A615" t="s">
        <v>48</v>
      </c>
      <c r="B615" t="s">
        <v>6</v>
      </c>
      <c r="C615">
        <v>8760</v>
      </c>
      <c r="D615" t="s">
        <v>7</v>
      </c>
      <c r="E615" t="s">
        <v>14</v>
      </c>
      <c r="F615" t="s">
        <v>28</v>
      </c>
      <c r="BA615">
        <f>SUM(Pre[[#This Row],[1]:[46]])</f>
        <v>0</v>
      </c>
    </row>
    <row r="616" spans="1:53" x14ac:dyDescent="0.2">
      <c r="A616" t="s">
        <v>48</v>
      </c>
      <c r="B616" t="s">
        <v>6</v>
      </c>
      <c r="C616">
        <v>8760</v>
      </c>
      <c r="D616" t="s">
        <v>7</v>
      </c>
      <c r="E616" t="s">
        <v>14</v>
      </c>
      <c r="F616" t="s">
        <v>19</v>
      </c>
      <c r="BA616">
        <f>SUM(Pre[[#This Row],[1]:[46]])</f>
        <v>0</v>
      </c>
    </row>
    <row r="617" spans="1:53" x14ac:dyDescent="0.2">
      <c r="A617" t="s">
        <v>48</v>
      </c>
      <c r="B617" t="s">
        <v>6</v>
      </c>
      <c r="C617">
        <v>9536</v>
      </c>
      <c r="D617" t="s">
        <v>7</v>
      </c>
      <c r="E617" t="s">
        <v>8</v>
      </c>
      <c r="F617" t="s">
        <v>9</v>
      </c>
      <c r="J617">
        <v>1</v>
      </c>
      <c r="X617">
        <v>2</v>
      </c>
      <c r="Y617">
        <v>1</v>
      </c>
      <c r="Z617">
        <v>1</v>
      </c>
      <c r="AN617">
        <v>1</v>
      </c>
      <c r="BA617">
        <f>SUM(Pre[[#This Row],[1]:[46]])</f>
        <v>6</v>
      </c>
    </row>
    <row r="618" spans="1:53" x14ac:dyDescent="0.2">
      <c r="A618" t="s">
        <v>48</v>
      </c>
      <c r="B618" t="s">
        <v>6</v>
      </c>
      <c r="C618">
        <v>10511</v>
      </c>
      <c r="D618" t="s">
        <v>7</v>
      </c>
      <c r="E618" t="s">
        <v>10</v>
      </c>
      <c r="F618" t="s">
        <v>36</v>
      </c>
      <c r="BA618">
        <f>SUM(Pre[[#This Row],[1]:[46]])</f>
        <v>0</v>
      </c>
    </row>
    <row r="619" spans="1:53" x14ac:dyDescent="0.2">
      <c r="A619" t="s">
        <v>48</v>
      </c>
      <c r="B619" t="s">
        <v>6</v>
      </c>
      <c r="C619">
        <v>10511</v>
      </c>
      <c r="D619" t="s">
        <v>7</v>
      </c>
      <c r="E619" t="s">
        <v>14</v>
      </c>
      <c r="F619" t="s">
        <v>21</v>
      </c>
      <c r="S619">
        <v>1</v>
      </c>
      <c r="AF619">
        <v>1</v>
      </c>
      <c r="AU619">
        <v>1</v>
      </c>
      <c r="BA619">
        <f>SUM(Pre[[#This Row],[1]:[46]])</f>
        <v>3</v>
      </c>
    </row>
    <row r="620" spans="1:53" x14ac:dyDescent="0.2">
      <c r="A620" t="s">
        <v>48</v>
      </c>
      <c r="B620" t="s">
        <v>6</v>
      </c>
      <c r="C620">
        <v>12026</v>
      </c>
      <c r="D620" t="s">
        <v>7</v>
      </c>
      <c r="E620" t="s">
        <v>14</v>
      </c>
      <c r="F620" t="s">
        <v>19</v>
      </c>
      <c r="Q620">
        <v>1</v>
      </c>
      <c r="BA620">
        <f>SUM(Pre[[#This Row],[1]:[46]])</f>
        <v>1</v>
      </c>
    </row>
    <row r="621" spans="1:53" x14ac:dyDescent="0.2">
      <c r="A621" t="s">
        <v>48</v>
      </c>
      <c r="B621" t="s">
        <v>6</v>
      </c>
      <c r="C621">
        <v>12026</v>
      </c>
      <c r="D621" t="s">
        <v>7</v>
      </c>
      <c r="E621" t="s">
        <v>14</v>
      </c>
      <c r="F621" t="s">
        <v>20</v>
      </c>
      <c r="AT621">
        <v>1</v>
      </c>
      <c r="BA621">
        <f>SUM(Pre[[#This Row],[1]:[46]])</f>
        <v>1</v>
      </c>
    </row>
    <row r="622" spans="1:53" x14ac:dyDescent="0.2">
      <c r="A622" t="s">
        <v>48</v>
      </c>
      <c r="B622" t="s">
        <v>6</v>
      </c>
      <c r="C622">
        <v>13450</v>
      </c>
      <c r="D622" t="s">
        <v>7</v>
      </c>
      <c r="E622" t="s">
        <v>14</v>
      </c>
      <c r="F622" t="s">
        <v>19</v>
      </c>
      <c r="S622">
        <v>1</v>
      </c>
      <c r="BA622">
        <f>SUM(Pre[[#This Row],[1]:[46]])</f>
        <v>1</v>
      </c>
    </row>
    <row r="623" spans="1:53" x14ac:dyDescent="0.2">
      <c r="A623" t="s">
        <v>48</v>
      </c>
      <c r="B623" t="s">
        <v>6</v>
      </c>
      <c r="C623">
        <v>13850</v>
      </c>
      <c r="D623" t="s">
        <v>7</v>
      </c>
      <c r="E623" t="s">
        <v>14</v>
      </c>
      <c r="F623" t="s">
        <v>19</v>
      </c>
      <c r="AU623">
        <v>1</v>
      </c>
      <c r="BA623">
        <f>SUM(Pre[[#This Row],[1]:[46]])</f>
        <v>1</v>
      </c>
    </row>
    <row r="624" spans="1:53" x14ac:dyDescent="0.2">
      <c r="A624" t="s">
        <v>48</v>
      </c>
      <c r="B624" t="s">
        <v>6</v>
      </c>
      <c r="C624">
        <v>15162</v>
      </c>
      <c r="D624" t="s">
        <v>7</v>
      </c>
      <c r="E624" t="s">
        <v>14</v>
      </c>
      <c r="F624" t="s">
        <v>35</v>
      </c>
      <c r="BA624">
        <f>SUM(Pre[[#This Row],[1]:[46]])</f>
        <v>0</v>
      </c>
    </row>
    <row r="625" spans="1:53" x14ac:dyDescent="0.2">
      <c r="A625" t="s">
        <v>48</v>
      </c>
      <c r="B625" t="s">
        <v>6</v>
      </c>
      <c r="C625">
        <v>15162</v>
      </c>
      <c r="D625" t="s">
        <v>7</v>
      </c>
      <c r="E625" t="s">
        <v>14</v>
      </c>
      <c r="F625" t="s">
        <v>20</v>
      </c>
      <c r="P625">
        <v>1</v>
      </c>
      <c r="AT625">
        <v>1</v>
      </c>
      <c r="BA625">
        <f>SUM(Pre[[#This Row],[1]:[46]])</f>
        <v>2</v>
      </c>
    </row>
    <row r="626" spans="1:53" x14ac:dyDescent="0.2">
      <c r="A626" t="s">
        <v>48</v>
      </c>
      <c r="B626" t="s">
        <v>6</v>
      </c>
      <c r="C626">
        <v>16525</v>
      </c>
      <c r="D626" t="s">
        <v>7</v>
      </c>
      <c r="E626" t="s">
        <v>8</v>
      </c>
      <c r="F626" t="s">
        <v>29</v>
      </c>
      <c r="G626">
        <v>1</v>
      </c>
      <c r="H626">
        <v>1</v>
      </c>
      <c r="I626">
        <v>1</v>
      </c>
      <c r="L626">
        <v>2</v>
      </c>
      <c r="M626">
        <v>1</v>
      </c>
      <c r="AE626">
        <v>1</v>
      </c>
      <c r="AF626">
        <v>2</v>
      </c>
      <c r="AG626">
        <v>1</v>
      </c>
      <c r="AH626">
        <v>1</v>
      </c>
      <c r="AI626">
        <v>1</v>
      </c>
      <c r="AK626">
        <v>1</v>
      </c>
      <c r="AL626">
        <v>1</v>
      </c>
      <c r="AN626">
        <v>1</v>
      </c>
      <c r="AO626">
        <v>5</v>
      </c>
      <c r="AP626">
        <v>4</v>
      </c>
      <c r="AQ626">
        <v>7</v>
      </c>
      <c r="AR626">
        <v>7</v>
      </c>
      <c r="AS626">
        <v>4</v>
      </c>
      <c r="AT626">
        <v>5</v>
      </c>
      <c r="AU626">
        <v>6</v>
      </c>
      <c r="AV626">
        <v>7</v>
      </c>
      <c r="AW626">
        <v>6</v>
      </c>
      <c r="AX626">
        <v>7</v>
      </c>
      <c r="AY626">
        <v>7</v>
      </c>
      <c r="AZ626">
        <v>7</v>
      </c>
      <c r="BA626">
        <f>SUM(Pre[[#This Row],[1]:[46]])</f>
        <v>87</v>
      </c>
    </row>
    <row r="627" spans="1:53" x14ac:dyDescent="0.2">
      <c r="A627" t="s">
        <v>48</v>
      </c>
      <c r="B627" t="s">
        <v>6</v>
      </c>
      <c r="C627">
        <v>17134</v>
      </c>
      <c r="D627" t="s">
        <v>7</v>
      </c>
      <c r="E627" t="s">
        <v>17</v>
      </c>
      <c r="F627" t="s">
        <v>18</v>
      </c>
      <c r="L627">
        <v>1</v>
      </c>
      <c r="R627">
        <v>1</v>
      </c>
      <c r="Z627">
        <v>1</v>
      </c>
      <c r="BA627">
        <f>SUM(Pre[[#This Row],[1]:[46]])</f>
        <v>3</v>
      </c>
    </row>
    <row r="628" spans="1:53" x14ac:dyDescent="0.2">
      <c r="A628" t="s">
        <v>48</v>
      </c>
      <c r="B628" t="s">
        <v>6</v>
      </c>
      <c r="C628">
        <v>17134</v>
      </c>
      <c r="D628" t="s">
        <v>7</v>
      </c>
      <c r="E628" t="s">
        <v>14</v>
      </c>
      <c r="F628" t="s">
        <v>19</v>
      </c>
      <c r="H628">
        <v>1</v>
      </c>
      <c r="T628">
        <v>1</v>
      </c>
      <c r="Z628">
        <v>1</v>
      </c>
      <c r="BA628">
        <f>SUM(Pre[[#This Row],[1]:[46]])</f>
        <v>3</v>
      </c>
    </row>
    <row r="629" spans="1:53" x14ac:dyDescent="0.2">
      <c r="A629" t="s">
        <v>48</v>
      </c>
      <c r="B629" t="s">
        <v>6</v>
      </c>
      <c r="C629">
        <v>17414</v>
      </c>
      <c r="D629" t="s">
        <v>7</v>
      </c>
      <c r="E629" t="s">
        <v>8</v>
      </c>
      <c r="F629" t="s">
        <v>9</v>
      </c>
      <c r="R629">
        <v>2</v>
      </c>
      <c r="BA629">
        <f>SUM(Pre[[#This Row],[1]:[46]])</f>
        <v>2</v>
      </c>
    </row>
    <row r="630" spans="1:53" x14ac:dyDescent="0.2">
      <c r="A630" t="s">
        <v>48</v>
      </c>
      <c r="B630" t="s">
        <v>6</v>
      </c>
      <c r="C630">
        <v>17426</v>
      </c>
      <c r="D630" t="s">
        <v>7</v>
      </c>
      <c r="E630" t="s">
        <v>14</v>
      </c>
      <c r="F630" t="s">
        <v>21</v>
      </c>
      <c r="G630">
        <v>2</v>
      </c>
      <c r="X630">
        <v>1</v>
      </c>
      <c r="AI630">
        <v>1</v>
      </c>
      <c r="AW630">
        <v>1</v>
      </c>
      <c r="BA630">
        <f>SUM(Pre[[#This Row],[1]:[46]])</f>
        <v>5</v>
      </c>
    </row>
    <row r="631" spans="1:53" x14ac:dyDescent="0.2">
      <c r="A631" t="s">
        <v>48</v>
      </c>
      <c r="B631" t="s">
        <v>6</v>
      </c>
      <c r="C631">
        <v>19451</v>
      </c>
      <c r="D631" t="s">
        <v>7</v>
      </c>
      <c r="E631" t="s">
        <v>8</v>
      </c>
      <c r="F631" t="s">
        <v>9</v>
      </c>
      <c r="K631">
        <v>1</v>
      </c>
      <c r="Y631">
        <v>1</v>
      </c>
      <c r="AL631">
        <v>2</v>
      </c>
      <c r="AY631">
        <v>1</v>
      </c>
      <c r="BA631">
        <f>SUM(Pre[[#This Row],[1]:[46]])</f>
        <v>5</v>
      </c>
    </row>
    <row r="632" spans="1:53" x14ac:dyDescent="0.2">
      <c r="A632" t="s">
        <v>48</v>
      </c>
      <c r="B632" t="s">
        <v>6</v>
      </c>
      <c r="C632">
        <v>19786</v>
      </c>
      <c r="D632" t="s">
        <v>7</v>
      </c>
      <c r="E632" t="s">
        <v>8</v>
      </c>
      <c r="F632" t="s">
        <v>23</v>
      </c>
      <c r="BA632">
        <f>SUM(Pre[[#This Row],[1]:[46]])</f>
        <v>0</v>
      </c>
    </row>
    <row r="633" spans="1:53" x14ac:dyDescent="0.2">
      <c r="A633" t="s">
        <v>48</v>
      </c>
      <c r="B633" t="s">
        <v>6</v>
      </c>
      <c r="C633">
        <v>19786</v>
      </c>
      <c r="D633" t="s">
        <v>7</v>
      </c>
      <c r="E633" t="s">
        <v>8</v>
      </c>
      <c r="F633" t="s">
        <v>9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2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BA633">
        <f>SUM(Pre[[#This Row],[1]:[46]])</f>
        <v>35</v>
      </c>
    </row>
    <row r="634" spans="1:53" x14ac:dyDescent="0.2">
      <c r="A634" t="s">
        <v>48</v>
      </c>
      <c r="B634" t="s">
        <v>6</v>
      </c>
      <c r="C634">
        <v>20460</v>
      </c>
      <c r="D634" t="s">
        <v>7</v>
      </c>
      <c r="E634" t="s">
        <v>14</v>
      </c>
      <c r="F634" t="s">
        <v>20</v>
      </c>
      <c r="I634">
        <v>1</v>
      </c>
      <c r="BA634">
        <f>SUM(Pre[[#This Row],[1]:[46]])</f>
        <v>1</v>
      </c>
    </row>
    <row r="635" spans="1:53" x14ac:dyDescent="0.2">
      <c r="A635" t="s">
        <v>48</v>
      </c>
      <c r="B635" t="s">
        <v>6</v>
      </c>
      <c r="C635">
        <v>20657</v>
      </c>
      <c r="D635" t="s">
        <v>7</v>
      </c>
      <c r="E635" t="s">
        <v>14</v>
      </c>
      <c r="F635" t="s">
        <v>20</v>
      </c>
      <c r="BA635">
        <f>SUM(Pre[[#This Row],[1]:[46]])</f>
        <v>0</v>
      </c>
    </row>
    <row r="636" spans="1:53" x14ac:dyDescent="0.2">
      <c r="A636" t="s">
        <v>48</v>
      </c>
      <c r="B636" t="s">
        <v>6</v>
      </c>
      <c r="C636">
        <v>20835</v>
      </c>
      <c r="D636" t="s">
        <v>7</v>
      </c>
      <c r="E636" t="s">
        <v>8</v>
      </c>
      <c r="F636" t="s">
        <v>9</v>
      </c>
      <c r="W636">
        <v>1</v>
      </c>
      <c r="AF636">
        <v>1</v>
      </c>
      <c r="AW636">
        <v>1</v>
      </c>
      <c r="BA636">
        <f>SUM(Pre[[#This Row],[1]:[46]])</f>
        <v>3</v>
      </c>
    </row>
    <row r="637" spans="1:53" x14ac:dyDescent="0.2">
      <c r="A637" t="s">
        <v>48</v>
      </c>
      <c r="B637" t="s">
        <v>6</v>
      </c>
      <c r="C637">
        <v>20835</v>
      </c>
      <c r="D637" t="s">
        <v>7</v>
      </c>
      <c r="E637" t="s">
        <v>14</v>
      </c>
      <c r="F637" t="s">
        <v>35</v>
      </c>
      <c r="Q637">
        <v>1</v>
      </c>
      <c r="AF637">
        <v>1</v>
      </c>
      <c r="AS637">
        <v>1</v>
      </c>
      <c r="BA637">
        <f>SUM(Pre[[#This Row],[1]:[46]])</f>
        <v>3</v>
      </c>
    </row>
    <row r="638" spans="1:53" x14ac:dyDescent="0.2">
      <c r="A638" t="s">
        <v>48</v>
      </c>
      <c r="B638" t="s">
        <v>6</v>
      </c>
      <c r="C638">
        <v>21170</v>
      </c>
      <c r="D638" t="s">
        <v>7</v>
      </c>
      <c r="E638" t="s">
        <v>8</v>
      </c>
      <c r="F638" t="s">
        <v>23</v>
      </c>
      <c r="U638">
        <v>1</v>
      </c>
      <c r="AE638">
        <v>1</v>
      </c>
      <c r="AG638">
        <v>1</v>
      </c>
      <c r="AJ638">
        <v>1</v>
      </c>
      <c r="AV638">
        <v>1</v>
      </c>
      <c r="BA638">
        <f>SUM(Pre[[#This Row],[1]:[46]])</f>
        <v>5</v>
      </c>
    </row>
    <row r="639" spans="1:53" x14ac:dyDescent="0.2">
      <c r="A639" t="s">
        <v>48</v>
      </c>
      <c r="B639" t="s">
        <v>6</v>
      </c>
      <c r="C639">
        <v>21554</v>
      </c>
      <c r="D639" t="s">
        <v>7</v>
      </c>
      <c r="E639" t="s">
        <v>8</v>
      </c>
      <c r="F639" t="s">
        <v>23</v>
      </c>
      <c r="R639">
        <v>1</v>
      </c>
      <c r="AG639">
        <v>1</v>
      </c>
      <c r="AT639">
        <v>1</v>
      </c>
      <c r="BA639">
        <f>SUM(Pre[[#This Row],[1]:[46]])</f>
        <v>3</v>
      </c>
    </row>
    <row r="640" spans="1:53" x14ac:dyDescent="0.2">
      <c r="A640" t="s">
        <v>48</v>
      </c>
      <c r="B640" t="s">
        <v>6</v>
      </c>
      <c r="C640">
        <v>22335</v>
      </c>
      <c r="D640" t="s">
        <v>7</v>
      </c>
      <c r="E640" t="s">
        <v>14</v>
      </c>
      <c r="F640" t="s">
        <v>20</v>
      </c>
      <c r="S640">
        <v>2</v>
      </c>
      <c r="BA640">
        <f>SUM(Pre[[#This Row],[1]:[46]])</f>
        <v>2</v>
      </c>
    </row>
    <row r="641" spans="1:53" x14ac:dyDescent="0.2">
      <c r="A641" t="s">
        <v>48</v>
      </c>
      <c r="B641" t="s">
        <v>6</v>
      </c>
      <c r="C641">
        <v>22714</v>
      </c>
      <c r="D641" t="s">
        <v>7</v>
      </c>
      <c r="E641" t="s">
        <v>8</v>
      </c>
      <c r="F641" t="s">
        <v>9</v>
      </c>
      <c r="P641">
        <v>1</v>
      </c>
      <c r="BA641">
        <f>SUM(Pre[[#This Row],[1]:[46]])</f>
        <v>1</v>
      </c>
    </row>
    <row r="642" spans="1:53" x14ac:dyDescent="0.2">
      <c r="A642" t="s">
        <v>48</v>
      </c>
      <c r="B642" t="s">
        <v>6</v>
      </c>
      <c r="C642">
        <v>22827</v>
      </c>
      <c r="D642" t="s">
        <v>7</v>
      </c>
      <c r="E642" t="s">
        <v>14</v>
      </c>
      <c r="F642" t="s">
        <v>19</v>
      </c>
      <c r="L642">
        <v>1</v>
      </c>
      <c r="Q642">
        <v>1</v>
      </c>
      <c r="BA642">
        <f>SUM(Pre[[#This Row],[1]:[46]])</f>
        <v>2</v>
      </c>
    </row>
    <row r="643" spans="1:53" x14ac:dyDescent="0.2">
      <c r="A643" t="s">
        <v>48</v>
      </c>
      <c r="B643" t="s">
        <v>6</v>
      </c>
      <c r="C643">
        <v>27844</v>
      </c>
      <c r="D643" t="s">
        <v>7</v>
      </c>
      <c r="E643" t="s">
        <v>8</v>
      </c>
      <c r="F643" t="s">
        <v>23</v>
      </c>
      <c r="M643">
        <v>1</v>
      </c>
      <c r="AC643">
        <v>2</v>
      </c>
      <c r="AR643">
        <v>1</v>
      </c>
      <c r="BA643">
        <f>SUM(Pre[[#This Row],[1]:[46]])</f>
        <v>4</v>
      </c>
    </row>
    <row r="644" spans="1:53" x14ac:dyDescent="0.2">
      <c r="A644" t="s">
        <v>48</v>
      </c>
      <c r="B644" t="s">
        <v>6</v>
      </c>
      <c r="C644">
        <v>29937</v>
      </c>
      <c r="D644" t="s">
        <v>7</v>
      </c>
      <c r="E644" t="s">
        <v>8</v>
      </c>
      <c r="F644" t="s">
        <v>23</v>
      </c>
      <c r="G644">
        <v>1</v>
      </c>
      <c r="V644">
        <v>1</v>
      </c>
      <c r="AJ644">
        <v>1</v>
      </c>
      <c r="AW644">
        <v>1</v>
      </c>
      <c r="BA644">
        <f>SUM(Pre[[#This Row],[1]:[46]])</f>
        <v>4</v>
      </c>
    </row>
    <row r="645" spans="1:53" x14ac:dyDescent="0.2">
      <c r="A645" t="s">
        <v>48</v>
      </c>
      <c r="B645" t="s">
        <v>6</v>
      </c>
      <c r="C645">
        <v>29937</v>
      </c>
      <c r="D645" t="s">
        <v>7</v>
      </c>
      <c r="E645" t="s">
        <v>26</v>
      </c>
      <c r="F645" t="s">
        <v>27</v>
      </c>
      <c r="K645">
        <v>1</v>
      </c>
      <c r="R645">
        <v>1</v>
      </c>
      <c r="V645">
        <v>1</v>
      </c>
      <c r="AA645">
        <v>1</v>
      </c>
      <c r="AG645">
        <v>1</v>
      </c>
      <c r="AO645">
        <v>1</v>
      </c>
      <c r="AV645">
        <v>1</v>
      </c>
      <c r="BA645">
        <f>SUM(Pre[[#This Row],[1]:[46]])</f>
        <v>7</v>
      </c>
    </row>
    <row r="646" spans="1:53" x14ac:dyDescent="0.2">
      <c r="A646" t="s">
        <v>48</v>
      </c>
      <c r="B646" t="s">
        <v>6</v>
      </c>
      <c r="C646">
        <v>30772</v>
      </c>
      <c r="D646" t="s">
        <v>7</v>
      </c>
      <c r="E646" t="s">
        <v>10</v>
      </c>
      <c r="F646" t="s">
        <v>11</v>
      </c>
      <c r="Y646">
        <v>1</v>
      </c>
      <c r="AL646">
        <v>1</v>
      </c>
      <c r="AZ646">
        <v>1</v>
      </c>
      <c r="BA646">
        <f>SUM(Pre[[#This Row],[1]:[46]])</f>
        <v>3</v>
      </c>
    </row>
    <row r="647" spans="1:53" x14ac:dyDescent="0.2">
      <c r="A647" t="s">
        <v>48</v>
      </c>
      <c r="B647" t="s">
        <v>6</v>
      </c>
      <c r="C647">
        <v>30772</v>
      </c>
      <c r="D647" t="s">
        <v>7</v>
      </c>
      <c r="E647" t="s">
        <v>8</v>
      </c>
      <c r="F647" t="s">
        <v>9</v>
      </c>
      <c r="K647">
        <v>1</v>
      </c>
      <c r="N647">
        <v>1</v>
      </c>
      <c r="Y647">
        <v>1</v>
      </c>
      <c r="BA647">
        <f>SUM(Pre[[#This Row],[1]:[46]])</f>
        <v>3</v>
      </c>
    </row>
    <row r="648" spans="1:53" x14ac:dyDescent="0.2">
      <c r="A648" t="s">
        <v>48</v>
      </c>
      <c r="B648" t="s">
        <v>6</v>
      </c>
      <c r="C648">
        <v>30941</v>
      </c>
      <c r="D648" t="s">
        <v>7</v>
      </c>
      <c r="E648" t="s">
        <v>14</v>
      </c>
      <c r="F648" t="s">
        <v>20</v>
      </c>
      <c r="H648">
        <v>1</v>
      </c>
      <c r="N648">
        <v>1</v>
      </c>
      <c r="AB648">
        <v>1</v>
      </c>
      <c r="AN648">
        <v>1</v>
      </c>
      <c r="BA648">
        <f>SUM(Pre[[#This Row],[1]:[46]])</f>
        <v>4</v>
      </c>
    </row>
    <row r="649" spans="1:53" x14ac:dyDescent="0.2">
      <c r="A649" t="s">
        <v>48</v>
      </c>
      <c r="B649" t="s">
        <v>6</v>
      </c>
      <c r="C649">
        <v>32756</v>
      </c>
      <c r="D649" t="s">
        <v>7</v>
      </c>
      <c r="E649" t="s">
        <v>14</v>
      </c>
      <c r="F649" t="s">
        <v>20</v>
      </c>
      <c r="BA649">
        <f>SUM(Pre[[#This Row],[1]:[46]])</f>
        <v>0</v>
      </c>
    </row>
    <row r="650" spans="1:53" x14ac:dyDescent="0.2">
      <c r="A650" t="s">
        <v>48</v>
      </c>
      <c r="B650" t="s">
        <v>6</v>
      </c>
      <c r="C650">
        <v>33329</v>
      </c>
      <c r="D650" t="s">
        <v>7</v>
      </c>
      <c r="E650" t="s">
        <v>14</v>
      </c>
      <c r="F650" t="s">
        <v>20</v>
      </c>
      <c r="K650">
        <v>1</v>
      </c>
      <c r="Y650">
        <v>1</v>
      </c>
      <c r="AL650">
        <v>2</v>
      </c>
      <c r="AQ650">
        <v>1</v>
      </c>
      <c r="AY650">
        <v>1</v>
      </c>
      <c r="BA650">
        <f>SUM(Pre[[#This Row],[1]:[46]])</f>
        <v>6</v>
      </c>
    </row>
    <row r="651" spans="1:53" x14ac:dyDescent="0.2">
      <c r="A651" t="s">
        <v>48</v>
      </c>
      <c r="B651" t="s">
        <v>6</v>
      </c>
      <c r="C651">
        <v>33423</v>
      </c>
      <c r="D651" t="s">
        <v>7</v>
      </c>
      <c r="E651" t="s">
        <v>8</v>
      </c>
      <c r="F651" t="s">
        <v>9</v>
      </c>
      <c r="AJ651">
        <v>1</v>
      </c>
      <c r="BA651">
        <f>SUM(Pre[[#This Row],[1]:[46]])</f>
        <v>1</v>
      </c>
    </row>
    <row r="652" spans="1:53" x14ac:dyDescent="0.2">
      <c r="A652" t="s">
        <v>48</v>
      </c>
      <c r="B652" t="s">
        <v>6</v>
      </c>
      <c r="C652">
        <v>33719</v>
      </c>
      <c r="D652" t="s">
        <v>7</v>
      </c>
      <c r="E652" t="s">
        <v>14</v>
      </c>
      <c r="F652" t="s">
        <v>20</v>
      </c>
      <c r="T652">
        <v>2</v>
      </c>
      <c r="AW652">
        <v>1</v>
      </c>
      <c r="AZ652">
        <v>1</v>
      </c>
      <c r="BA652">
        <f>SUM(Pre[[#This Row],[1]:[46]])</f>
        <v>4</v>
      </c>
    </row>
    <row r="653" spans="1:53" x14ac:dyDescent="0.2">
      <c r="A653" t="s">
        <v>48</v>
      </c>
      <c r="B653" t="s">
        <v>6</v>
      </c>
      <c r="C653">
        <v>80</v>
      </c>
      <c r="D653" t="s">
        <v>22</v>
      </c>
      <c r="E653" t="s">
        <v>8</v>
      </c>
      <c r="F653" t="s">
        <v>9</v>
      </c>
      <c r="G653">
        <v>1</v>
      </c>
      <c r="U653">
        <v>1</v>
      </c>
      <c r="AG653">
        <v>1</v>
      </c>
      <c r="AU653">
        <v>1</v>
      </c>
      <c r="BA653">
        <f>SUM(Pre[[#This Row],[1]:[46]])</f>
        <v>4</v>
      </c>
    </row>
    <row r="654" spans="1:53" x14ac:dyDescent="0.2">
      <c r="A654" t="s">
        <v>48</v>
      </c>
      <c r="B654" t="s">
        <v>6</v>
      </c>
      <c r="C654">
        <v>497</v>
      </c>
      <c r="D654" t="s">
        <v>22</v>
      </c>
      <c r="E654" t="s">
        <v>14</v>
      </c>
      <c r="F654" t="s">
        <v>20</v>
      </c>
      <c r="I654">
        <v>1</v>
      </c>
      <c r="N654">
        <v>1</v>
      </c>
      <c r="AD654">
        <v>1</v>
      </c>
      <c r="AS654">
        <v>1</v>
      </c>
      <c r="AW654">
        <v>1</v>
      </c>
      <c r="AZ654">
        <v>1</v>
      </c>
      <c r="BA654">
        <f>SUM(Pre[[#This Row],[1]:[46]])</f>
        <v>6</v>
      </c>
    </row>
    <row r="655" spans="1:53" x14ac:dyDescent="0.2">
      <c r="A655" t="s">
        <v>48</v>
      </c>
      <c r="B655" t="s">
        <v>6</v>
      </c>
      <c r="C655">
        <v>3633</v>
      </c>
      <c r="D655" t="s">
        <v>22</v>
      </c>
      <c r="E655" t="s">
        <v>8</v>
      </c>
      <c r="F655" t="s">
        <v>23</v>
      </c>
      <c r="BA655">
        <f>SUM(Pre[[#This Row],[1]:[46]])</f>
        <v>0</v>
      </c>
    </row>
    <row r="656" spans="1:53" x14ac:dyDescent="0.2">
      <c r="A656" t="s">
        <v>48</v>
      </c>
      <c r="B656" t="s">
        <v>6</v>
      </c>
      <c r="C656">
        <v>3633</v>
      </c>
      <c r="D656" t="s">
        <v>22</v>
      </c>
      <c r="E656" t="s">
        <v>8</v>
      </c>
      <c r="F656" t="s">
        <v>9</v>
      </c>
      <c r="BA656">
        <f>SUM(Pre[[#This Row],[1]:[46]])</f>
        <v>0</v>
      </c>
    </row>
    <row r="657" spans="1:53" x14ac:dyDescent="0.2">
      <c r="A657" t="s">
        <v>48</v>
      </c>
      <c r="B657" t="s">
        <v>6</v>
      </c>
      <c r="C657">
        <v>4592</v>
      </c>
      <c r="D657" t="s">
        <v>22</v>
      </c>
      <c r="E657" t="s">
        <v>14</v>
      </c>
      <c r="F657" t="s">
        <v>21</v>
      </c>
      <c r="I657">
        <v>1</v>
      </c>
      <c r="N657">
        <v>1</v>
      </c>
      <c r="S657">
        <v>1</v>
      </c>
      <c r="X657">
        <v>1</v>
      </c>
      <c r="AC657">
        <v>1</v>
      </c>
      <c r="AH657">
        <v>1</v>
      </c>
      <c r="AM657">
        <v>1</v>
      </c>
      <c r="AR657">
        <v>1</v>
      </c>
      <c r="AW657">
        <v>1</v>
      </c>
      <c r="BA657">
        <f>SUM(Pre[[#This Row],[1]:[46]])</f>
        <v>9</v>
      </c>
    </row>
    <row r="658" spans="1:53" x14ac:dyDescent="0.2">
      <c r="A658" t="s">
        <v>48</v>
      </c>
      <c r="B658" t="s">
        <v>6</v>
      </c>
      <c r="C658">
        <v>4869</v>
      </c>
      <c r="D658" t="s">
        <v>22</v>
      </c>
      <c r="E658" t="s">
        <v>14</v>
      </c>
      <c r="F658" t="s">
        <v>21</v>
      </c>
      <c r="S658">
        <v>1</v>
      </c>
      <c r="AE658">
        <v>1</v>
      </c>
      <c r="AW658">
        <v>1</v>
      </c>
      <c r="BA658">
        <f>SUM(Pre[[#This Row],[1]:[46]])</f>
        <v>3</v>
      </c>
    </row>
    <row r="659" spans="1:53" x14ac:dyDescent="0.2">
      <c r="A659" t="s">
        <v>48</v>
      </c>
      <c r="B659" t="s">
        <v>6</v>
      </c>
      <c r="C659">
        <v>5943</v>
      </c>
      <c r="D659" t="s">
        <v>22</v>
      </c>
      <c r="E659" t="s">
        <v>8</v>
      </c>
      <c r="F659" t="s">
        <v>9</v>
      </c>
      <c r="M659">
        <v>1</v>
      </c>
      <c r="AE659">
        <v>1</v>
      </c>
      <c r="AQ659">
        <v>1</v>
      </c>
      <c r="AR659">
        <v>1</v>
      </c>
      <c r="AT659">
        <v>1</v>
      </c>
      <c r="AV659">
        <v>1</v>
      </c>
      <c r="AW659">
        <v>1</v>
      </c>
      <c r="AZ659">
        <v>1</v>
      </c>
      <c r="BA659">
        <f>SUM(Pre[[#This Row],[1]:[46]])</f>
        <v>8</v>
      </c>
    </row>
    <row r="660" spans="1:53" x14ac:dyDescent="0.2">
      <c r="A660" t="s">
        <v>48</v>
      </c>
      <c r="B660" t="s">
        <v>6</v>
      </c>
      <c r="C660">
        <v>8156</v>
      </c>
      <c r="D660" t="s">
        <v>22</v>
      </c>
      <c r="E660" t="s">
        <v>8</v>
      </c>
      <c r="F660" t="s">
        <v>9</v>
      </c>
      <c r="AC660">
        <v>1</v>
      </c>
      <c r="BA660">
        <f>SUM(Pre[[#This Row],[1]:[46]])</f>
        <v>1</v>
      </c>
    </row>
    <row r="661" spans="1:53" x14ac:dyDescent="0.2">
      <c r="A661" t="s">
        <v>48</v>
      </c>
      <c r="B661" t="s">
        <v>6</v>
      </c>
      <c r="C661">
        <v>8214</v>
      </c>
      <c r="D661" t="s">
        <v>22</v>
      </c>
      <c r="E661" t="s">
        <v>8</v>
      </c>
      <c r="F661" t="s">
        <v>23</v>
      </c>
      <c r="O661">
        <v>1</v>
      </c>
      <c r="Y661">
        <v>1</v>
      </c>
      <c r="AC661">
        <v>1</v>
      </c>
      <c r="BA661">
        <f>SUM(Pre[[#This Row],[1]:[46]])</f>
        <v>3</v>
      </c>
    </row>
    <row r="662" spans="1:53" x14ac:dyDescent="0.2">
      <c r="A662" t="s">
        <v>48</v>
      </c>
      <c r="B662" t="s">
        <v>6</v>
      </c>
      <c r="C662">
        <v>8904</v>
      </c>
      <c r="D662" t="s">
        <v>22</v>
      </c>
      <c r="E662" t="s">
        <v>14</v>
      </c>
      <c r="F662" t="s">
        <v>20</v>
      </c>
      <c r="R662">
        <v>1</v>
      </c>
      <c r="AI662">
        <v>1</v>
      </c>
      <c r="AV662">
        <v>1</v>
      </c>
      <c r="BA662">
        <f>SUM(Pre[[#This Row],[1]:[46]])</f>
        <v>3</v>
      </c>
    </row>
    <row r="663" spans="1:53" x14ac:dyDescent="0.2">
      <c r="A663" t="s">
        <v>48</v>
      </c>
      <c r="B663" t="s">
        <v>6</v>
      </c>
      <c r="C663">
        <v>9528</v>
      </c>
      <c r="D663" t="s">
        <v>22</v>
      </c>
      <c r="E663" t="s">
        <v>14</v>
      </c>
      <c r="F663" t="s">
        <v>19</v>
      </c>
      <c r="G663">
        <v>1</v>
      </c>
      <c r="BA663">
        <f>SUM(Pre[[#This Row],[1]:[46]])</f>
        <v>1</v>
      </c>
    </row>
    <row r="664" spans="1:53" x14ac:dyDescent="0.2">
      <c r="A664" t="s">
        <v>48</v>
      </c>
      <c r="B664" t="s">
        <v>6</v>
      </c>
      <c r="C664">
        <v>9528</v>
      </c>
      <c r="D664" t="s">
        <v>22</v>
      </c>
      <c r="E664" t="s">
        <v>14</v>
      </c>
      <c r="F664" t="s">
        <v>20</v>
      </c>
      <c r="H664">
        <v>2</v>
      </c>
      <c r="AA664">
        <v>1</v>
      </c>
      <c r="AN664">
        <v>1</v>
      </c>
      <c r="BA664">
        <f>SUM(Pre[[#This Row],[1]:[46]])</f>
        <v>4</v>
      </c>
    </row>
    <row r="665" spans="1:53" x14ac:dyDescent="0.2">
      <c r="A665" t="s">
        <v>48</v>
      </c>
      <c r="B665" t="s">
        <v>6</v>
      </c>
      <c r="C665">
        <v>9547</v>
      </c>
      <c r="D665" t="s">
        <v>22</v>
      </c>
      <c r="E665" t="s">
        <v>8</v>
      </c>
      <c r="F665" t="s">
        <v>23</v>
      </c>
      <c r="O665">
        <v>1</v>
      </c>
      <c r="AB665">
        <v>1</v>
      </c>
      <c r="AO665">
        <v>1</v>
      </c>
      <c r="AZ665">
        <v>1</v>
      </c>
      <c r="BA665">
        <f>SUM(Pre[[#This Row],[1]:[46]])</f>
        <v>4</v>
      </c>
    </row>
    <row r="666" spans="1:53" x14ac:dyDescent="0.2">
      <c r="A666" t="s">
        <v>48</v>
      </c>
      <c r="B666" t="s">
        <v>6</v>
      </c>
      <c r="C666">
        <v>9555</v>
      </c>
      <c r="D666" t="s">
        <v>22</v>
      </c>
      <c r="E666" t="s">
        <v>8</v>
      </c>
      <c r="F666" t="s">
        <v>29</v>
      </c>
      <c r="H666">
        <v>2</v>
      </c>
      <c r="I666">
        <v>1</v>
      </c>
      <c r="K666">
        <v>1</v>
      </c>
      <c r="M666">
        <v>1</v>
      </c>
      <c r="N666">
        <v>1</v>
      </c>
      <c r="O666">
        <v>1</v>
      </c>
      <c r="P666">
        <v>2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AB666">
        <v>1</v>
      </c>
      <c r="AC666">
        <v>1</v>
      </c>
      <c r="AD666">
        <v>2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P666">
        <v>1</v>
      </c>
      <c r="AR666">
        <v>1</v>
      </c>
      <c r="AS666">
        <v>1</v>
      </c>
      <c r="AT666">
        <v>2</v>
      </c>
      <c r="AU666">
        <v>2</v>
      </c>
      <c r="AV666">
        <v>2</v>
      </c>
      <c r="AX666">
        <v>1</v>
      </c>
      <c r="AY666">
        <v>2</v>
      </c>
      <c r="AZ666">
        <v>1</v>
      </c>
      <c r="BA666">
        <f>SUM(Pre[[#This Row],[1]:[46]])</f>
        <v>46</v>
      </c>
    </row>
    <row r="667" spans="1:53" x14ac:dyDescent="0.2">
      <c r="A667" t="s">
        <v>48</v>
      </c>
      <c r="B667" t="s">
        <v>6</v>
      </c>
      <c r="C667">
        <v>10276</v>
      </c>
      <c r="D667" t="s">
        <v>22</v>
      </c>
      <c r="E667" t="s">
        <v>8</v>
      </c>
      <c r="F667" t="s">
        <v>30</v>
      </c>
      <c r="O667">
        <v>1</v>
      </c>
      <c r="AA667">
        <v>1</v>
      </c>
      <c r="AM667">
        <v>1</v>
      </c>
      <c r="AV667">
        <v>2</v>
      </c>
      <c r="BA667">
        <f>SUM(Pre[[#This Row],[1]:[46]])</f>
        <v>5</v>
      </c>
    </row>
    <row r="668" spans="1:53" x14ac:dyDescent="0.2">
      <c r="A668" t="s">
        <v>48</v>
      </c>
      <c r="B668" t="s">
        <v>6</v>
      </c>
      <c r="C668">
        <v>10276</v>
      </c>
      <c r="D668" t="s">
        <v>22</v>
      </c>
      <c r="E668" t="s">
        <v>26</v>
      </c>
      <c r="F668" t="s">
        <v>27</v>
      </c>
      <c r="O668">
        <v>1</v>
      </c>
      <c r="AA668">
        <v>1</v>
      </c>
      <c r="AM668">
        <v>1</v>
      </c>
      <c r="AV668">
        <v>2</v>
      </c>
      <c r="BA668">
        <f>SUM(Pre[[#This Row],[1]:[46]])</f>
        <v>5</v>
      </c>
    </row>
    <row r="669" spans="1:53" x14ac:dyDescent="0.2">
      <c r="A669" t="s">
        <v>48</v>
      </c>
      <c r="B669" t="s">
        <v>6</v>
      </c>
      <c r="C669">
        <v>10510</v>
      </c>
      <c r="D669" t="s">
        <v>22</v>
      </c>
      <c r="E669" t="s">
        <v>8</v>
      </c>
      <c r="F669" t="s">
        <v>9</v>
      </c>
      <c r="BA669">
        <f>SUM(Pre[[#This Row],[1]:[46]])</f>
        <v>0</v>
      </c>
    </row>
    <row r="670" spans="1:53" x14ac:dyDescent="0.2">
      <c r="A670" t="s">
        <v>48</v>
      </c>
      <c r="B670" t="s">
        <v>6</v>
      </c>
      <c r="C670">
        <v>10510</v>
      </c>
      <c r="D670" t="s">
        <v>22</v>
      </c>
      <c r="E670" t="s">
        <v>14</v>
      </c>
      <c r="F670" t="s">
        <v>20</v>
      </c>
      <c r="S670">
        <v>1</v>
      </c>
      <c r="AF670">
        <v>1</v>
      </c>
      <c r="AO670">
        <v>1</v>
      </c>
      <c r="BA670">
        <f>SUM(Pre[[#This Row],[1]:[46]])</f>
        <v>3</v>
      </c>
    </row>
    <row r="671" spans="1:53" x14ac:dyDescent="0.2">
      <c r="A671" t="s">
        <v>48</v>
      </c>
      <c r="B671" t="s">
        <v>6</v>
      </c>
      <c r="C671">
        <v>11202</v>
      </c>
      <c r="D671" t="s">
        <v>22</v>
      </c>
      <c r="E671" t="s">
        <v>8</v>
      </c>
      <c r="F671" t="s">
        <v>23</v>
      </c>
      <c r="J671">
        <v>1</v>
      </c>
      <c r="N671">
        <v>1</v>
      </c>
      <c r="S671">
        <v>1</v>
      </c>
      <c r="W671">
        <v>1</v>
      </c>
      <c r="AB671">
        <v>1</v>
      </c>
      <c r="AG671">
        <v>1</v>
      </c>
      <c r="AK671">
        <v>1</v>
      </c>
      <c r="AP671">
        <v>1</v>
      </c>
      <c r="AU671">
        <v>1</v>
      </c>
      <c r="BA671">
        <f>SUM(Pre[[#This Row],[1]:[46]])</f>
        <v>9</v>
      </c>
    </row>
    <row r="672" spans="1:53" x14ac:dyDescent="0.2">
      <c r="A672" t="s">
        <v>48</v>
      </c>
      <c r="B672" t="s">
        <v>6</v>
      </c>
      <c r="C672">
        <v>15642</v>
      </c>
      <c r="D672" t="s">
        <v>22</v>
      </c>
      <c r="E672" t="s">
        <v>14</v>
      </c>
      <c r="F672" t="s">
        <v>19</v>
      </c>
      <c r="BA672">
        <f>SUM(Pre[[#This Row],[1]:[46]])</f>
        <v>0</v>
      </c>
    </row>
    <row r="673" spans="1:53" x14ac:dyDescent="0.2">
      <c r="A673" t="s">
        <v>48</v>
      </c>
      <c r="B673" t="s">
        <v>6</v>
      </c>
      <c r="C673">
        <v>15642</v>
      </c>
      <c r="D673" t="s">
        <v>22</v>
      </c>
      <c r="E673" t="s">
        <v>14</v>
      </c>
      <c r="F673" t="s">
        <v>20</v>
      </c>
      <c r="L673">
        <v>1</v>
      </c>
      <c r="Q673">
        <v>1</v>
      </c>
      <c r="S673">
        <v>1</v>
      </c>
      <c r="X673">
        <v>1</v>
      </c>
      <c r="AA673">
        <v>1</v>
      </c>
      <c r="AF673">
        <v>1</v>
      </c>
      <c r="AJ673">
        <v>1</v>
      </c>
      <c r="AU673">
        <v>2</v>
      </c>
      <c r="AY673">
        <v>1</v>
      </c>
      <c r="BA673">
        <f>SUM(Pre[[#This Row],[1]:[46]])</f>
        <v>10</v>
      </c>
    </row>
    <row r="674" spans="1:53" x14ac:dyDescent="0.2">
      <c r="A674" t="s">
        <v>48</v>
      </c>
      <c r="B674" t="s">
        <v>6</v>
      </c>
      <c r="C674">
        <v>17814</v>
      </c>
      <c r="D674" t="s">
        <v>22</v>
      </c>
      <c r="E674" t="s">
        <v>10</v>
      </c>
      <c r="F674" t="s">
        <v>11</v>
      </c>
      <c r="H674">
        <v>1</v>
      </c>
      <c r="X674">
        <v>2</v>
      </c>
      <c r="BA674">
        <f>SUM(Pre[[#This Row],[1]:[46]])</f>
        <v>3</v>
      </c>
    </row>
    <row r="675" spans="1:53" x14ac:dyDescent="0.2">
      <c r="A675" t="s">
        <v>48</v>
      </c>
      <c r="B675" t="s">
        <v>6</v>
      </c>
      <c r="C675">
        <v>18970</v>
      </c>
      <c r="D675" t="s">
        <v>22</v>
      </c>
      <c r="E675" t="s">
        <v>8</v>
      </c>
      <c r="F675" t="s">
        <v>29</v>
      </c>
      <c r="I675">
        <v>1</v>
      </c>
      <c r="N675">
        <v>1</v>
      </c>
      <c r="S675">
        <v>1</v>
      </c>
      <c r="X675">
        <v>1</v>
      </c>
      <c r="AC675">
        <v>1</v>
      </c>
      <c r="AH675">
        <v>1</v>
      </c>
      <c r="AM675">
        <v>1</v>
      </c>
      <c r="AR675">
        <v>1</v>
      </c>
      <c r="AW675">
        <v>1</v>
      </c>
      <c r="BA675">
        <f>SUM(Pre[[#This Row],[1]:[46]])</f>
        <v>9</v>
      </c>
    </row>
    <row r="676" spans="1:53" x14ac:dyDescent="0.2">
      <c r="A676" t="s">
        <v>48</v>
      </c>
      <c r="B676" t="s">
        <v>6</v>
      </c>
      <c r="C676">
        <v>21786</v>
      </c>
      <c r="D676" t="s">
        <v>22</v>
      </c>
      <c r="E676" t="s">
        <v>10</v>
      </c>
      <c r="F676" t="s">
        <v>11</v>
      </c>
      <c r="K676">
        <v>1</v>
      </c>
      <c r="BA676">
        <f>SUM(Pre[[#This Row],[1]:[46]])</f>
        <v>1</v>
      </c>
    </row>
    <row r="677" spans="1:53" x14ac:dyDescent="0.2">
      <c r="A677" t="s">
        <v>48</v>
      </c>
      <c r="B677" t="s">
        <v>6</v>
      </c>
      <c r="C677">
        <v>21786</v>
      </c>
      <c r="D677" t="s">
        <v>22</v>
      </c>
      <c r="E677" t="s">
        <v>14</v>
      </c>
      <c r="F677" t="s">
        <v>19</v>
      </c>
      <c r="Y677">
        <v>2</v>
      </c>
      <c r="BA677">
        <f>SUM(Pre[[#This Row],[1]:[46]])</f>
        <v>2</v>
      </c>
    </row>
    <row r="678" spans="1:53" x14ac:dyDescent="0.2">
      <c r="A678" t="s">
        <v>48</v>
      </c>
      <c r="B678" t="s">
        <v>6</v>
      </c>
      <c r="C678">
        <v>28941</v>
      </c>
      <c r="D678" t="s">
        <v>22</v>
      </c>
      <c r="E678" t="s">
        <v>40</v>
      </c>
      <c r="F678" t="s">
        <v>41</v>
      </c>
      <c r="X678">
        <v>1</v>
      </c>
      <c r="BA678">
        <f>SUM(Pre[[#This Row],[1]:[46]])</f>
        <v>1</v>
      </c>
    </row>
    <row r="679" spans="1:53" x14ac:dyDescent="0.2">
      <c r="A679" t="s">
        <v>48</v>
      </c>
      <c r="B679" t="s">
        <v>6</v>
      </c>
      <c r="C679">
        <v>28941</v>
      </c>
      <c r="D679" t="s">
        <v>22</v>
      </c>
      <c r="E679" t="s">
        <v>14</v>
      </c>
      <c r="F679" t="s">
        <v>20</v>
      </c>
      <c r="W679">
        <v>1</v>
      </c>
      <c r="AO679">
        <v>1</v>
      </c>
      <c r="BA679">
        <f>SUM(Pre[[#This Row],[1]:[46]])</f>
        <v>2</v>
      </c>
    </row>
    <row r="680" spans="1:53" x14ac:dyDescent="0.2">
      <c r="A680" t="s">
        <v>48</v>
      </c>
      <c r="B680" t="s">
        <v>6</v>
      </c>
      <c r="C680">
        <v>29393</v>
      </c>
      <c r="D680" t="s">
        <v>22</v>
      </c>
      <c r="E680" t="s">
        <v>14</v>
      </c>
      <c r="F680" t="s">
        <v>20</v>
      </c>
      <c r="AV680">
        <v>1</v>
      </c>
      <c r="BA680">
        <f>SUM(Pre[[#This Row],[1]:[46]])</f>
        <v>1</v>
      </c>
    </row>
    <row r="681" spans="1:53" x14ac:dyDescent="0.2">
      <c r="A681" t="s">
        <v>48</v>
      </c>
      <c r="B681" t="s">
        <v>6</v>
      </c>
      <c r="C681">
        <v>29938</v>
      </c>
      <c r="D681" t="s">
        <v>22</v>
      </c>
      <c r="E681" t="s">
        <v>40</v>
      </c>
      <c r="F681" t="s">
        <v>41</v>
      </c>
      <c r="AQ681">
        <v>2</v>
      </c>
      <c r="AS681">
        <v>1</v>
      </c>
      <c r="AU681">
        <v>1</v>
      </c>
      <c r="AZ681">
        <v>2</v>
      </c>
      <c r="BA681">
        <f>SUM(Pre[[#This Row],[1]:[46]])</f>
        <v>6</v>
      </c>
    </row>
    <row r="682" spans="1:53" x14ac:dyDescent="0.2">
      <c r="A682" t="s">
        <v>48</v>
      </c>
      <c r="B682" t="s">
        <v>6</v>
      </c>
      <c r="C682">
        <v>29938</v>
      </c>
      <c r="D682" t="s">
        <v>22</v>
      </c>
      <c r="E682" t="s">
        <v>8</v>
      </c>
      <c r="F682" t="s">
        <v>23</v>
      </c>
      <c r="R682">
        <v>1</v>
      </c>
      <c r="AL682">
        <v>2</v>
      </c>
      <c r="AZ682">
        <v>2</v>
      </c>
      <c r="BA682">
        <f>SUM(Pre[[#This Row],[1]:[46]])</f>
        <v>5</v>
      </c>
    </row>
    <row r="683" spans="1:53" x14ac:dyDescent="0.2">
      <c r="A683" t="s">
        <v>48</v>
      </c>
      <c r="B683" t="s">
        <v>6</v>
      </c>
      <c r="C683">
        <v>29938</v>
      </c>
      <c r="D683" t="s">
        <v>22</v>
      </c>
      <c r="E683" t="s">
        <v>14</v>
      </c>
      <c r="F683" t="s">
        <v>20</v>
      </c>
      <c r="X683">
        <v>2</v>
      </c>
      <c r="AB683">
        <v>1</v>
      </c>
      <c r="AF683">
        <v>1</v>
      </c>
      <c r="AJ683">
        <v>1</v>
      </c>
      <c r="AO683">
        <v>1</v>
      </c>
      <c r="AS683">
        <v>1</v>
      </c>
      <c r="AW683">
        <v>1</v>
      </c>
      <c r="BA683">
        <f>SUM(Pre[[#This Row],[1]:[46]])</f>
        <v>8</v>
      </c>
    </row>
    <row r="684" spans="1:53" x14ac:dyDescent="0.2">
      <c r="A684" t="s">
        <v>48</v>
      </c>
      <c r="B684" t="s">
        <v>6</v>
      </c>
      <c r="C684">
        <v>30080</v>
      </c>
      <c r="D684" t="s">
        <v>22</v>
      </c>
      <c r="E684" t="s">
        <v>37</v>
      </c>
      <c r="F684" t="s">
        <v>39</v>
      </c>
      <c r="R684">
        <v>2</v>
      </c>
      <c r="T684">
        <v>2</v>
      </c>
      <c r="U684">
        <v>1</v>
      </c>
      <c r="W684">
        <v>2</v>
      </c>
      <c r="Y684">
        <v>2</v>
      </c>
      <c r="Z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Q684">
        <v>1</v>
      </c>
      <c r="AS684">
        <v>1</v>
      </c>
      <c r="AU684">
        <v>1</v>
      </c>
      <c r="AV684">
        <v>1</v>
      </c>
      <c r="AW684">
        <v>1</v>
      </c>
      <c r="AX684">
        <v>1</v>
      </c>
      <c r="AZ684">
        <v>1</v>
      </c>
      <c r="BA684">
        <f>SUM(Pre[[#This Row],[1]:[46]])</f>
        <v>31</v>
      </c>
    </row>
    <row r="685" spans="1:53" x14ac:dyDescent="0.2">
      <c r="A685" t="s">
        <v>48</v>
      </c>
      <c r="B685" t="s">
        <v>6</v>
      </c>
      <c r="C685">
        <v>30080</v>
      </c>
      <c r="D685" t="s">
        <v>22</v>
      </c>
      <c r="E685" t="s">
        <v>37</v>
      </c>
      <c r="F685" t="s">
        <v>38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BA685">
        <f>SUM(Pre[[#This Row],[1]:[46]])</f>
        <v>10</v>
      </c>
    </row>
    <row r="686" spans="1:53" x14ac:dyDescent="0.2">
      <c r="A686" t="s">
        <v>48</v>
      </c>
      <c r="B686" t="s">
        <v>6</v>
      </c>
      <c r="C686">
        <v>30080</v>
      </c>
      <c r="D686" t="s">
        <v>22</v>
      </c>
      <c r="E686" t="s">
        <v>8</v>
      </c>
      <c r="F686" t="s">
        <v>9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R686">
        <v>2</v>
      </c>
      <c r="T686">
        <v>2</v>
      </c>
      <c r="U686">
        <v>1</v>
      </c>
      <c r="W686">
        <v>2</v>
      </c>
      <c r="Y686">
        <v>2</v>
      </c>
      <c r="Z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Q686">
        <v>1</v>
      </c>
      <c r="AS686">
        <v>1</v>
      </c>
      <c r="AU686">
        <v>1</v>
      </c>
      <c r="AV686">
        <v>1</v>
      </c>
      <c r="AW686">
        <v>1</v>
      </c>
      <c r="AX686">
        <v>1</v>
      </c>
      <c r="AZ686">
        <v>1</v>
      </c>
      <c r="BA686">
        <f>SUM(Pre[[#This Row],[1]:[46]])</f>
        <v>40</v>
      </c>
    </row>
    <row r="687" spans="1:53" x14ac:dyDescent="0.2">
      <c r="A687" t="s">
        <v>48</v>
      </c>
      <c r="B687" t="s">
        <v>6</v>
      </c>
      <c r="C687">
        <v>28504</v>
      </c>
      <c r="D687" t="s">
        <v>7</v>
      </c>
      <c r="E687" t="s">
        <v>14</v>
      </c>
      <c r="F687" t="s">
        <v>20</v>
      </c>
      <c r="AH687">
        <v>1</v>
      </c>
      <c r="AX687">
        <v>1</v>
      </c>
      <c r="BA687">
        <f>SUM(Pre[[#This Row],[1]:[46]])</f>
        <v>2</v>
      </c>
    </row>
    <row r="688" spans="1:53" x14ac:dyDescent="0.2">
      <c r="A688" t="s">
        <v>48</v>
      </c>
      <c r="B688" t="s">
        <v>6</v>
      </c>
      <c r="C688">
        <v>30192</v>
      </c>
      <c r="D688" t="s">
        <v>7</v>
      </c>
      <c r="E688" t="s">
        <v>14</v>
      </c>
      <c r="F688" t="s">
        <v>20</v>
      </c>
      <c r="AC688">
        <v>1</v>
      </c>
      <c r="BA688">
        <f>SUM(Pre[[#This Row],[1]:[46]])</f>
        <v>1</v>
      </c>
    </row>
    <row r="689" spans="1:53" x14ac:dyDescent="0.2">
      <c r="A689" t="s">
        <v>48</v>
      </c>
      <c r="B689" t="s">
        <v>6</v>
      </c>
      <c r="C689">
        <v>33031</v>
      </c>
      <c r="D689" t="s">
        <v>7</v>
      </c>
      <c r="E689" t="s">
        <v>14</v>
      </c>
      <c r="F689" t="s">
        <v>19</v>
      </c>
      <c r="BA689">
        <f>SUM(Pre[[#This Row],[1]:[46]])</f>
        <v>0</v>
      </c>
    </row>
    <row r="690" spans="1:53" x14ac:dyDescent="0.2">
      <c r="A690" t="s">
        <v>48</v>
      </c>
      <c r="B690" t="s">
        <v>6</v>
      </c>
      <c r="C690">
        <v>10078</v>
      </c>
      <c r="D690" t="s">
        <v>22</v>
      </c>
      <c r="E690" t="s">
        <v>14</v>
      </c>
      <c r="F690" t="s">
        <v>20</v>
      </c>
      <c r="N690">
        <v>1</v>
      </c>
      <c r="AA690">
        <v>1</v>
      </c>
      <c r="AN690">
        <v>1</v>
      </c>
      <c r="BA690">
        <f>SUM(Pre[[#This Row],[1]:[46]])</f>
        <v>3</v>
      </c>
    </row>
    <row r="691" spans="1:53" x14ac:dyDescent="0.2">
      <c r="A691" t="s">
        <v>48</v>
      </c>
      <c r="B691" t="s">
        <v>6</v>
      </c>
      <c r="C691">
        <v>21529</v>
      </c>
      <c r="D691" t="s">
        <v>22</v>
      </c>
      <c r="E691" t="s">
        <v>14</v>
      </c>
      <c r="F691" t="s">
        <v>20</v>
      </c>
      <c r="AV691">
        <v>1</v>
      </c>
      <c r="AX691">
        <v>1</v>
      </c>
      <c r="AZ691">
        <v>1</v>
      </c>
      <c r="BA691">
        <f>SUM(Pre[[#This Row],[1]:[46]])</f>
        <v>3</v>
      </c>
    </row>
    <row r="692" spans="1:53" x14ac:dyDescent="0.2">
      <c r="A692" t="s">
        <v>48</v>
      </c>
      <c r="B692" t="s">
        <v>6</v>
      </c>
      <c r="C692">
        <v>1028</v>
      </c>
      <c r="D692" t="s">
        <v>7</v>
      </c>
      <c r="E692" t="s">
        <v>14</v>
      </c>
      <c r="F692" t="s">
        <v>20</v>
      </c>
      <c r="J692">
        <v>1</v>
      </c>
      <c r="W692">
        <v>1</v>
      </c>
      <c r="AE692">
        <v>1</v>
      </c>
      <c r="AZ692">
        <v>1</v>
      </c>
      <c r="BA692">
        <f>SUM(Pre[[#This Row],[1]:[46]])</f>
        <v>4</v>
      </c>
    </row>
    <row r="693" spans="1:53" x14ac:dyDescent="0.2">
      <c r="A693" t="s">
        <v>48</v>
      </c>
      <c r="B693" t="s">
        <v>6</v>
      </c>
      <c r="C693">
        <v>1558</v>
      </c>
      <c r="D693" t="s">
        <v>7</v>
      </c>
      <c r="E693" t="s">
        <v>14</v>
      </c>
      <c r="F693" t="s">
        <v>19</v>
      </c>
      <c r="U693">
        <v>1</v>
      </c>
      <c r="BA693">
        <f>SUM(Pre[[#This Row],[1]:[46]])</f>
        <v>1</v>
      </c>
    </row>
    <row r="694" spans="1:53" x14ac:dyDescent="0.2">
      <c r="A694" t="s">
        <v>48</v>
      </c>
      <c r="B694" t="s">
        <v>6</v>
      </c>
      <c r="C694">
        <v>6817</v>
      </c>
      <c r="D694" t="s">
        <v>7</v>
      </c>
      <c r="E694" t="s">
        <v>14</v>
      </c>
      <c r="F694" t="s">
        <v>20</v>
      </c>
      <c r="L694">
        <v>1</v>
      </c>
      <c r="AE694">
        <v>1</v>
      </c>
      <c r="AP694">
        <v>1</v>
      </c>
      <c r="BA694">
        <f>SUM(Pre[[#This Row],[1]:[46]])</f>
        <v>3</v>
      </c>
    </row>
    <row r="695" spans="1:53" x14ac:dyDescent="0.2">
      <c r="A695" t="s">
        <v>48</v>
      </c>
      <c r="B695" t="s">
        <v>6</v>
      </c>
      <c r="C695">
        <v>6878</v>
      </c>
      <c r="D695" t="s">
        <v>7</v>
      </c>
      <c r="E695" t="s">
        <v>14</v>
      </c>
      <c r="F695" t="s">
        <v>20</v>
      </c>
      <c r="AH695">
        <v>1</v>
      </c>
      <c r="BA695">
        <f>SUM(Pre[[#This Row],[1]:[46]])</f>
        <v>1</v>
      </c>
    </row>
    <row r="696" spans="1:53" x14ac:dyDescent="0.2">
      <c r="A696" t="s">
        <v>48</v>
      </c>
      <c r="B696" t="s">
        <v>6</v>
      </c>
      <c r="C696">
        <v>8774</v>
      </c>
      <c r="D696" t="s">
        <v>7</v>
      </c>
      <c r="E696" t="s">
        <v>14</v>
      </c>
      <c r="F696" t="s">
        <v>20</v>
      </c>
      <c r="O696">
        <v>1</v>
      </c>
      <c r="X696">
        <v>1</v>
      </c>
      <c r="AQ696">
        <v>1</v>
      </c>
      <c r="BA696">
        <f>SUM(Pre[[#This Row],[1]:[46]])</f>
        <v>3</v>
      </c>
    </row>
    <row r="697" spans="1:53" x14ac:dyDescent="0.2">
      <c r="A697" t="s">
        <v>48</v>
      </c>
      <c r="B697" t="s">
        <v>6</v>
      </c>
      <c r="C697">
        <v>10275</v>
      </c>
      <c r="D697" t="s">
        <v>7</v>
      </c>
      <c r="E697" t="s">
        <v>14</v>
      </c>
      <c r="F697" t="s">
        <v>31</v>
      </c>
      <c r="L697">
        <v>1</v>
      </c>
      <c r="Y697">
        <v>2</v>
      </c>
      <c r="AK697">
        <v>1</v>
      </c>
      <c r="AX697">
        <v>1</v>
      </c>
      <c r="BA697">
        <f>SUM(Pre[[#This Row],[1]:[46]])</f>
        <v>5</v>
      </c>
    </row>
    <row r="698" spans="1:53" x14ac:dyDescent="0.2">
      <c r="A698" t="s">
        <v>48</v>
      </c>
      <c r="B698" t="s">
        <v>6</v>
      </c>
      <c r="C698">
        <v>14991</v>
      </c>
      <c r="D698" t="s">
        <v>7</v>
      </c>
      <c r="E698" t="s">
        <v>14</v>
      </c>
      <c r="F698" t="s">
        <v>19</v>
      </c>
      <c r="T698">
        <v>2</v>
      </c>
      <c r="Y698">
        <v>1</v>
      </c>
      <c r="AC698">
        <v>1</v>
      </c>
      <c r="AH698">
        <v>1</v>
      </c>
      <c r="AK698">
        <v>1</v>
      </c>
      <c r="AQ698">
        <v>1</v>
      </c>
      <c r="AT698">
        <v>2</v>
      </c>
      <c r="AX698">
        <v>2</v>
      </c>
      <c r="BA698">
        <f>SUM(Pre[[#This Row],[1]:[46]])</f>
        <v>11</v>
      </c>
    </row>
    <row r="699" spans="1:53" x14ac:dyDescent="0.2">
      <c r="A699" t="s">
        <v>48</v>
      </c>
      <c r="B699" t="s">
        <v>6</v>
      </c>
      <c r="C699">
        <v>18020</v>
      </c>
      <c r="D699" t="s">
        <v>7</v>
      </c>
      <c r="E699" t="s">
        <v>14</v>
      </c>
      <c r="F699" t="s">
        <v>20</v>
      </c>
      <c r="Q699">
        <v>1</v>
      </c>
      <c r="AG699">
        <v>1</v>
      </c>
      <c r="BA699">
        <f>SUM(Pre[[#This Row],[1]:[46]])</f>
        <v>2</v>
      </c>
    </row>
    <row r="700" spans="1:53" x14ac:dyDescent="0.2">
      <c r="A700" t="s">
        <v>48</v>
      </c>
      <c r="B700" t="s">
        <v>6</v>
      </c>
      <c r="C700">
        <v>21170</v>
      </c>
      <c r="D700" t="s">
        <v>7</v>
      </c>
      <c r="E700" t="s">
        <v>14</v>
      </c>
      <c r="F700" t="s">
        <v>19</v>
      </c>
      <c r="AV700">
        <v>2</v>
      </c>
      <c r="BA700">
        <f>SUM(Pre[[#This Row],[1]:[46]])</f>
        <v>2</v>
      </c>
    </row>
    <row r="701" spans="1:53" x14ac:dyDescent="0.2">
      <c r="A701" t="s">
        <v>48</v>
      </c>
      <c r="B701" t="s">
        <v>6</v>
      </c>
      <c r="C701">
        <v>8557</v>
      </c>
      <c r="D701" t="s">
        <v>22</v>
      </c>
      <c r="E701" t="s">
        <v>14</v>
      </c>
      <c r="F701" t="s">
        <v>20</v>
      </c>
      <c r="R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f>SUM(Pre[[#This Row],[1]:[46]])</f>
        <v>21</v>
      </c>
    </row>
    <row r="702" spans="1:53" x14ac:dyDescent="0.2">
      <c r="A702" t="s">
        <v>48</v>
      </c>
      <c r="B702" t="s">
        <v>6</v>
      </c>
      <c r="C702">
        <v>18493</v>
      </c>
      <c r="D702" t="s">
        <v>22</v>
      </c>
      <c r="E702" t="s">
        <v>14</v>
      </c>
      <c r="F702" t="s">
        <v>19</v>
      </c>
      <c r="G702">
        <v>7</v>
      </c>
      <c r="H702">
        <v>7</v>
      </c>
      <c r="I702">
        <v>7</v>
      </c>
      <c r="J702">
        <v>7</v>
      </c>
      <c r="K702">
        <v>7</v>
      </c>
      <c r="L702">
        <v>7</v>
      </c>
      <c r="M702">
        <v>7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>
        <v>7</v>
      </c>
      <c r="Y702">
        <v>7</v>
      </c>
      <c r="Z702">
        <v>7</v>
      </c>
      <c r="AA702">
        <v>7</v>
      </c>
      <c r="AB702">
        <v>7</v>
      </c>
      <c r="AC702">
        <v>7</v>
      </c>
      <c r="AD702">
        <v>7</v>
      </c>
      <c r="AE702">
        <v>7</v>
      </c>
      <c r="AF702">
        <v>7</v>
      </c>
      <c r="AG702">
        <v>7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7</v>
      </c>
      <c r="AO702">
        <v>7</v>
      </c>
      <c r="AP702">
        <v>6</v>
      </c>
      <c r="BA702">
        <f>SUM(Pre[[#This Row],[1]:[46]])</f>
        <v>251</v>
      </c>
    </row>
    <row r="703" spans="1:53" x14ac:dyDescent="0.2">
      <c r="A703" t="s">
        <v>48</v>
      </c>
      <c r="B703" t="s">
        <v>6</v>
      </c>
      <c r="C703">
        <v>29458</v>
      </c>
      <c r="D703" t="s">
        <v>22</v>
      </c>
      <c r="E703" t="s">
        <v>10</v>
      </c>
      <c r="F703" t="s">
        <v>11</v>
      </c>
      <c r="I703">
        <v>1</v>
      </c>
      <c r="N703">
        <v>3</v>
      </c>
      <c r="R703">
        <v>1</v>
      </c>
      <c r="W703">
        <v>1</v>
      </c>
      <c r="AB703">
        <v>1</v>
      </c>
      <c r="AF703">
        <v>2</v>
      </c>
      <c r="AI703">
        <v>1</v>
      </c>
      <c r="BA703">
        <f>SUM(Pre[[#This Row],[1]:[46]])</f>
        <v>10</v>
      </c>
    </row>
    <row r="704" spans="1:53" x14ac:dyDescent="0.2">
      <c r="A704" t="s">
        <v>48</v>
      </c>
      <c r="B704" t="s">
        <v>6</v>
      </c>
      <c r="C704">
        <v>29458</v>
      </c>
      <c r="D704" t="s">
        <v>22</v>
      </c>
      <c r="E704" t="s">
        <v>14</v>
      </c>
      <c r="F704" t="s">
        <v>20</v>
      </c>
      <c r="AL704">
        <v>1</v>
      </c>
      <c r="AN704">
        <v>1</v>
      </c>
      <c r="AR704">
        <v>2</v>
      </c>
      <c r="AU704">
        <v>2</v>
      </c>
      <c r="AZ704">
        <v>1</v>
      </c>
      <c r="BA704">
        <f>SUM(Pre[[#This Row],[1]:[46]])</f>
        <v>7</v>
      </c>
    </row>
    <row r="705" spans="1:53" x14ac:dyDescent="0.2">
      <c r="A705" t="s">
        <v>48</v>
      </c>
      <c r="B705" t="s">
        <v>6</v>
      </c>
      <c r="C705">
        <v>7033</v>
      </c>
      <c r="D705" t="s">
        <v>22</v>
      </c>
      <c r="E705" t="s">
        <v>10</v>
      </c>
      <c r="F705" t="s">
        <v>11</v>
      </c>
      <c r="AZ705">
        <v>1</v>
      </c>
      <c r="BA705">
        <f>SUM(Pre[[#This Row],[1]:[46]])</f>
        <v>1</v>
      </c>
    </row>
    <row r="706" spans="1:53" x14ac:dyDescent="0.2">
      <c r="A706" t="s">
        <v>48</v>
      </c>
      <c r="B706" t="s">
        <v>6</v>
      </c>
      <c r="C706">
        <v>11064</v>
      </c>
      <c r="D706" t="s">
        <v>22</v>
      </c>
      <c r="E706" t="s">
        <v>14</v>
      </c>
      <c r="F706" t="s">
        <v>19</v>
      </c>
      <c r="U706">
        <v>1</v>
      </c>
      <c r="V706">
        <v>1</v>
      </c>
      <c r="Y706">
        <v>1</v>
      </c>
      <c r="AJ706">
        <v>1</v>
      </c>
      <c r="AX706">
        <v>1</v>
      </c>
      <c r="BA706">
        <f>SUM(Pre[[#This Row],[1]:[46]])</f>
        <v>5</v>
      </c>
    </row>
    <row r="707" spans="1:53" x14ac:dyDescent="0.2">
      <c r="A707" t="s">
        <v>48</v>
      </c>
      <c r="B707" t="s">
        <v>6</v>
      </c>
      <c r="C707">
        <v>2048</v>
      </c>
      <c r="D707" t="s">
        <v>7</v>
      </c>
      <c r="E707" t="s">
        <v>14</v>
      </c>
      <c r="F707" t="s">
        <v>19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2</v>
      </c>
      <c r="T707">
        <v>1</v>
      </c>
      <c r="U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H707">
        <v>1</v>
      </c>
      <c r="AI707">
        <v>2</v>
      </c>
      <c r="AJ707">
        <v>1</v>
      </c>
      <c r="AK707">
        <v>1</v>
      </c>
      <c r="AL707">
        <v>2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f>SUM(Pre[[#This Row],[1]:[46]])</f>
        <v>44</v>
      </c>
    </row>
    <row r="708" spans="1:53" x14ac:dyDescent="0.2">
      <c r="A708" t="s">
        <v>48</v>
      </c>
      <c r="B708" t="s">
        <v>6</v>
      </c>
      <c r="C708">
        <v>5944</v>
      </c>
      <c r="D708" t="s">
        <v>7</v>
      </c>
      <c r="E708" t="s">
        <v>14</v>
      </c>
      <c r="F708" t="s">
        <v>20</v>
      </c>
      <c r="U708">
        <v>1</v>
      </c>
      <c r="AH708">
        <v>1</v>
      </c>
      <c r="AJ708">
        <v>1</v>
      </c>
      <c r="AL708">
        <v>1</v>
      </c>
      <c r="AM708">
        <v>1</v>
      </c>
      <c r="AN708">
        <v>1</v>
      </c>
      <c r="AP708">
        <v>1</v>
      </c>
      <c r="AR708">
        <v>1</v>
      </c>
      <c r="AT708">
        <v>1</v>
      </c>
      <c r="AV708">
        <v>1</v>
      </c>
      <c r="AW708">
        <v>1</v>
      </c>
      <c r="AZ708">
        <v>1</v>
      </c>
      <c r="BA708">
        <f>SUM(Pre[[#This Row],[1]:[46]])</f>
        <v>12</v>
      </c>
    </row>
    <row r="709" spans="1:53" x14ac:dyDescent="0.2">
      <c r="A709" t="s">
        <v>48</v>
      </c>
      <c r="B709" t="s">
        <v>6</v>
      </c>
      <c r="C709">
        <v>21554</v>
      </c>
      <c r="D709" t="s">
        <v>7</v>
      </c>
      <c r="E709" t="s">
        <v>14</v>
      </c>
      <c r="F709" t="s">
        <v>35</v>
      </c>
      <c r="Q709">
        <v>1</v>
      </c>
      <c r="AF709">
        <v>1</v>
      </c>
      <c r="AQ709">
        <v>1</v>
      </c>
      <c r="BA709">
        <f>SUM(Pre[[#This Row],[1]:[46]])</f>
        <v>3</v>
      </c>
    </row>
    <row r="710" spans="1:53" x14ac:dyDescent="0.2">
      <c r="A710" t="s">
        <v>48</v>
      </c>
      <c r="B710" t="s">
        <v>6</v>
      </c>
      <c r="C710">
        <v>22714</v>
      </c>
      <c r="D710" t="s">
        <v>7</v>
      </c>
      <c r="E710" t="s">
        <v>14</v>
      </c>
      <c r="F710" t="s">
        <v>19</v>
      </c>
      <c r="P710">
        <v>1</v>
      </c>
      <c r="BA710">
        <f>SUM(Pre[[#This Row],[1]:[46]])</f>
        <v>1</v>
      </c>
    </row>
    <row r="711" spans="1:53" x14ac:dyDescent="0.2">
      <c r="A711" t="s">
        <v>48</v>
      </c>
      <c r="B711" t="s">
        <v>6</v>
      </c>
      <c r="C711">
        <v>9555</v>
      </c>
      <c r="D711" t="s">
        <v>22</v>
      </c>
      <c r="E711" t="s">
        <v>14</v>
      </c>
      <c r="F711" t="s">
        <v>20</v>
      </c>
      <c r="H711">
        <v>2</v>
      </c>
      <c r="I711">
        <v>1</v>
      </c>
      <c r="K711">
        <v>1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2</v>
      </c>
      <c r="AB711">
        <v>1</v>
      </c>
      <c r="AC711">
        <v>1</v>
      </c>
      <c r="AD711">
        <v>2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P711">
        <v>1</v>
      </c>
      <c r="AR711">
        <v>1</v>
      </c>
      <c r="AS711">
        <v>1</v>
      </c>
      <c r="AT711">
        <v>1</v>
      </c>
      <c r="AU711">
        <v>2</v>
      </c>
      <c r="AV711">
        <v>2</v>
      </c>
      <c r="AX711">
        <v>1</v>
      </c>
      <c r="AY711">
        <v>2</v>
      </c>
      <c r="AZ711">
        <v>1</v>
      </c>
      <c r="BA711">
        <f>SUM(Pre[[#This Row],[1]:[46]])</f>
        <v>45</v>
      </c>
    </row>
    <row r="712" spans="1:53" x14ac:dyDescent="0.2">
      <c r="A712" t="s">
        <v>48</v>
      </c>
      <c r="B712" t="s">
        <v>6</v>
      </c>
      <c r="C712">
        <v>11202</v>
      </c>
      <c r="D712" t="s">
        <v>22</v>
      </c>
      <c r="E712" t="s">
        <v>14</v>
      </c>
      <c r="F712" t="s">
        <v>20</v>
      </c>
      <c r="L712">
        <v>1</v>
      </c>
      <c r="Q712">
        <v>1</v>
      </c>
      <c r="AP712">
        <v>1</v>
      </c>
      <c r="AX712">
        <v>1</v>
      </c>
      <c r="BA712">
        <f>SUM(Pre[[#This Row],[1]:[46]])</f>
        <v>4</v>
      </c>
    </row>
    <row r="713" spans="1:53" x14ac:dyDescent="0.2">
      <c r="A713" t="s">
        <v>48</v>
      </c>
      <c r="B713" t="s">
        <v>6</v>
      </c>
      <c r="C713">
        <v>916</v>
      </c>
      <c r="D713" t="s">
        <v>7</v>
      </c>
      <c r="E713" t="s">
        <v>14</v>
      </c>
      <c r="F713" t="s">
        <v>20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2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2</v>
      </c>
      <c r="AK713">
        <v>1</v>
      </c>
      <c r="AL713">
        <v>2</v>
      </c>
      <c r="AM713">
        <v>1</v>
      </c>
      <c r="AN713">
        <v>1</v>
      </c>
      <c r="AO713">
        <v>1</v>
      </c>
      <c r="AP713">
        <v>2</v>
      </c>
      <c r="AQ713">
        <v>1</v>
      </c>
      <c r="AR713">
        <v>1</v>
      </c>
      <c r="AS713">
        <v>1</v>
      </c>
      <c r="AT713">
        <v>2</v>
      </c>
      <c r="AU713">
        <v>1</v>
      </c>
      <c r="AV713">
        <v>1</v>
      </c>
      <c r="AW713">
        <v>1</v>
      </c>
      <c r="AX713">
        <v>3</v>
      </c>
      <c r="AZ713">
        <v>2</v>
      </c>
      <c r="BA713">
        <f>SUM(Pre[[#This Row],[1]:[46]])</f>
        <v>51</v>
      </c>
    </row>
    <row r="714" spans="1:53" x14ac:dyDescent="0.2">
      <c r="A714" t="s">
        <v>48</v>
      </c>
      <c r="B714" t="s">
        <v>6</v>
      </c>
      <c r="C714">
        <v>3851</v>
      </c>
      <c r="D714" t="s">
        <v>7</v>
      </c>
      <c r="E714" t="s">
        <v>14</v>
      </c>
      <c r="F714" t="s">
        <v>35</v>
      </c>
      <c r="U714">
        <v>1</v>
      </c>
      <c r="AT714">
        <v>1</v>
      </c>
      <c r="BA714">
        <f>SUM(Pre[[#This Row],[1]:[46]])</f>
        <v>2</v>
      </c>
    </row>
    <row r="715" spans="1:53" x14ac:dyDescent="0.2">
      <c r="A715" t="s">
        <v>48</v>
      </c>
      <c r="B715" t="s">
        <v>6</v>
      </c>
      <c r="C715">
        <v>19786</v>
      </c>
      <c r="D715" t="s">
        <v>7</v>
      </c>
      <c r="E715" t="s">
        <v>14</v>
      </c>
      <c r="F715" t="s">
        <v>21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2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BA715">
        <f>SUM(Pre[[#This Row],[1]:[46]])</f>
        <v>35</v>
      </c>
    </row>
    <row r="716" spans="1:53" x14ac:dyDescent="0.2">
      <c r="A716" t="s">
        <v>48</v>
      </c>
      <c r="B716" t="s">
        <v>6</v>
      </c>
      <c r="C716">
        <v>80</v>
      </c>
      <c r="D716" t="s">
        <v>22</v>
      </c>
      <c r="E716" t="s">
        <v>14</v>
      </c>
      <c r="F716" t="s">
        <v>15</v>
      </c>
      <c r="H716">
        <v>1</v>
      </c>
      <c r="BA716">
        <f>SUM(Pre[[#This Row],[1]:[46]])</f>
        <v>1</v>
      </c>
    </row>
    <row r="717" spans="1:53" x14ac:dyDescent="0.2">
      <c r="A717" t="s">
        <v>48</v>
      </c>
      <c r="B717" t="s">
        <v>6</v>
      </c>
      <c r="C717">
        <v>6110</v>
      </c>
      <c r="D717" t="s">
        <v>22</v>
      </c>
      <c r="E717" t="s">
        <v>14</v>
      </c>
      <c r="F717" t="s">
        <v>35</v>
      </c>
      <c r="L717">
        <v>1</v>
      </c>
      <c r="P717">
        <v>1</v>
      </c>
      <c r="Q717">
        <v>1</v>
      </c>
      <c r="U717">
        <v>1</v>
      </c>
      <c r="BA717">
        <f>SUM(Pre[[#This Row],[1]:[46]])</f>
        <v>4</v>
      </c>
    </row>
    <row r="718" spans="1:53" x14ac:dyDescent="0.2">
      <c r="A718" t="s">
        <v>48</v>
      </c>
      <c r="B718" t="s">
        <v>6</v>
      </c>
      <c r="C718">
        <v>378</v>
      </c>
      <c r="D718" t="s">
        <v>7</v>
      </c>
      <c r="E718" t="s">
        <v>8</v>
      </c>
      <c r="F718" t="s">
        <v>23</v>
      </c>
      <c r="U718">
        <v>2</v>
      </c>
      <c r="BA718">
        <f>SUM(Pre[[#This Row],[1]:[46]])</f>
        <v>2</v>
      </c>
    </row>
    <row r="719" spans="1:53" x14ac:dyDescent="0.2">
      <c r="A719" t="s">
        <v>48</v>
      </c>
      <c r="B719" t="s">
        <v>6</v>
      </c>
      <c r="C719">
        <v>1643</v>
      </c>
      <c r="D719" t="s">
        <v>7</v>
      </c>
      <c r="E719" t="s">
        <v>37</v>
      </c>
      <c r="F719" t="s">
        <v>39</v>
      </c>
      <c r="AK719">
        <v>1</v>
      </c>
      <c r="AZ719">
        <v>1</v>
      </c>
      <c r="BA719">
        <f>SUM(Pre[[#This Row],[1]:[46]])</f>
        <v>2</v>
      </c>
    </row>
    <row r="720" spans="1:53" x14ac:dyDescent="0.2">
      <c r="A720" t="s">
        <v>48</v>
      </c>
      <c r="B720" t="s">
        <v>6</v>
      </c>
      <c r="C720">
        <v>4514</v>
      </c>
      <c r="D720" t="s">
        <v>7</v>
      </c>
      <c r="E720" t="s">
        <v>8</v>
      </c>
      <c r="F720" t="s">
        <v>23</v>
      </c>
      <c r="H720">
        <v>2</v>
      </c>
      <c r="BA720">
        <f>SUM(Pre[[#This Row],[1]:[46]])</f>
        <v>2</v>
      </c>
    </row>
    <row r="721" spans="1:53" x14ac:dyDescent="0.2">
      <c r="A721" t="s">
        <v>48</v>
      </c>
      <c r="B721" t="s">
        <v>6</v>
      </c>
      <c r="C721">
        <v>4514</v>
      </c>
      <c r="D721" t="s">
        <v>7</v>
      </c>
      <c r="E721" t="s">
        <v>8</v>
      </c>
      <c r="F721" t="s">
        <v>9</v>
      </c>
      <c r="Q721">
        <v>1</v>
      </c>
      <c r="AC721">
        <v>1</v>
      </c>
      <c r="AQ721">
        <v>1</v>
      </c>
      <c r="AZ721">
        <v>1</v>
      </c>
      <c r="BA721">
        <f>SUM(Pre[[#This Row],[1]:[46]])</f>
        <v>4</v>
      </c>
    </row>
    <row r="722" spans="1:53" x14ac:dyDescent="0.2">
      <c r="A722" t="s">
        <v>48</v>
      </c>
      <c r="B722" t="s">
        <v>6</v>
      </c>
      <c r="C722">
        <v>6038</v>
      </c>
      <c r="D722" t="s">
        <v>7</v>
      </c>
      <c r="E722" t="s">
        <v>8</v>
      </c>
      <c r="F722" t="s">
        <v>9</v>
      </c>
      <c r="R722">
        <v>1</v>
      </c>
      <c r="AD722">
        <v>1</v>
      </c>
      <c r="AR722">
        <v>1</v>
      </c>
      <c r="BA722">
        <f>SUM(Pre[[#This Row],[1]:[46]])</f>
        <v>3</v>
      </c>
    </row>
    <row r="723" spans="1:53" x14ac:dyDescent="0.2">
      <c r="A723" t="s">
        <v>48</v>
      </c>
      <c r="B723" t="s">
        <v>6</v>
      </c>
      <c r="C723">
        <v>10596</v>
      </c>
      <c r="D723" t="s">
        <v>7</v>
      </c>
      <c r="E723" t="s">
        <v>8</v>
      </c>
      <c r="F723" t="s">
        <v>9</v>
      </c>
      <c r="U723">
        <v>1</v>
      </c>
      <c r="AF723">
        <v>1</v>
      </c>
      <c r="AT723">
        <v>1</v>
      </c>
      <c r="BA723">
        <f>SUM(Pre[[#This Row],[1]:[46]])</f>
        <v>3</v>
      </c>
    </row>
    <row r="724" spans="1:53" x14ac:dyDescent="0.2">
      <c r="A724" t="s">
        <v>48</v>
      </c>
      <c r="B724" t="s">
        <v>6</v>
      </c>
      <c r="C724">
        <v>11842</v>
      </c>
      <c r="D724" t="s">
        <v>7</v>
      </c>
      <c r="E724" t="s">
        <v>8</v>
      </c>
      <c r="F724" t="s">
        <v>9</v>
      </c>
      <c r="BA724">
        <f>SUM(Pre[[#This Row],[1]:[46]])</f>
        <v>0</v>
      </c>
    </row>
    <row r="725" spans="1:53" x14ac:dyDescent="0.2">
      <c r="A725" t="s">
        <v>48</v>
      </c>
      <c r="B725" t="s">
        <v>6</v>
      </c>
      <c r="C725">
        <v>12761</v>
      </c>
      <c r="D725" t="s">
        <v>7</v>
      </c>
      <c r="E725" t="s">
        <v>8</v>
      </c>
      <c r="F725" t="s">
        <v>23</v>
      </c>
      <c r="N725">
        <v>1</v>
      </c>
      <c r="AC725">
        <v>1</v>
      </c>
      <c r="AQ725">
        <v>1</v>
      </c>
      <c r="BA725">
        <f>SUM(Pre[[#This Row],[1]:[46]])</f>
        <v>3</v>
      </c>
    </row>
    <row r="726" spans="1:53" x14ac:dyDescent="0.2">
      <c r="A726" t="s">
        <v>48</v>
      </c>
      <c r="B726" t="s">
        <v>6</v>
      </c>
      <c r="C726">
        <v>13654</v>
      </c>
      <c r="D726" t="s">
        <v>7</v>
      </c>
      <c r="E726" t="s">
        <v>8</v>
      </c>
      <c r="F726" t="s">
        <v>9</v>
      </c>
      <c r="G726">
        <v>1</v>
      </c>
      <c r="H726">
        <v>1</v>
      </c>
      <c r="I726">
        <v>1</v>
      </c>
      <c r="J726">
        <v>1</v>
      </c>
      <c r="L726">
        <v>1</v>
      </c>
      <c r="M726">
        <v>1</v>
      </c>
      <c r="N726">
        <v>1</v>
      </c>
      <c r="O726">
        <v>1</v>
      </c>
      <c r="P726">
        <v>2</v>
      </c>
      <c r="Q726">
        <v>1</v>
      </c>
      <c r="S726">
        <v>1</v>
      </c>
      <c r="T726">
        <v>1</v>
      </c>
      <c r="U726">
        <v>2</v>
      </c>
      <c r="V726">
        <v>1</v>
      </c>
      <c r="X726">
        <v>1</v>
      </c>
      <c r="Y726">
        <v>1</v>
      </c>
      <c r="Z726">
        <v>1</v>
      </c>
      <c r="AA726">
        <v>2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2</v>
      </c>
      <c r="AK726">
        <v>1</v>
      </c>
      <c r="AL726">
        <v>1</v>
      </c>
      <c r="AN726">
        <v>2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2</v>
      </c>
      <c r="AV726">
        <v>1</v>
      </c>
      <c r="AX726">
        <v>1</v>
      </c>
      <c r="AY726">
        <v>2</v>
      </c>
      <c r="AZ726">
        <v>1</v>
      </c>
      <c r="BA726">
        <f>SUM(Pre[[#This Row],[1]:[46]])</f>
        <v>46</v>
      </c>
    </row>
    <row r="727" spans="1:53" x14ac:dyDescent="0.2">
      <c r="A727" t="s">
        <v>48</v>
      </c>
      <c r="B727" t="s">
        <v>6</v>
      </c>
      <c r="C727">
        <v>14008</v>
      </c>
      <c r="D727" t="s">
        <v>7</v>
      </c>
      <c r="E727" t="s">
        <v>8</v>
      </c>
      <c r="F727" t="s">
        <v>9</v>
      </c>
      <c r="AY727">
        <v>1</v>
      </c>
      <c r="BA727">
        <f>SUM(Pre[[#This Row],[1]:[46]])</f>
        <v>1</v>
      </c>
    </row>
    <row r="728" spans="1:53" x14ac:dyDescent="0.2">
      <c r="A728" t="s">
        <v>48</v>
      </c>
      <c r="B728" t="s">
        <v>6</v>
      </c>
      <c r="C728">
        <v>18860</v>
      </c>
      <c r="D728" t="s">
        <v>7</v>
      </c>
      <c r="E728" t="s">
        <v>8</v>
      </c>
      <c r="F728" t="s">
        <v>29</v>
      </c>
      <c r="R728">
        <v>1</v>
      </c>
      <c r="AL728">
        <v>1</v>
      </c>
      <c r="BA728">
        <f>SUM(Pre[[#This Row],[1]:[46]])</f>
        <v>2</v>
      </c>
    </row>
    <row r="729" spans="1:53" x14ac:dyDescent="0.2">
      <c r="A729" t="s">
        <v>48</v>
      </c>
      <c r="B729" t="s">
        <v>6</v>
      </c>
      <c r="C729">
        <v>21825</v>
      </c>
      <c r="D729" t="s">
        <v>7</v>
      </c>
      <c r="E729" t="s">
        <v>8</v>
      </c>
      <c r="F729" t="s">
        <v>29</v>
      </c>
      <c r="P729">
        <v>1</v>
      </c>
      <c r="T729">
        <v>1</v>
      </c>
      <c r="Y729">
        <v>1</v>
      </c>
      <c r="AH729">
        <v>1</v>
      </c>
      <c r="AL729">
        <v>1</v>
      </c>
      <c r="AQ729">
        <v>1</v>
      </c>
      <c r="AY729">
        <v>1</v>
      </c>
      <c r="BA729">
        <f>SUM(Pre[[#This Row],[1]:[46]])</f>
        <v>7</v>
      </c>
    </row>
    <row r="730" spans="1:53" x14ac:dyDescent="0.2">
      <c r="A730" t="s">
        <v>48</v>
      </c>
      <c r="B730" t="s">
        <v>6</v>
      </c>
      <c r="C730">
        <v>22772</v>
      </c>
      <c r="D730" t="s">
        <v>7</v>
      </c>
      <c r="E730" t="s">
        <v>8</v>
      </c>
      <c r="F730" t="s">
        <v>30</v>
      </c>
      <c r="N730">
        <v>1</v>
      </c>
      <c r="AF730">
        <v>1</v>
      </c>
      <c r="AS730">
        <v>1</v>
      </c>
      <c r="BA730">
        <f>SUM(Pre[[#This Row],[1]:[46]])</f>
        <v>3</v>
      </c>
    </row>
    <row r="731" spans="1:53" x14ac:dyDescent="0.2">
      <c r="A731" t="s">
        <v>48</v>
      </c>
      <c r="B731" t="s">
        <v>6</v>
      </c>
      <c r="C731">
        <v>23822</v>
      </c>
      <c r="D731" t="s">
        <v>7</v>
      </c>
      <c r="E731" t="s">
        <v>8</v>
      </c>
      <c r="F731" t="s">
        <v>23</v>
      </c>
      <c r="AP731">
        <v>4</v>
      </c>
      <c r="BA731">
        <f>SUM(Pre[[#This Row],[1]:[46]])</f>
        <v>4</v>
      </c>
    </row>
    <row r="732" spans="1:53" x14ac:dyDescent="0.2">
      <c r="A732" t="s">
        <v>48</v>
      </c>
      <c r="B732" t="s">
        <v>6</v>
      </c>
      <c r="C732">
        <v>27167</v>
      </c>
      <c r="D732" t="s">
        <v>7</v>
      </c>
      <c r="E732" t="s">
        <v>37</v>
      </c>
      <c r="F732" t="s">
        <v>39</v>
      </c>
      <c r="W732">
        <v>1</v>
      </c>
      <c r="AF732">
        <v>1</v>
      </c>
      <c r="AX732">
        <v>1</v>
      </c>
      <c r="BA732">
        <f>SUM(Pre[[#This Row],[1]:[46]])</f>
        <v>3</v>
      </c>
    </row>
    <row r="733" spans="1:53" x14ac:dyDescent="0.2">
      <c r="A733" t="s">
        <v>48</v>
      </c>
      <c r="B733" t="s">
        <v>6</v>
      </c>
      <c r="C733">
        <v>27167</v>
      </c>
      <c r="D733" t="s">
        <v>7</v>
      </c>
      <c r="E733" t="s">
        <v>37</v>
      </c>
      <c r="F733" t="s">
        <v>38</v>
      </c>
      <c r="J733">
        <v>1</v>
      </c>
      <c r="W733">
        <v>1</v>
      </c>
      <c r="BA733">
        <f>SUM(Pre[[#This Row],[1]:[46]])</f>
        <v>2</v>
      </c>
    </row>
    <row r="734" spans="1:53" x14ac:dyDescent="0.2">
      <c r="A734" t="s">
        <v>48</v>
      </c>
      <c r="B734" t="s">
        <v>6</v>
      </c>
      <c r="C734">
        <v>27733</v>
      </c>
      <c r="D734" t="s">
        <v>7</v>
      </c>
      <c r="E734" t="s">
        <v>8</v>
      </c>
      <c r="F734" t="s">
        <v>9</v>
      </c>
      <c r="G734">
        <v>2</v>
      </c>
      <c r="AB734">
        <v>1</v>
      </c>
      <c r="AN734">
        <v>2</v>
      </c>
      <c r="AZ734">
        <v>1</v>
      </c>
      <c r="BA734">
        <f>SUM(Pre[[#This Row],[1]:[46]])</f>
        <v>6</v>
      </c>
    </row>
    <row r="735" spans="1:53" x14ac:dyDescent="0.2">
      <c r="A735" t="s">
        <v>48</v>
      </c>
      <c r="B735" t="s">
        <v>6</v>
      </c>
      <c r="C735">
        <v>28504</v>
      </c>
      <c r="D735" t="s">
        <v>7</v>
      </c>
      <c r="E735" t="s">
        <v>8</v>
      </c>
      <c r="F735" t="s">
        <v>9</v>
      </c>
      <c r="U735">
        <v>1</v>
      </c>
      <c r="AH735">
        <v>1</v>
      </c>
      <c r="AX735">
        <v>1</v>
      </c>
      <c r="BA735">
        <f>SUM(Pre[[#This Row],[1]:[46]])</f>
        <v>3</v>
      </c>
    </row>
    <row r="736" spans="1:53" x14ac:dyDescent="0.2">
      <c r="A736" t="s">
        <v>48</v>
      </c>
      <c r="B736" t="s">
        <v>6</v>
      </c>
      <c r="C736">
        <v>29540</v>
      </c>
      <c r="D736" t="s">
        <v>7</v>
      </c>
      <c r="E736" t="s">
        <v>8</v>
      </c>
      <c r="F736" t="s">
        <v>9</v>
      </c>
      <c r="X736">
        <v>1</v>
      </c>
      <c r="AH736">
        <v>1</v>
      </c>
      <c r="AT736">
        <v>2</v>
      </c>
      <c r="BA736">
        <f>SUM(Pre[[#This Row],[1]:[46]])</f>
        <v>4</v>
      </c>
    </row>
    <row r="737" spans="1:53" x14ac:dyDescent="0.2">
      <c r="A737" t="s">
        <v>48</v>
      </c>
      <c r="B737" t="s">
        <v>6</v>
      </c>
      <c r="C737">
        <v>29654</v>
      </c>
      <c r="D737" t="s">
        <v>7</v>
      </c>
      <c r="E737" t="s">
        <v>8</v>
      </c>
      <c r="F737" t="s">
        <v>9</v>
      </c>
      <c r="Z737">
        <v>1</v>
      </c>
      <c r="BA737">
        <f>SUM(Pre[[#This Row],[1]:[46]])</f>
        <v>1</v>
      </c>
    </row>
    <row r="738" spans="1:53" x14ac:dyDescent="0.2">
      <c r="A738" t="s">
        <v>48</v>
      </c>
      <c r="B738" t="s">
        <v>6</v>
      </c>
      <c r="C738">
        <v>30192</v>
      </c>
      <c r="D738" t="s">
        <v>7</v>
      </c>
      <c r="E738" t="s">
        <v>8</v>
      </c>
      <c r="F738" t="s">
        <v>23</v>
      </c>
      <c r="Y738">
        <v>1</v>
      </c>
      <c r="AV738">
        <v>1</v>
      </c>
      <c r="BA738">
        <f>SUM(Pre[[#This Row],[1]:[46]])</f>
        <v>2</v>
      </c>
    </row>
    <row r="739" spans="1:53" x14ac:dyDescent="0.2">
      <c r="A739" t="s">
        <v>48</v>
      </c>
      <c r="B739" t="s">
        <v>6</v>
      </c>
      <c r="C739">
        <v>1520</v>
      </c>
      <c r="D739" t="s">
        <v>22</v>
      </c>
      <c r="E739" t="s">
        <v>8</v>
      </c>
      <c r="F739" t="s">
        <v>29</v>
      </c>
      <c r="V739">
        <v>1</v>
      </c>
      <c r="BA739">
        <f>SUM(Pre[[#This Row],[1]:[46]])</f>
        <v>1</v>
      </c>
    </row>
    <row r="740" spans="1:53" x14ac:dyDescent="0.2">
      <c r="A740" t="s">
        <v>48</v>
      </c>
      <c r="B740" t="s">
        <v>6</v>
      </c>
      <c r="C740">
        <v>5004</v>
      </c>
      <c r="D740" t="s">
        <v>22</v>
      </c>
      <c r="E740" t="s">
        <v>8</v>
      </c>
      <c r="F740" t="s">
        <v>23</v>
      </c>
      <c r="N740">
        <v>1</v>
      </c>
      <c r="AA740">
        <v>1</v>
      </c>
      <c r="AP740">
        <v>1</v>
      </c>
      <c r="BA740">
        <f>SUM(Pre[[#This Row],[1]:[46]])</f>
        <v>3</v>
      </c>
    </row>
    <row r="741" spans="1:53" x14ac:dyDescent="0.2">
      <c r="A741" t="s">
        <v>48</v>
      </c>
      <c r="B741" t="s">
        <v>6</v>
      </c>
      <c r="C741">
        <v>8514</v>
      </c>
      <c r="D741" t="s">
        <v>22</v>
      </c>
      <c r="E741" t="s">
        <v>37</v>
      </c>
      <c r="F741" t="s">
        <v>38</v>
      </c>
      <c r="J741">
        <v>1</v>
      </c>
      <c r="Y741">
        <v>1</v>
      </c>
      <c r="AP741">
        <v>1</v>
      </c>
      <c r="BA741">
        <f>SUM(Pre[[#This Row],[1]:[46]])</f>
        <v>3</v>
      </c>
    </row>
    <row r="742" spans="1:53" x14ac:dyDescent="0.2">
      <c r="A742" t="s">
        <v>48</v>
      </c>
      <c r="B742" t="s">
        <v>6</v>
      </c>
      <c r="C742">
        <v>8871</v>
      </c>
      <c r="D742" t="s">
        <v>22</v>
      </c>
      <c r="E742" t="s">
        <v>8</v>
      </c>
      <c r="F742" t="s">
        <v>23</v>
      </c>
      <c r="Q742">
        <v>1</v>
      </c>
      <c r="S742">
        <v>1</v>
      </c>
      <c r="U742">
        <v>1</v>
      </c>
      <c r="AV742">
        <v>1</v>
      </c>
      <c r="BA742">
        <f>SUM(Pre[[#This Row],[1]:[46]])</f>
        <v>4</v>
      </c>
    </row>
    <row r="743" spans="1:53" x14ac:dyDescent="0.2">
      <c r="A743" t="s">
        <v>48</v>
      </c>
      <c r="B743" t="s">
        <v>6</v>
      </c>
      <c r="C743">
        <v>10816</v>
      </c>
      <c r="D743" t="s">
        <v>22</v>
      </c>
      <c r="E743" t="s">
        <v>8</v>
      </c>
      <c r="F743" t="s">
        <v>23</v>
      </c>
      <c r="BA743">
        <f>SUM(Pre[[#This Row],[1]:[46]])</f>
        <v>0</v>
      </c>
    </row>
    <row r="744" spans="1:53" x14ac:dyDescent="0.2">
      <c r="A744" t="s">
        <v>48</v>
      </c>
      <c r="B744" t="s">
        <v>6</v>
      </c>
      <c r="C744">
        <v>11230</v>
      </c>
      <c r="D744" t="s">
        <v>22</v>
      </c>
      <c r="E744" t="s">
        <v>8</v>
      </c>
      <c r="F744" t="s">
        <v>9</v>
      </c>
      <c r="BA744">
        <f>SUM(Pre[[#This Row],[1]:[46]])</f>
        <v>0</v>
      </c>
    </row>
    <row r="745" spans="1:53" x14ac:dyDescent="0.2">
      <c r="A745" t="s">
        <v>48</v>
      </c>
      <c r="B745" t="s">
        <v>6</v>
      </c>
      <c r="C745">
        <v>11371</v>
      </c>
      <c r="D745" t="s">
        <v>22</v>
      </c>
      <c r="E745" t="s">
        <v>8</v>
      </c>
      <c r="F745" t="s">
        <v>9</v>
      </c>
      <c r="R745">
        <v>1</v>
      </c>
      <c r="Z745">
        <v>1</v>
      </c>
      <c r="AT745">
        <v>1</v>
      </c>
      <c r="BA745">
        <f>SUM(Pre[[#This Row],[1]:[46]])</f>
        <v>3</v>
      </c>
    </row>
    <row r="746" spans="1:53" x14ac:dyDescent="0.2">
      <c r="A746" t="s">
        <v>48</v>
      </c>
      <c r="B746" t="s">
        <v>6</v>
      </c>
      <c r="C746">
        <v>11597</v>
      </c>
      <c r="D746" t="s">
        <v>22</v>
      </c>
      <c r="E746" t="s">
        <v>8</v>
      </c>
      <c r="F746" t="s">
        <v>23</v>
      </c>
      <c r="S746">
        <v>1</v>
      </c>
      <c r="AD746">
        <v>1</v>
      </c>
      <c r="AQ746">
        <v>1</v>
      </c>
      <c r="BA746">
        <f>SUM(Pre[[#This Row],[1]:[46]])</f>
        <v>3</v>
      </c>
    </row>
    <row r="747" spans="1:53" x14ac:dyDescent="0.2">
      <c r="A747" t="s">
        <v>48</v>
      </c>
      <c r="B747" t="s">
        <v>6</v>
      </c>
      <c r="C747">
        <v>12208</v>
      </c>
      <c r="D747" t="s">
        <v>22</v>
      </c>
      <c r="E747" t="s">
        <v>8</v>
      </c>
      <c r="F747" t="s">
        <v>23</v>
      </c>
      <c r="O747">
        <v>1</v>
      </c>
      <c r="AK747">
        <v>1</v>
      </c>
      <c r="AZ747">
        <v>1</v>
      </c>
      <c r="BA747">
        <f>SUM(Pre[[#This Row],[1]:[46]])</f>
        <v>3</v>
      </c>
    </row>
    <row r="748" spans="1:53" x14ac:dyDescent="0.2">
      <c r="A748" t="s">
        <v>48</v>
      </c>
      <c r="B748" t="s">
        <v>6</v>
      </c>
      <c r="C748">
        <v>14707</v>
      </c>
      <c r="D748" t="s">
        <v>22</v>
      </c>
      <c r="E748" t="s">
        <v>8</v>
      </c>
      <c r="F748" t="s">
        <v>29</v>
      </c>
      <c r="W748">
        <v>2</v>
      </c>
      <c r="AJ748">
        <v>1</v>
      </c>
      <c r="AX748">
        <v>1</v>
      </c>
      <c r="BA748">
        <f>SUM(Pre[[#This Row],[1]:[46]])</f>
        <v>4</v>
      </c>
    </row>
    <row r="749" spans="1:53" x14ac:dyDescent="0.2">
      <c r="A749" t="s">
        <v>48</v>
      </c>
      <c r="B749" t="s">
        <v>6</v>
      </c>
      <c r="C749">
        <v>14990</v>
      </c>
      <c r="D749" t="s">
        <v>22</v>
      </c>
      <c r="E749" t="s">
        <v>8</v>
      </c>
      <c r="F749" t="s">
        <v>23</v>
      </c>
      <c r="W749">
        <v>1</v>
      </c>
      <c r="AC749">
        <v>1</v>
      </c>
      <c r="AH749">
        <v>1</v>
      </c>
      <c r="AJ749">
        <v>2</v>
      </c>
      <c r="BA749">
        <f>SUM(Pre[[#This Row],[1]:[46]])</f>
        <v>5</v>
      </c>
    </row>
    <row r="750" spans="1:53" x14ac:dyDescent="0.2">
      <c r="A750" t="s">
        <v>48</v>
      </c>
      <c r="B750" t="s">
        <v>6</v>
      </c>
      <c r="C750">
        <v>16427</v>
      </c>
      <c r="D750" t="s">
        <v>22</v>
      </c>
      <c r="E750" t="s">
        <v>8</v>
      </c>
      <c r="F750" t="s">
        <v>23</v>
      </c>
      <c r="H750">
        <v>1</v>
      </c>
      <c r="L750">
        <v>1</v>
      </c>
      <c r="Q750">
        <v>1</v>
      </c>
      <c r="U750">
        <v>1</v>
      </c>
      <c r="X750">
        <v>1</v>
      </c>
      <c r="AD750">
        <v>1</v>
      </c>
      <c r="AG750">
        <v>1</v>
      </c>
      <c r="AJ750">
        <v>1</v>
      </c>
      <c r="AM750">
        <v>1</v>
      </c>
      <c r="AS750">
        <v>1</v>
      </c>
      <c r="AW750">
        <v>1</v>
      </c>
      <c r="BA750">
        <f>SUM(Pre[[#This Row],[1]:[46]])</f>
        <v>11</v>
      </c>
    </row>
    <row r="751" spans="1:53" x14ac:dyDescent="0.2">
      <c r="A751" t="s">
        <v>48</v>
      </c>
      <c r="B751" t="s">
        <v>6</v>
      </c>
      <c r="C751">
        <v>18342</v>
      </c>
      <c r="D751" t="s">
        <v>22</v>
      </c>
      <c r="E751" t="s">
        <v>8</v>
      </c>
      <c r="F751" t="s">
        <v>29</v>
      </c>
      <c r="I751">
        <v>1</v>
      </c>
      <c r="N751">
        <v>1</v>
      </c>
      <c r="S751">
        <v>1</v>
      </c>
      <c r="X751">
        <v>1</v>
      </c>
      <c r="AC751">
        <v>1</v>
      </c>
      <c r="AH751">
        <v>1</v>
      </c>
      <c r="AM751">
        <v>1</v>
      </c>
      <c r="AR751">
        <v>1</v>
      </c>
      <c r="AW751">
        <v>1</v>
      </c>
      <c r="BA751">
        <f>SUM(Pre[[#This Row],[1]:[46]])</f>
        <v>9</v>
      </c>
    </row>
    <row r="752" spans="1:53" x14ac:dyDescent="0.2">
      <c r="A752" t="s">
        <v>48</v>
      </c>
      <c r="B752" t="s">
        <v>6</v>
      </c>
      <c r="C752">
        <v>27787</v>
      </c>
      <c r="D752" t="s">
        <v>22</v>
      </c>
      <c r="E752" t="s">
        <v>8</v>
      </c>
      <c r="F752" t="s">
        <v>9</v>
      </c>
      <c r="O752">
        <v>1</v>
      </c>
      <c r="AE752">
        <v>1</v>
      </c>
      <c r="AV752">
        <v>1</v>
      </c>
      <c r="BA752">
        <f>SUM(Pre[[#This Row],[1]:[46]])</f>
        <v>3</v>
      </c>
    </row>
    <row r="753" spans="1:53" x14ac:dyDescent="0.2">
      <c r="A753" t="s">
        <v>48</v>
      </c>
      <c r="B753" t="s">
        <v>6</v>
      </c>
      <c r="C753">
        <v>28803</v>
      </c>
      <c r="D753" t="s">
        <v>22</v>
      </c>
      <c r="E753" t="s">
        <v>8</v>
      </c>
      <c r="F753" t="s">
        <v>23</v>
      </c>
      <c r="X753">
        <v>1</v>
      </c>
      <c r="AK753">
        <v>1</v>
      </c>
      <c r="AX753">
        <v>1</v>
      </c>
      <c r="AZ753">
        <v>1</v>
      </c>
      <c r="BA753">
        <f>SUM(Pre[[#This Row],[1]:[46]])</f>
        <v>4</v>
      </c>
    </row>
    <row r="754" spans="1:53" x14ac:dyDescent="0.2">
      <c r="A754" t="s">
        <v>48</v>
      </c>
      <c r="B754" t="s">
        <v>6</v>
      </c>
      <c r="C754">
        <v>30076</v>
      </c>
      <c r="D754" t="s">
        <v>22</v>
      </c>
      <c r="E754" t="s">
        <v>8</v>
      </c>
      <c r="F754" t="s">
        <v>23</v>
      </c>
      <c r="M754">
        <v>1</v>
      </c>
      <c r="Y754">
        <v>1</v>
      </c>
      <c r="AM754">
        <v>1</v>
      </c>
      <c r="AY754">
        <v>1</v>
      </c>
      <c r="BA754">
        <f>SUM(Pre[[#This Row],[1]:[46]])</f>
        <v>4</v>
      </c>
    </row>
    <row r="755" spans="1:53" x14ac:dyDescent="0.2">
      <c r="A755" t="s">
        <v>48</v>
      </c>
      <c r="B755" t="s">
        <v>6</v>
      </c>
      <c r="C755">
        <v>30145</v>
      </c>
      <c r="D755" t="s">
        <v>22</v>
      </c>
      <c r="E755" t="s">
        <v>8</v>
      </c>
      <c r="F755" t="s">
        <v>23</v>
      </c>
      <c r="H755">
        <v>1</v>
      </c>
      <c r="W755">
        <v>1</v>
      </c>
      <c r="AG755">
        <v>1</v>
      </c>
      <c r="AT755">
        <v>1</v>
      </c>
      <c r="BA755">
        <f>SUM(Pre[[#This Row],[1]:[46]])</f>
        <v>4</v>
      </c>
    </row>
    <row r="756" spans="1:53" x14ac:dyDescent="0.2">
      <c r="A756" t="s">
        <v>48</v>
      </c>
      <c r="B756" t="s">
        <v>6</v>
      </c>
      <c r="C756">
        <v>32275</v>
      </c>
      <c r="D756" t="s">
        <v>22</v>
      </c>
      <c r="E756" t="s">
        <v>8</v>
      </c>
      <c r="F756" t="s">
        <v>23</v>
      </c>
      <c r="AD756">
        <v>1</v>
      </c>
      <c r="AS756">
        <v>2</v>
      </c>
      <c r="BA756">
        <f>SUM(Pre[[#This Row],[1]:[46]])</f>
        <v>3</v>
      </c>
    </row>
    <row r="757" spans="1:53" x14ac:dyDescent="0.2">
      <c r="A757" t="s">
        <v>48</v>
      </c>
      <c r="B757" t="s">
        <v>6</v>
      </c>
      <c r="C757">
        <v>32918</v>
      </c>
      <c r="D757" t="s">
        <v>22</v>
      </c>
      <c r="E757" t="s">
        <v>8</v>
      </c>
      <c r="F757" t="s">
        <v>23</v>
      </c>
      <c r="AK757">
        <v>1</v>
      </c>
      <c r="BA757">
        <f>SUM(Pre[[#This Row],[1]:[46]])</f>
        <v>1</v>
      </c>
    </row>
    <row r="758" spans="1:53" x14ac:dyDescent="0.2">
      <c r="A758" t="s">
        <v>48</v>
      </c>
      <c r="B758" t="s">
        <v>6</v>
      </c>
      <c r="C758">
        <v>1248</v>
      </c>
      <c r="D758" t="s">
        <v>7</v>
      </c>
      <c r="E758" t="s">
        <v>8</v>
      </c>
      <c r="F758" t="s">
        <v>23</v>
      </c>
      <c r="AU758">
        <v>2</v>
      </c>
      <c r="AW758">
        <v>1</v>
      </c>
      <c r="BA758">
        <f>SUM(Pre[[#This Row],[1]:[46]])</f>
        <v>3</v>
      </c>
    </row>
    <row r="759" spans="1:53" x14ac:dyDescent="0.2">
      <c r="A759" t="s">
        <v>48</v>
      </c>
      <c r="B759" t="s">
        <v>6</v>
      </c>
      <c r="C759">
        <v>2669</v>
      </c>
      <c r="D759" t="s">
        <v>7</v>
      </c>
      <c r="E759" t="s">
        <v>8</v>
      </c>
      <c r="F759" t="s">
        <v>23</v>
      </c>
      <c r="K759">
        <v>1</v>
      </c>
      <c r="N759">
        <v>1</v>
      </c>
      <c r="AA759">
        <v>1</v>
      </c>
      <c r="AO759">
        <v>1</v>
      </c>
      <c r="BA759">
        <f>SUM(Pre[[#This Row],[1]:[46]])</f>
        <v>4</v>
      </c>
    </row>
    <row r="760" spans="1:53" x14ac:dyDescent="0.2">
      <c r="A760" t="s">
        <v>48</v>
      </c>
      <c r="B760" t="s">
        <v>6</v>
      </c>
      <c r="C760">
        <v>4004</v>
      </c>
      <c r="D760" t="s">
        <v>7</v>
      </c>
      <c r="E760" t="s">
        <v>8</v>
      </c>
      <c r="F760" t="s">
        <v>23</v>
      </c>
      <c r="H760">
        <v>1</v>
      </c>
      <c r="N760">
        <v>1</v>
      </c>
      <c r="Y760">
        <v>1</v>
      </c>
      <c r="BA760">
        <f>SUM(Pre[[#This Row],[1]:[46]])</f>
        <v>3</v>
      </c>
    </row>
    <row r="761" spans="1:53" x14ac:dyDescent="0.2">
      <c r="A761" t="s">
        <v>48</v>
      </c>
      <c r="B761" t="s">
        <v>6</v>
      </c>
      <c r="C761">
        <v>4004</v>
      </c>
      <c r="D761" t="s">
        <v>7</v>
      </c>
      <c r="E761" t="s">
        <v>8</v>
      </c>
      <c r="F761" t="s">
        <v>9</v>
      </c>
      <c r="AM761">
        <v>1</v>
      </c>
      <c r="BA761">
        <f>SUM(Pre[[#This Row],[1]:[46]])</f>
        <v>1</v>
      </c>
    </row>
    <row r="762" spans="1:53" x14ac:dyDescent="0.2">
      <c r="A762" t="s">
        <v>48</v>
      </c>
      <c r="B762" t="s">
        <v>6</v>
      </c>
      <c r="C762">
        <v>6173</v>
      </c>
      <c r="D762" t="s">
        <v>7</v>
      </c>
      <c r="E762" t="s">
        <v>8</v>
      </c>
      <c r="F762" t="s">
        <v>9</v>
      </c>
      <c r="BA762">
        <f>SUM(Pre[[#This Row],[1]:[46]])</f>
        <v>0</v>
      </c>
    </row>
    <row r="763" spans="1:53" x14ac:dyDescent="0.2">
      <c r="A763" t="s">
        <v>48</v>
      </c>
      <c r="B763" t="s">
        <v>6</v>
      </c>
      <c r="C763">
        <v>7772</v>
      </c>
      <c r="D763" t="s">
        <v>7</v>
      </c>
      <c r="E763" t="s">
        <v>8</v>
      </c>
      <c r="F763" t="s">
        <v>9</v>
      </c>
      <c r="U763">
        <v>1</v>
      </c>
      <c r="Y763">
        <v>1</v>
      </c>
      <c r="AK763">
        <v>1</v>
      </c>
      <c r="AT763">
        <v>1</v>
      </c>
      <c r="BA763">
        <f>SUM(Pre[[#This Row],[1]:[46]])</f>
        <v>4</v>
      </c>
    </row>
    <row r="764" spans="1:53" x14ac:dyDescent="0.2">
      <c r="A764" t="s">
        <v>48</v>
      </c>
      <c r="B764" t="s">
        <v>6</v>
      </c>
      <c r="C764">
        <v>14991</v>
      </c>
      <c r="D764" t="s">
        <v>7</v>
      </c>
      <c r="E764" t="s">
        <v>37</v>
      </c>
      <c r="F764" t="s">
        <v>39</v>
      </c>
      <c r="AC764">
        <v>1</v>
      </c>
      <c r="AH764">
        <v>1</v>
      </c>
      <c r="AQ764">
        <v>1</v>
      </c>
      <c r="AW764">
        <v>1</v>
      </c>
      <c r="BA764">
        <f>SUM(Pre[[#This Row],[1]:[46]])</f>
        <v>4</v>
      </c>
    </row>
    <row r="765" spans="1:53" x14ac:dyDescent="0.2">
      <c r="A765" t="s">
        <v>48</v>
      </c>
      <c r="B765" t="s">
        <v>6</v>
      </c>
      <c r="C765">
        <v>14991</v>
      </c>
      <c r="D765" t="s">
        <v>7</v>
      </c>
      <c r="E765" t="s">
        <v>8</v>
      </c>
      <c r="F765" t="s">
        <v>9</v>
      </c>
      <c r="AC765">
        <v>2</v>
      </c>
      <c r="AK765">
        <v>1</v>
      </c>
      <c r="AT765">
        <v>1</v>
      </c>
      <c r="BA765">
        <f>SUM(Pre[[#This Row],[1]:[46]])</f>
        <v>4</v>
      </c>
    </row>
    <row r="766" spans="1:53" x14ac:dyDescent="0.2">
      <c r="A766" t="s">
        <v>48</v>
      </c>
      <c r="B766" t="s">
        <v>6</v>
      </c>
      <c r="C766">
        <v>29134</v>
      </c>
      <c r="D766" t="s">
        <v>7</v>
      </c>
      <c r="E766" t="s">
        <v>8</v>
      </c>
      <c r="F766" t="s">
        <v>47</v>
      </c>
      <c r="K766">
        <v>1</v>
      </c>
      <c r="BA766">
        <f>SUM(Pre[[#This Row],[1]:[46]])</f>
        <v>1</v>
      </c>
    </row>
    <row r="767" spans="1:53" x14ac:dyDescent="0.2">
      <c r="A767" t="s">
        <v>48</v>
      </c>
      <c r="B767" t="s">
        <v>6</v>
      </c>
      <c r="C767">
        <v>29134</v>
      </c>
      <c r="D767" t="s">
        <v>7</v>
      </c>
      <c r="E767" t="s">
        <v>8</v>
      </c>
      <c r="F767" t="s">
        <v>23</v>
      </c>
      <c r="K767">
        <v>1</v>
      </c>
      <c r="BA767">
        <f>SUM(Pre[[#This Row],[1]:[46]])</f>
        <v>1</v>
      </c>
    </row>
    <row r="768" spans="1:53" x14ac:dyDescent="0.2">
      <c r="A768" t="s">
        <v>48</v>
      </c>
      <c r="B768" t="s">
        <v>6</v>
      </c>
      <c r="C768">
        <v>4241</v>
      </c>
      <c r="D768" t="s">
        <v>22</v>
      </c>
      <c r="E768" t="s">
        <v>8</v>
      </c>
      <c r="F768" t="s">
        <v>29</v>
      </c>
      <c r="M768">
        <v>1</v>
      </c>
      <c r="P768">
        <v>1</v>
      </c>
      <c r="U768">
        <v>1</v>
      </c>
      <c r="Z768">
        <v>1</v>
      </c>
      <c r="AN768">
        <v>1</v>
      </c>
      <c r="BA768">
        <f>SUM(Pre[[#This Row],[1]:[46]])</f>
        <v>5</v>
      </c>
    </row>
    <row r="769" spans="1:53" x14ac:dyDescent="0.2">
      <c r="A769" t="s">
        <v>48</v>
      </c>
      <c r="B769" t="s">
        <v>6</v>
      </c>
      <c r="C769">
        <v>9757</v>
      </c>
      <c r="D769" t="s">
        <v>22</v>
      </c>
      <c r="E769" t="s">
        <v>8</v>
      </c>
      <c r="F769" t="s">
        <v>23</v>
      </c>
      <c r="M769">
        <v>1</v>
      </c>
      <c r="AB769">
        <v>1</v>
      </c>
      <c r="AN769">
        <v>1</v>
      </c>
      <c r="BA769">
        <f>SUM(Pre[[#This Row],[1]:[46]])</f>
        <v>3</v>
      </c>
    </row>
    <row r="770" spans="1:53" x14ac:dyDescent="0.2">
      <c r="A770" t="s">
        <v>48</v>
      </c>
      <c r="B770" t="s">
        <v>6</v>
      </c>
      <c r="C770">
        <v>15642</v>
      </c>
      <c r="D770" t="s">
        <v>22</v>
      </c>
      <c r="E770" t="s">
        <v>8</v>
      </c>
      <c r="F770" t="s">
        <v>23</v>
      </c>
      <c r="L770">
        <v>1</v>
      </c>
      <c r="Q770">
        <v>1</v>
      </c>
      <c r="S770">
        <v>1</v>
      </c>
      <c r="X770">
        <v>1</v>
      </c>
      <c r="AA770">
        <v>1</v>
      </c>
      <c r="AF770">
        <v>1</v>
      </c>
      <c r="AJ770">
        <v>1</v>
      </c>
      <c r="AU770">
        <v>2</v>
      </c>
      <c r="AY770">
        <v>1</v>
      </c>
      <c r="BA770">
        <f>SUM(Pre[[#This Row],[1]:[46]])</f>
        <v>10</v>
      </c>
    </row>
    <row r="771" spans="1:53" x14ac:dyDescent="0.2">
      <c r="A771" t="s">
        <v>48</v>
      </c>
      <c r="B771" t="s">
        <v>6</v>
      </c>
      <c r="C771">
        <v>21351</v>
      </c>
      <c r="D771" t="s">
        <v>22</v>
      </c>
      <c r="E771" t="s">
        <v>8</v>
      </c>
      <c r="F771" t="s">
        <v>9</v>
      </c>
      <c r="N771">
        <v>2</v>
      </c>
      <c r="BA771">
        <f>SUM(Pre[[#This Row],[1]:[46]])</f>
        <v>2</v>
      </c>
    </row>
    <row r="772" spans="1:53" x14ac:dyDescent="0.2">
      <c r="A772" t="s">
        <v>48</v>
      </c>
      <c r="B772" t="s">
        <v>6</v>
      </c>
      <c r="C772">
        <v>21933</v>
      </c>
      <c r="D772" t="s">
        <v>22</v>
      </c>
      <c r="E772" t="s">
        <v>8</v>
      </c>
      <c r="F772" t="s">
        <v>9</v>
      </c>
      <c r="S772">
        <v>1</v>
      </c>
      <c r="X772">
        <v>1</v>
      </c>
      <c r="AF772">
        <v>1</v>
      </c>
      <c r="AN772">
        <v>1</v>
      </c>
      <c r="AW772">
        <v>1</v>
      </c>
      <c r="BA772">
        <f>SUM(Pre[[#This Row],[1]:[46]])</f>
        <v>5</v>
      </c>
    </row>
    <row r="773" spans="1:53" x14ac:dyDescent="0.2">
      <c r="A773" t="s">
        <v>48</v>
      </c>
      <c r="B773" t="s">
        <v>6</v>
      </c>
      <c r="C773">
        <v>29458</v>
      </c>
      <c r="D773" t="s">
        <v>22</v>
      </c>
      <c r="E773" t="s">
        <v>8</v>
      </c>
      <c r="F773" t="s">
        <v>23</v>
      </c>
      <c r="I773">
        <v>1</v>
      </c>
      <c r="N773">
        <v>1</v>
      </c>
      <c r="R773">
        <v>1</v>
      </c>
      <c r="W773">
        <v>1</v>
      </c>
      <c r="AB773">
        <v>1</v>
      </c>
      <c r="AF773">
        <v>1</v>
      </c>
      <c r="AI773">
        <v>1</v>
      </c>
      <c r="AN773">
        <v>1</v>
      </c>
      <c r="AR773">
        <v>2</v>
      </c>
      <c r="AU773">
        <v>1</v>
      </c>
      <c r="AZ773">
        <v>1</v>
      </c>
      <c r="BA773">
        <f>SUM(Pre[[#This Row],[1]:[46]])</f>
        <v>12</v>
      </c>
    </row>
    <row r="774" spans="1:53" x14ac:dyDescent="0.2">
      <c r="A774" t="s">
        <v>7</v>
      </c>
      <c r="B774" t="s">
        <v>6</v>
      </c>
      <c r="C774">
        <v>959</v>
      </c>
      <c r="D774" t="s">
        <v>7</v>
      </c>
      <c r="E774" t="s">
        <v>8</v>
      </c>
      <c r="F774" t="s">
        <v>23</v>
      </c>
      <c r="AB774">
        <v>2</v>
      </c>
      <c r="AH774">
        <v>1</v>
      </c>
      <c r="AL774">
        <v>2</v>
      </c>
      <c r="AO774">
        <v>1</v>
      </c>
      <c r="BA774">
        <f>SUM(Pre[[#This Row],[1]:[46]])</f>
        <v>6</v>
      </c>
    </row>
    <row r="775" spans="1:53" x14ac:dyDescent="0.2">
      <c r="A775" t="s">
        <v>7</v>
      </c>
      <c r="B775" t="s">
        <v>6</v>
      </c>
      <c r="C775">
        <v>3179</v>
      </c>
      <c r="D775" t="s">
        <v>7</v>
      </c>
      <c r="E775" t="s">
        <v>37</v>
      </c>
      <c r="F775" t="s">
        <v>39</v>
      </c>
      <c r="T775">
        <v>1</v>
      </c>
      <c r="AF775">
        <v>1</v>
      </c>
      <c r="AV775">
        <v>1</v>
      </c>
      <c r="AW775">
        <v>1</v>
      </c>
      <c r="BA775">
        <f>SUM(Pre[[#This Row],[1]:[46]])</f>
        <v>4</v>
      </c>
    </row>
    <row r="776" spans="1:53" x14ac:dyDescent="0.2">
      <c r="A776" t="s">
        <v>7</v>
      </c>
      <c r="B776" t="s">
        <v>6</v>
      </c>
      <c r="C776">
        <v>3179</v>
      </c>
      <c r="D776" t="s">
        <v>7</v>
      </c>
      <c r="E776" t="s">
        <v>8</v>
      </c>
      <c r="F776" t="s">
        <v>9</v>
      </c>
      <c r="U776">
        <v>1</v>
      </c>
      <c r="Y776">
        <v>1</v>
      </c>
      <c r="AC776">
        <v>1</v>
      </c>
      <c r="AG776">
        <v>1</v>
      </c>
      <c r="AK776">
        <v>1</v>
      </c>
      <c r="AP776">
        <v>1</v>
      </c>
      <c r="AT776">
        <v>1</v>
      </c>
      <c r="AX776">
        <v>1</v>
      </c>
      <c r="BA776">
        <f>SUM(Pre[[#This Row],[1]:[46]])</f>
        <v>8</v>
      </c>
    </row>
    <row r="777" spans="1:53" x14ac:dyDescent="0.2">
      <c r="A777" t="s">
        <v>7</v>
      </c>
      <c r="B777" t="s">
        <v>6</v>
      </c>
      <c r="C777">
        <v>3179</v>
      </c>
      <c r="D777" t="s">
        <v>7</v>
      </c>
      <c r="E777" t="s">
        <v>8</v>
      </c>
      <c r="F777" t="s">
        <v>29</v>
      </c>
      <c r="T777">
        <v>1</v>
      </c>
      <c r="BA777">
        <f>SUM(Pre[[#This Row],[1]:[46]])</f>
        <v>1</v>
      </c>
    </row>
    <row r="778" spans="1:53" x14ac:dyDescent="0.2">
      <c r="A778" t="s">
        <v>7</v>
      </c>
      <c r="B778" t="s">
        <v>6</v>
      </c>
      <c r="C778">
        <v>4473</v>
      </c>
      <c r="D778" t="s">
        <v>7</v>
      </c>
      <c r="E778" t="s">
        <v>8</v>
      </c>
      <c r="F778" t="s">
        <v>23</v>
      </c>
      <c r="L778">
        <v>1</v>
      </c>
      <c r="BA778">
        <f>SUM(Pre[[#This Row],[1]:[46]])</f>
        <v>1</v>
      </c>
    </row>
    <row r="779" spans="1:53" x14ac:dyDescent="0.2">
      <c r="A779" t="s">
        <v>7</v>
      </c>
      <c r="B779" t="s">
        <v>6</v>
      </c>
      <c r="C779">
        <v>4473</v>
      </c>
      <c r="D779" t="s">
        <v>7</v>
      </c>
      <c r="E779" t="s">
        <v>8</v>
      </c>
      <c r="F779" t="s">
        <v>9</v>
      </c>
      <c r="AD779">
        <v>1</v>
      </c>
      <c r="AH779">
        <v>1</v>
      </c>
      <c r="AM779">
        <v>1</v>
      </c>
      <c r="AQ779">
        <v>1</v>
      </c>
      <c r="AV779">
        <v>1</v>
      </c>
      <c r="BA779">
        <f>SUM(Pre[[#This Row],[1]:[46]])</f>
        <v>5</v>
      </c>
    </row>
    <row r="780" spans="1:53" x14ac:dyDescent="0.2">
      <c r="A780" t="s">
        <v>7</v>
      </c>
      <c r="B780" t="s">
        <v>6</v>
      </c>
      <c r="C780">
        <v>6113</v>
      </c>
      <c r="D780" t="s">
        <v>7</v>
      </c>
      <c r="E780" t="s">
        <v>8</v>
      </c>
      <c r="F780" t="s">
        <v>29</v>
      </c>
      <c r="AT780">
        <v>1</v>
      </c>
      <c r="BA780">
        <f>SUM(Pre[[#This Row],[1]:[46]])</f>
        <v>1</v>
      </c>
    </row>
    <row r="781" spans="1:53" x14ac:dyDescent="0.2">
      <c r="A781" t="s">
        <v>7</v>
      </c>
      <c r="B781" t="s">
        <v>6</v>
      </c>
      <c r="C781">
        <v>14157</v>
      </c>
      <c r="D781" t="s">
        <v>7</v>
      </c>
      <c r="E781" t="s">
        <v>8</v>
      </c>
      <c r="F781" t="s">
        <v>29</v>
      </c>
      <c r="AG781">
        <v>4</v>
      </c>
      <c r="AL781">
        <v>2</v>
      </c>
      <c r="AV781">
        <v>1</v>
      </c>
      <c r="BA781">
        <f>SUM(Pre[[#This Row],[1]:[46]])</f>
        <v>7</v>
      </c>
    </row>
    <row r="782" spans="1:53" x14ac:dyDescent="0.2">
      <c r="A782" t="s">
        <v>7</v>
      </c>
      <c r="B782" t="s">
        <v>6</v>
      </c>
      <c r="C782">
        <v>14497</v>
      </c>
      <c r="D782" t="s">
        <v>7</v>
      </c>
      <c r="E782" t="s">
        <v>32</v>
      </c>
      <c r="F782" t="s">
        <v>33</v>
      </c>
      <c r="W782">
        <v>1</v>
      </c>
      <c r="BA782">
        <f>SUM(Pre[[#This Row],[1]:[46]])</f>
        <v>1</v>
      </c>
    </row>
    <row r="783" spans="1:53" x14ac:dyDescent="0.2">
      <c r="A783" t="s">
        <v>7</v>
      </c>
      <c r="B783" t="s">
        <v>6</v>
      </c>
      <c r="C783">
        <v>14994</v>
      </c>
      <c r="D783" t="s">
        <v>7</v>
      </c>
      <c r="E783" t="s">
        <v>8</v>
      </c>
      <c r="F783" t="s">
        <v>29</v>
      </c>
      <c r="M783">
        <v>1</v>
      </c>
      <c r="X783">
        <v>1</v>
      </c>
      <c r="AG783">
        <v>1</v>
      </c>
      <c r="AO783">
        <v>1</v>
      </c>
      <c r="AY783">
        <v>1</v>
      </c>
      <c r="BA783">
        <f>SUM(Pre[[#This Row],[1]:[46]])</f>
        <v>5</v>
      </c>
    </row>
    <row r="784" spans="1:53" x14ac:dyDescent="0.2">
      <c r="A784" t="s">
        <v>7</v>
      </c>
      <c r="B784" t="s">
        <v>6</v>
      </c>
      <c r="C784">
        <v>15455</v>
      </c>
      <c r="D784" t="s">
        <v>7</v>
      </c>
      <c r="E784" t="s">
        <v>14</v>
      </c>
      <c r="F784" t="s">
        <v>20</v>
      </c>
      <c r="AI784">
        <v>5</v>
      </c>
      <c r="AM784">
        <v>1</v>
      </c>
      <c r="AR784">
        <v>2</v>
      </c>
      <c r="BA784">
        <f>SUM(Pre[[#This Row],[1]:[46]])</f>
        <v>8</v>
      </c>
    </row>
    <row r="785" spans="1:53" x14ac:dyDescent="0.2">
      <c r="A785" t="s">
        <v>7</v>
      </c>
      <c r="B785" t="s">
        <v>6</v>
      </c>
      <c r="C785">
        <v>18410</v>
      </c>
      <c r="D785" t="s">
        <v>7</v>
      </c>
      <c r="E785" t="s">
        <v>14</v>
      </c>
      <c r="F785" t="s">
        <v>31</v>
      </c>
      <c r="N785">
        <v>1</v>
      </c>
      <c r="AA785">
        <v>1</v>
      </c>
      <c r="AG785">
        <v>1</v>
      </c>
      <c r="AT785">
        <v>1</v>
      </c>
      <c r="BA785">
        <f>SUM(Pre[[#This Row],[1]:[46]])</f>
        <v>4</v>
      </c>
    </row>
    <row r="786" spans="1:53" x14ac:dyDescent="0.2">
      <c r="A786" t="s">
        <v>7</v>
      </c>
      <c r="B786" t="s">
        <v>6</v>
      </c>
      <c r="C786">
        <v>557</v>
      </c>
      <c r="D786" t="s">
        <v>22</v>
      </c>
      <c r="E786" t="s">
        <v>8</v>
      </c>
      <c r="F786" t="s">
        <v>29</v>
      </c>
      <c r="H786">
        <v>1</v>
      </c>
      <c r="M786">
        <v>1</v>
      </c>
      <c r="V786">
        <v>1</v>
      </c>
      <c r="BA786">
        <f>SUM(Pre[[#This Row],[1]:[46]])</f>
        <v>3</v>
      </c>
    </row>
    <row r="787" spans="1:53" x14ac:dyDescent="0.2">
      <c r="A787" t="s">
        <v>7</v>
      </c>
      <c r="B787" t="s">
        <v>6</v>
      </c>
      <c r="C787">
        <v>3900</v>
      </c>
      <c r="D787" t="s">
        <v>22</v>
      </c>
      <c r="E787" t="s">
        <v>14</v>
      </c>
      <c r="F787" t="s">
        <v>19</v>
      </c>
      <c r="AI787">
        <v>1</v>
      </c>
      <c r="BA787">
        <f>SUM(Pre[[#This Row],[1]:[46]])</f>
        <v>1</v>
      </c>
    </row>
    <row r="788" spans="1:53" x14ac:dyDescent="0.2">
      <c r="A788" t="s">
        <v>7</v>
      </c>
      <c r="B788" t="s">
        <v>6</v>
      </c>
      <c r="C788">
        <v>6265</v>
      </c>
      <c r="D788" t="s">
        <v>22</v>
      </c>
      <c r="E788" t="s">
        <v>8</v>
      </c>
      <c r="F788" t="s">
        <v>29</v>
      </c>
      <c r="I788">
        <v>1</v>
      </c>
      <c r="L788">
        <v>1</v>
      </c>
      <c r="P788">
        <v>2</v>
      </c>
      <c r="U788">
        <v>2</v>
      </c>
      <c r="Y788">
        <v>1</v>
      </c>
      <c r="AB788">
        <v>1</v>
      </c>
      <c r="AF788">
        <v>1</v>
      </c>
      <c r="AJ788">
        <v>1</v>
      </c>
      <c r="AN788">
        <v>1</v>
      </c>
      <c r="AS788">
        <v>1</v>
      </c>
      <c r="AW788">
        <v>1</v>
      </c>
      <c r="BA788">
        <f>SUM(Pre[[#This Row],[1]:[46]])</f>
        <v>13</v>
      </c>
    </row>
    <row r="789" spans="1:53" x14ac:dyDescent="0.2">
      <c r="A789" t="s">
        <v>7</v>
      </c>
      <c r="B789" t="s">
        <v>6</v>
      </c>
      <c r="C789">
        <v>6267</v>
      </c>
      <c r="D789" t="s">
        <v>22</v>
      </c>
      <c r="E789" t="s">
        <v>40</v>
      </c>
      <c r="F789" t="s">
        <v>44</v>
      </c>
      <c r="BA789">
        <f>SUM(Pre[[#This Row],[1]:[46]])</f>
        <v>0</v>
      </c>
    </row>
    <row r="790" spans="1:53" x14ac:dyDescent="0.2">
      <c r="A790" t="s">
        <v>7</v>
      </c>
      <c r="B790" t="s">
        <v>6</v>
      </c>
      <c r="C790">
        <v>6491</v>
      </c>
      <c r="D790" t="s">
        <v>22</v>
      </c>
      <c r="E790" t="s">
        <v>8</v>
      </c>
      <c r="F790" t="s">
        <v>34</v>
      </c>
      <c r="X790">
        <v>1</v>
      </c>
      <c r="AK790">
        <v>1</v>
      </c>
      <c r="AR790">
        <v>1</v>
      </c>
      <c r="AZ790">
        <v>1</v>
      </c>
      <c r="BA790">
        <f>SUM(Pre[[#This Row],[1]:[46]])</f>
        <v>4</v>
      </c>
    </row>
    <row r="791" spans="1:53" x14ac:dyDescent="0.2">
      <c r="A791" t="s">
        <v>7</v>
      </c>
      <c r="B791" t="s">
        <v>6</v>
      </c>
      <c r="C791">
        <v>9180</v>
      </c>
      <c r="D791" t="s">
        <v>22</v>
      </c>
      <c r="E791" t="s">
        <v>8</v>
      </c>
      <c r="F791" t="s">
        <v>23</v>
      </c>
      <c r="S791">
        <v>1</v>
      </c>
      <c r="AG791">
        <v>1</v>
      </c>
      <c r="AU791">
        <v>1</v>
      </c>
      <c r="BA791">
        <f>SUM(Pre[[#This Row],[1]:[46]])</f>
        <v>3</v>
      </c>
    </row>
    <row r="792" spans="1:53" x14ac:dyDescent="0.2">
      <c r="A792" t="s">
        <v>7</v>
      </c>
      <c r="B792" t="s">
        <v>6</v>
      </c>
      <c r="C792">
        <v>9185</v>
      </c>
      <c r="D792" t="s">
        <v>22</v>
      </c>
      <c r="E792" t="s">
        <v>17</v>
      </c>
      <c r="F792" t="s">
        <v>18</v>
      </c>
      <c r="I792">
        <v>1</v>
      </c>
      <c r="X792">
        <v>1</v>
      </c>
      <c r="AS792">
        <v>1</v>
      </c>
      <c r="BA792">
        <f>SUM(Pre[[#This Row],[1]:[46]])</f>
        <v>3</v>
      </c>
    </row>
    <row r="793" spans="1:53" x14ac:dyDescent="0.2">
      <c r="A793" t="s">
        <v>7</v>
      </c>
      <c r="B793" t="s">
        <v>6</v>
      </c>
      <c r="C793">
        <v>9208</v>
      </c>
      <c r="D793" t="s">
        <v>22</v>
      </c>
      <c r="E793" t="s">
        <v>10</v>
      </c>
      <c r="F793" t="s">
        <v>16</v>
      </c>
      <c r="I793">
        <v>1</v>
      </c>
      <c r="BA793">
        <f>SUM(Pre[[#This Row],[1]:[46]])</f>
        <v>1</v>
      </c>
    </row>
    <row r="794" spans="1:53" x14ac:dyDescent="0.2">
      <c r="A794" t="s">
        <v>7</v>
      </c>
      <c r="B794" t="s">
        <v>6</v>
      </c>
      <c r="C794">
        <v>9765</v>
      </c>
      <c r="D794" t="s">
        <v>22</v>
      </c>
      <c r="E794" t="s">
        <v>8</v>
      </c>
      <c r="F794" t="s">
        <v>23</v>
      </c>
      <c r="R794">
        <v>1</v>
      </c>
      <c r="AG794">
        <v>1</v>
      </c>
      <c r="AS794">
        <v>1</v>
      </c>
      <c r="BA794">
        <f>SUM(Pre[[#This Row],[1]:[46]])</f>
        <v>3</v>
      </c>
    </row>
    <row r="795" spans="1:53" x14ac:dyDescent="0.2">
      <c r="A795" t="s">
        <v>7</v>
      </c>
      <c r="B795" t="s">
        <v>6</v>
      </c>
      <c r="C795">
        <v>11457</v>
      </c>
      <c r="D795" t="s">
        <v>22</v>
      </c>
      <c r="E795" t="s">
        <v>8</v>
      </c>
      <c r="F795" t="s">
        <v>23</v>
      </c>
      <c r="O795">
        <v>1</v>
      </c>
      <c r="AB795">
        <v>1</v>
      </c>
      <c r="AO795">
        <v>1</v>
      </c>
      <c r="BA795">
        <f>SUM(Pre[[#This Row],[1]:[46]])</f>
        <v>3</v>
      </c>
    </row>
    <row r="796" spans="1:53" x14ac:dyDescent="0.2">
      <c r="A796" t="s">
        <v>7</v>
      </c>
      <c r="B796" t="s">
        <v>6</v>
      </c>
      <c r="C796">
        <v>11561</v>
      </c>
      <c r="D796" t="s">
        <v>22</v>
      </c>
      <c r="E796" t="s">
        <v>8</v>
      </c>
      <c r="F796" t="s">
        <v>34</v>
      </c>
      <c r="Q796">
        <v>1</v>
      </c>
      <c r="AD796">
        <v>1</v>
      </c>
      <c r="AR796">
        <v>1</v>
      </c>
      <c r="BA796">
        <f>SUM(Pre[[#This Row],[1]:[46]])</f>
        <v>3</v>
      </c>
    </row>
    <row r="797" spans="1:53" x14ac:dyDescent="0.2">
      <c r="A797" t="s">
        <v>7</v>
      </c>
      <c r="B797" t="s">
        <v>6</v>
      </c>
      <c r="C797">
        <v>12338</v>
      </c>
      <c r="D797" t="s">
        <v>22</v>
      </c>
      <c r="E797" t="s">
        <v>8</v>
      </c>
      <c r="F797" t="s">
        <v>34</v>
      </c>
      <c r="X797">
        <v>1</v>
      </c>
      <c r="BA797">
        <f>SUM(Pre[[#This Row],[1]:[46]])</f>
        <v>1</v>
      </c>
    </row>
    <row r="798" spans="1:53" x14ac:dyDescent="0.2">
      <c r="A798" t="s">
        <v>7</v>
      </c>
      <c r="B798" t="s">
        <v>6</v>
      </c>
      <c r="C798">
        <v>13640</v>
      </c>
      <c r="D798" t="s">
        <v>22</v>
      </c>
      <c r="E798" t="s">
        <v>8</v>
      </c>
      <c r="F798" t="s">
        <v>23</v>
      </c>
      <c r="H798">
        <v>1</v>
      </c>
      <c r="W798">
        <v>2</v>
      </c>
      <c r="AK798">
        <v>3</v>
      </c>
      <c r="AY798">
        <v>1</v>
      </c>
      <c r="BA798">
        <f>SUM(Pre[[#This Row],[1]:[46]])</f>
        <v>7</v>
      </c>
    </row>
    <row r="799" spans="1:53" x14ac:dyDescent="0.2">
      <c r="A799" t="s">
        <v>7</v>
      </c>
      <c r="B799" t="s">
        <v>6</v>
      </c>
      <c r="C799">
        <v>13927</v>
      </c>
      <c r="D799" t="s">
        <v>22</v>
      </c>
      <c r="E799" t="s">
        <v>8</v>
      </c>
      <c r="F799" t="s">
        <v>29</v>
      </c>
      <c r="K799">
        <v>1</v>
      </c>
      <c r="Y799">
        <v>1</v>
      </c>
      <c r="AM799">
        <v>1</v>
      </c>
      <c r="AX799">
        <v>1</v>
      </c>
      <c r="BA799">
        <f>SUM(Pre[[#This Row],[1]:[46]])</f>
        <v>4</v>
      </c>
    </row>
    <row r="800" spans="1:53" x14ac:dyDescent="0.2">
      <c r="A800" t="s">
        <v>7</v>
      </c>
      <c r="B800" t="s">
        <v>6</v>
      </c>
      <c r="C800">
        <v>14342</v>
      </c>
      <c r="D800" t="s">
        <v>22</v>
      </c>
      <c r="E800" t="s">
        <v>14</v>
      </c>
      <c r="F800" t="s">
        <v>20</v>
      </c>
      <c r="N800">
        <v>1</v>
      </c>
      <c r="BA800">
        <f>SUM(Pre[[#This Row],[1]:[46]])</f>
        <v>1</v>
      </c>
    </row>
    <row r="801" spans="1:53" x14ac:dyDescent="0.2">
      <c r="A801" t="s">
        <v>7</v>
      </c>
      <c r="B801" t="s">
        <v>6</v>
      </c>
      <c r="C801">
        <v>15441</v>
      </c>
      <c r="D801" t="s">
        <v>22</v>
      </c>
      <c r="E801" t="s">
        <v>8</v>
      </c>
      <c r="F801" t="s">
        <v>29</v>
      </c>
      <c r="T801">
        <v>1</v>
      </c>
      <c r="AG801">
        <v>2</v>
      </c>
      <c r="AH801">
        <v>1</v>
      </c>
      <c r="AL801">
        <v>1</v>
      </c>
      <c r="AQ801">
        <v>1</v>
      </c>
      <c r="BA801">
        <f>SUM(Pre[[#This Row],[1]:[46]])</f>
        <v>6</v>
      </c>
    </row>
    <row r="802" spans="1:53" x14ac:dyDescent="0.2">
      <c r="A802" t="s">
        <v>7</v>
      </c>
      <c r="B802" t="s">
        <v>6</v>
      </c>
      <c r="C802">
        <v>15442</v>
      </c>
      <c r="D802" t="s">
        <v>22</v>
      </c>
      <c r="E802" t="s">
        <v>14</v>
      </c>
      <c r="F802" t="s">
        <v>20</v>
      </c>
      <c r="U802">
        <v>2</v>
      </c>
      <c r="BA802">
        <f>SUM(Pre[[#This Row],[1]:[46]])</f>
        <v>2</v>
      </c>
    </row>
    <row r="803" spans="1:53" x14ac:dyDescent="0.2">
      <c r="A803" t="s">
        <v>7</v>
      </c>
      <c r="B803" t="s">
        <v>6</v>
      </c>
      <c r="C803">
        <v>15673</v>
      </c>
      <c r="D803" t="s">
        <v>22</v>
      </c>
      <c r="E803" t="s">
        <v>8</v>
      </c>
      <c r="F803" t="s">
        <v>23</v>
      </c>
      <c r="V803">
        <v>1</v>
      </c>
      <c r="W803">
        <v>1</v>
      </c>
      <c r="AA803">
        <v>1</v>
      </c>
      <c r="AF803">
        <v>1</v>
      </c>
      <c r="AJ803">
        <v>1</v>
      </c>
      <c r="AO803">
        <v>1</v>
      </c>
      <c r="AS803">
        <v>1</v>
      </c>
      <c r="AV803">
        <v>1</v>
      </c>
      <c r="AW803">
        <v>3</v>
      </c>
      <c r="AZ803">
        <v>1</v>
      </c>
      <c r="BA803">
        <f>SUM(Pre[[#This Row],[1]:[46]])</f>
        <v>12</v>
      </c>
    </row>
    <row r="804" spans="1:53" x14ac:dyDescent="0.2">
      <c r="A804" t="s">
        <v>7</v>
      </c>
      <c r="B804" t="s">
        <v>6</v>
      </c>
      <c r="C804">
        <v>15673</v>
      </c>
      <c r="D804" t="s">
        <v>22</v>
      </c>
      <c r="E804" t="s">
        <v>14</v>
      </c>
      <c r="F804" t="s">
        <v>20</v>
      </c>
      <c r="U804">
        <v>1</v>
      </c>
      <c r="AH804">
        <v>2</v>
      </c>
      <c r="BA804">
        <f>SUM(Pre[[#This Row],[1]:[46]])</f>
        <v>3</v>
      </c>
    </row>
    <row r="805" spans="1:53" x14ac:dyDescent="0.2">
      <c r="A805" t="s">
        <v>7</v>
      </c>
      <c r="B805" t="s">
        <v>6</v>
      </c>
      <c r="C805">
        <v>15691</v>
      </c>
      <c r="D805" t="s">
        <v>22</v>
      </c>
      <c r="E805" t="s">
        <v>14</v>
      </c>
      <c r="F805" t="s">
        <v>20</v>
      </c>
      <c r="AI805">
        <v>1</v>
      </c>
      <c r="AQ805">
        <v>1</v>
      </c>
      <c r="AZ805">
        <v>1</v>
      </c>
      <c r="BA805">
        <f>SUM(Pre[[#This Row],[1]:[46]])</f>
        <v>3</v>
      </c>
    </row>
    <row r="806" spans="1:53" x14ac:dyDescent="0.2">
      <c r="A806" t="s">
        <v>7</v>
      </c>
      <c r="B806" t="s">
        <v>6</v>
      </c>
      <c r="C806">
        <v>15753</v>
      </c>
      <c r="D806" t="s">
        <v>22</v>
      </c>
      <c r="E806" t="s">
        <v>8</v>
      </c>
      <c r="F806" t="s">
        <v>9</v>
      </c>
      <c r="J806">
        <v>1</v>
      </c>
      <c r="Y806">
        <v>1</v>
      </c>
      <c r="AL806">
        <v>1</v>
      </c>
      <c r="AT806">
        <v>1</v>
      </c>
      <c r="BA806">
        <f>SUM(Pre[[#This Row],[1]:[46]])</f>
        <v>4</v>
      </c>
    </row>
    <row r="807" spans="1:53" x14ac:dyDescent="0.2">
      <c r="A807" t="s">
        <v>7</v>
      </c>
      <c r="B807" t="s">
        <v>6</v>
      </c>
      <c r="C807">
        <v>16064</v>
      </c>
      <c r="D807" t="s">
        <v>22</v>
      </c>
      <c r="E807" t="s">
        <v>8</v>
      </c>
      <c r="F807" t="s">
        <v>29</v>
      </c>
      <c r="M807">
        <v>1</v>
      </c>
      <c r="AA807">
        <v>1</v>
      </c>
      <c r="AN807">
        <v>1</v>
      </c>
      <c r="BA807">
        <f>SUM(Pre[[#This Row],[1]:[46]])</f>
        <v>3</v>
      </c>
    </row>
    <row r="808" spans="1:53" x14ac:dyDescent="0.2">
      <c r="A808" t="s">
        <v>7</v>
      </c>
      <c r="B808" t="s">
        <v>6</v>
      </c>
      <c r="C808">
        <v>17932</v>
      </c>
      <c r="D808" t="s">
        <v>22</v>
      </c>
      <c r="E808" t="s">
        <v>14</v>
      </c>
      <c r="F808" t="s">
        <v>20</v>
      </c>
      <c r="BA808">
        <f>SUM(Pre[[#This Row],[1]:[46]])</f>
        <v>0</v>
      </c>
    </row>
    <row r="809" spans="1:53" x14ac:dyDescent="0.2">
      <c r="A809" t="s">
        <v>7</v>
      </c>
      <c r="B809" t="s">
        <v>6</v>
      </c>
      <c r="C809">
        <v>21038</v>
      </c>
      <c r="D809" t="s">
        <v>22</v>
      </c>
      <c r="E809" t="s">
        <v>14</v>
      </c>
      <c r="F809" t="s">
        <v>20</v>
      </c>
      <c r="AW809">
        <v>1</v>
      </c>
      <c r="BA809">
        <f>SUM(Pre[[#This Row],[1]:[46]])</f>
        <v>1</v>
      </c>
    </row>
    <row r="810" spans="1:53" x14ac:dyDescent="0.2">
      <c r="A810" t="s">
        <v>7</v>
      </c>
      <c r="B810" t="s">
        <v>6</v>
      </c>
      <c r="C810">
        <v>153</v>
      </c>
      <c r="D810" t="s">
        <v>7</v>
      </c>
      <c r="E810" t="s">
        <v>14</v>
      </c>
      <c r="F810" t="s">
        <v>31</v>
      </c>
      <c r="X810">
        <v>1</v>
      </c>
      <c r="AR810">
        <v>1</v>
      </c>
      <c r="AY810">
        <v>2</v>
      </c>
      <c r="BA810">
        <f>SUM(Pre[[#This Row],[1]:[46]])</f>
        <v>4</v>
      </c>
    </row>
    <row r="811" spans="1:53" x14ac:dyDescent="0.2">
      <c r="A811" t="s">
        <v>7</v>
      </c>
      <c r="B811" t="s">
        <v>6</v>
      </c>
      <c r="C811">
        <v>188</v>
      </c>
      <c r="D811" t="s">
        <v>7</v>
      </c>
      <c r="E811" t="s">
        <v>10</v>
      </c>
      <c r="F811" t="s">
        <v>11</v>
      </c>
      <c r="AQ811">
        <v>1</v>
      </c>
      <c r="AY811">
        <v>1</v>
      </c>
      <c r="BA811">
        <f>SUM(Pre[[#This Row],[1]:[46]])</f>
        <v>2</v>
      </c>
    </row>
    <row r="812" spans="1:53" x14ac:dyDescent="0.2">
      <c r="A812" t="s">
        <v>7</v>
      </c>
      <c r="B812" t="s">
        <v>6</v>
      </c>
      <c r="C812">
        <v>188</v>
      </c>
      <c r="D812" t="s">
        <v>7</v>
      </c>
      <c r="E812" t="s">
        <v>14</v>
      </c>
      <c r="F812" t="s">
        <v>20</v>
      </c>
      <c r="AK812">
        <v>1</v>
      </c>
      <c r="BA812">
        <f>SUM(Pre[[#This Row],[1]:[46]])</f>
        <v>1</v>
      </c>
    </row>
    <row r="813" spans="1:53" x14ac:dyDescent="0.2">
      <c r="A813" t="s">
        <v>7</v>
      </c>
      <c r="B813" t="s">
        <v>6</v>
      </c>
      <c r="C813">
        <v>649</v>
      </c>
      <c r="D813" t="s">
        <v>7</v>
      </c>
      <c r="E813" t="s">
        <v>10</v>
      </c>
      <c r="F813" t="s">
        <v>11</v>
      </c>
      <c r="O813">
        <v>1</v>
      </c>
      <c r="BA813">
        <f>SUM(Pre[[#This Row],[1]:[46]])</f>
        <v>1</v>
      </c>
    </row>
    <row r="814" spans="1:53" x14ac:dyDescent="0.2">
      <c r="A814" t="s">
        <v>7</v>
      </c>
      <c r="B814" t="s">
        <v>6</v>
      </c>
      <c r="C814">
        <v>949</v>
      </c>
      <c r="D814" t="s">
        <v>7</v>
      </c>
      <c r="E814" t="s">
        <v>14</v>
      </c>
      <c r="F814" t="s">
        <v>19</v>
      </c>
      <c r="BA814">
        <f>SUM(Pre[[#This Row],[1]:[46]])</f>
        <v>0</v>
      </c>
    </row>
    <row r="815" spans="1:53" x14ac:dyDescent="0.2">
      <c r="A815" t="s">
        <v>7</v>
      </c>
      <c r="B815" t="s">
        <v>6</v>
      </c>
      <c r="C815">
        <v>949</v>
      </c>
      <c r="D815" t="s">
        <v>7</v>
      </c>
      <c r="E815" t="s">
        <v>14</v>
      </c>
      <c r="F815" t="s">
        <v>21</v>
      </c>
      <c r="BA815">
        <f>SUM(Pre[[#This Row],[1]:[46]])</f>
        <v>0</v>
      </c>
    </row>
    <row r="816" spans="1:53" x14ac:dyDescent="0.2">
      <c r="A816" t="s">
        <v>7</v>
      </c>
      <c r="B816" t="s">
        <v>6</v>
      </c>
      <c r="C816">
        <v>973</v>
      </c>
      <c r="D816" t="s">
        <v>7</v>
      </c>
      <c r="E816" t="s">
        <v>8</v>
      </c>
      <c r="F816" t="s">
        <v>29</v>
      </c>
      <c r="K816">
        <v>1</v>
      </c>
      <c r="X816">
        <v>1</v>
      </c>
      <c r="AK816">
        <v>1</v>
      </c>
      <c r="AX816">
        <v>1</v>
      </c>
      <c r="BA816">
        <f>SUM(Pre[[#This Row],[1]:[46]])</f>
        <v>4</v>
      </c>
    </row>
    <row r="817" spans="1:53" x14ac:dyDescent="0.2">
      <c r="A817" t="s">
        <v>7</v>
      </c>
      <c r="B817" t="s">
        <v>6</v>
      </c>
      <c r="C817">
        <v>1885</v>
      </c>
      <c r="D817" t="s">
        <v>7</v>
      </c>
      <c r="E817" t="s">
        <v>14</v>
      </c>
      <c r="F817" t="s">
        <v>21</v>
      </c>
      <c r="J817">
        <v>2</v>
      </c>
      <c r="O817">
        <v>1</v>
      </c>
      <c r="S817">
        <v>1</v>
      </c>
      <c r="X817">
        <v>1</v>
      </c>
      <c r="AF817">
        <v>1</v>
      </c>
      <c r="BA817">
        <f>SUM(Pre[[#This Row],[1]:[46]])</f>
        <v>6</v>
      </c>
    </row>
    <row r="818" spans="1:53" x14ac:dyDescent="0.2">
      <c r="A818" t="s">
        <v>7</v>
      </c>
      <c r="B818" t="s">
        <v>6</v>
      </c>
      <c r="C818">
        <v>1965</v>
      </c>
      <c r="D818" t="s">
        <v>7</v>
      </c>
      <c r="E818" t="s">
        <v>8</v>
      </c>
      <c r="F818" t="s">
        <v>29</v>
      </c>
      <c r="G818">
        <v>2</v>
      </c>
      <c r="S818">
        <v>1</v>
      </c>
      <c r="AF818">
        <v>1</v>
      </c>
      <c r="AS818">
        <v>2</v>
      </c>
      <c r="BA818">
        <f>SUM(Pre[[#This Row],[1]:[46]])</f>
        <v>6</v>
      </c>
    </row>
    <row r="819" spans="1:53" x14ac:dyDescent="0.2">
      <c r="A819" t="s">
        <v>7</v>
      </c>
      <c r="B819" t="s">
        <v>6</v>
      </c>
      <c r="C819">
        <v>1965</v>
      </c>
      <c r="D819" t="s">
        <v>7</v>
      </c>
      <c r="E819" t="s">
        <v>26</v>
      </c>
      <c r="F819" t="s">
        <v>27</v>
      </c>
      <c r="Q819">
        <v>1</v>
      </c>
      <c r="AC819">
        <v>1</v>
      </c>
      <c r="AP819">
        <v>1</v>
      </c>
      <c r="BA819">
        <f>SUM(Pre[[#This Row],[1]:[46]])</f>
        <v>3</v>
      </c>
    </row>
    <row r="820" spans="1:53" x14ac:dyDescent="0.2">
      <c r="A820" t="s">
        <v>7</v>
      </c>
      <c r="B820" t="s">
        <v>6</v>
      </c>
      <c r="C820">
        <v>2097</v>
      </c>
      <c r="D820" t="s">
        <v>7</v>
      </c>
      <c r="E820" t="s">
        <v>8</v>
      </c>
      <c r="F820" t="s">
        <v>9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2</v>
      </c>
      <c r="AN820">
        <v>2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2</v>
      </c>
      <c r="BA820">
        <f>SUM(Pre[[#This Row],[1]:[46]])</f>
        <v>47</v>
      </c>
    </row>
    <row r="821" spans="1:53" x14ac:dyDescent="0.2">
      <c r="A821" t="s">
        <v>7</v>
      </c>
      <c r="B821" t="s">
        <v>6</v>
      </c>
      <c r="C821">
        <v>2237</v>
      </c>
      <c r="D821" t="s">
        <v>7</v>
      </c>
      <c r="E821" t="s">
        <v>17</v>
      </c>
      <c r="F821" t="s">
        <v>18</v>
      </c>
      <c r="BA821">
        <f>SUM(Pre[[#This Row],[1]:[46]])</f>
        <v>0</v>
      </c>
    </row>
    <row r="822" spans="1:53" x14ac:dyDescent="0.2">
      <c r="A822" t="s">
        <v>7</v>
      </c>
      <c r="B822" t="s">
        <v>6</v>
      </c>
      <c r="C822">
        <v>2335</v>
      </c>
      <c r="D822" t="s">
        <v>7</v>
      </c>
      <c r="E822" t="s">
        <v>14</v>
      </c>
      <c r="F822" t="s">
        <v>20</v>
      </c>
      <c r="V822">
        <v>1</v>
      </c>
      <c r="BA822">
        <f>SUM(Pre[[#This Row],[1]:[46]])</f>
        <v>1</v>
      </c>
    </row>
    <row r="823" spans="1:53" x14ac:dyDescent="0.2">
      <c r="A823" t="s">
        <v>7</v>
      </c>
      <c r="B823" t="s">
        <v>6</v>
      </c>
      <c r="C823">
        <v>2502</v>
      </c>
      <c r="D823" t="s">
        <v>7</v>
      </c>
      <c r="E823" t="s">
        <v>10</v>
      </c>
      <c r="F823" t="s">
        <v>16</v>
      </c>
      <c r="S823">
        <v>1</v>
      </c>
      <c r="AL823">
        <v>1</v>
      </c>
      <c r="AV823">
        <v>1</v>
      </c>
      <c r="AY823">
        <v>1</v>
      </c>
      <c r="BA823">
        <f>SUM(Pre[[#This Row],[1]:[46]])</f>
        <v>4</v>
      </c>
    </row>
    <row r="824" spans="1:53" x14ac:dyDescent="0.2">
      <c r="A824" t="s">
        <v>7</v>
      </c>
      <c r="B824" t="s">
        <v>6</v>
      </c>
      <c r="C824">
        <v>2502</v>
      </c>
      <c r="D824" t="s">
        <v>7</v>
      </c>
      <c r="E824" t="s">
        <v>14</v>
      </c>
      <c r="F824" t="s">
        <v>20</v>
      </c>
      <c r="AO824">
        <v>1</v>
      </c>
      <c r="BA824">
        <f>SUM(Pre[[#This Row],[1]:[46]])</f>
        <v>1</v>
      </c>
    </row>
    <row r="825" spans="1:53" x14ac:dyDescent="0.2">
      <c r="A825" t="s">
        <v>7</v>
      </c>
      <c r="B825" t="s">
        <v>6</v>
      </c>
      <c r="C825">
        <v>2503</v>
      </c>
      <c r="D825" t="s">
        <v>7</v>
      </c>
      <c r="E825" t="s">
        <v>14</v>
      </c>
      <c r="F825" t="s">
        <v>20</v>
      </c>
      <c r="AW825">
        <v>1</v>
      </c>
      <c r="BA825">
        <f>SUM(Pre[[#This Row],[1]:[46]])</f>
        <v>1</v>
      </c>
    </row>
    <row r="826" spans="1:53" x14ac:dyDescent="0.2">
      <c r="A826" t="s">
        <v>7</v>
      </c>
      <c r="B826" t="s">
        <v>6</v>
      </c>
      <c r="C826">
        <v>3109</v>
      </c>
      <c r="D826" t="s">
        <v>7</v>
      </c>
      <c r="E826" t="s">
        <v>14</v>
      </c>
      <c r="F826" t="s">
        <v>20</v>
      </c>
      <c r="V826">
        <v>1</v>
      </c>
      <c r="BA826">
        <f>SUM(Pre[[#This Row],[1]:[46]])</f>
        <v>1</v>
      </c>
    </row>
    <row r="827" spans="1:53" x14ac:dyDescent="0.2">
      <c r="A827" t="s">
        <v>7</v>
      </c>
      <c r="B827" t="s">
        <v>6</v>
      </c>
      <c r="C827">
        <v>3200</v>
      </c>
      <c r="D827" t="s">
        <v>7</v>
      </c>
      <c r="E827" t="s">
        <v>8</v>
      </c>
      <c r="F827" t="s">
        <v>9</v>
      </c>
      <c r="J827">
        <v>1</v>
      </c>
      <c r="P827">
        <v>1</v>
      </c>
      <c r="W827">
        <v>3</v>
      </c>
      <c r="AC827">
        <v>1</v>
      </c>
      <c r="AJ827">
        <v>1</v>
      </c>
      <c r="AM827">
        <v>1</v>
      </c>
      <c r="AQ827">
        <v>1</v>
      </c>
      <c r="AU827">
        <v>1</v>
      </c>
      <c r="AY827">
        <v>1</v>
      </c>
      <c r="BA827">
        <f>SUM(Pre[[#This Row],[1]:[46]])</f>
        <v>11</v>
      </c>
    </row>
    <row r="828" spans="1:53" x14ac:dyDescent="0.2">
      <c r="A828" t="s">
        <v>7</v>
      </c>
      <c r="B828" t="s">
        <v>6</v>
      </c>
      <c r="C828">
        <v>3214</v>
      </c>
      <c r="D828" t="s">
        <v>7</v>
      </c>
      <c r="E828" t="s">
        <v>14</v>
      </c>
      <c r="F828" t="s">
        <v>20</v>
      </c>
      <c r="H828">
        <v>2</v>
      </c>
      <c r="M828">
        <v>1</v>
      </c>
      <c r="R828">
        <v>1</v>
      </c>
      <c r="AB828">
        <v>1</v>
      </c>
      <c r="AE828">
        <v>1</v>
      </c>
      <c r="AN828">
        <v>1</v>
      </c>
      <c r="AW828">
        <v>1</v>
      </c>
      <c r="BA828">
        <f>SUM(Pre[[#This Row],[1]:[46]])</f>
        <v>8</v>
      </c>
    </row>
    <row r="829" spans="1:53" x14ac:dyDescent="0.2">
      <c r="A829" t="s">
        <v>7</v>
      </c>
      <c r="B829" t="s">
        <v>6</v>
      </c>
      <c r="C829">
        <v>3336</v>
      </c>
      <c r="D829" t="s">
        <v>7</v>
      </c>
      <c r="E829" t="s">
        <v>32</v>
      </c>
      <c r="F829" t="s">
        <v>33</v>
      </c>
      <c r="AM829">
        <v>1</v>
      </c>
      <c r="BA829">
        <f>SUM(Pre[[#This Row],[1]:[46]])</f>
        <v>1</v>
      </c>
    </row>
    <row r="830" spans="1:53" x14ac:dyDescent="0.2">
      <c r="A830" t="s">
        <v>7</v>
      </c>
      <c r="B830" t="s">
        <v>6</v>
      </c>
      <c r="C830">
        <v>3337</v>
      </c>
      <c r="D830" t="s">
        <v>7</v>
      </c>
      <c r="E830" t="s">
        <v>14</v>
      </c>
      <c r="F830" t="s">
        <v>19</v>
      </c>
      <c r="BA830">
        <f>SUM(Pre[[#This Row],[1]:[46]])</f>
        <v>0</v>
      </c>
    </row>
    <row r="831" spans="1:53" x14ac:dyDescent="0.2">
      <c r="A831" t="s">
        <v>7</v>
      </c>
      <c r="B831" t="s">
        <v>6</v>
      </c>
      <c r="C831">
        <v>4541</v>
      </c>
      <c r="D831" t="s">
        <v>7</v>
      </c>
      <c r="E831" t="s">
        <v>8</v>
      </c>
      <c r="F831" t="s">
        <v>29</v>
      </c>
      <c r="R831">
        <v>1</v>
      </c>
      <c r="AI831">
        <v>1</v>
      </c>
      <c r="AY831">
        <v>1</v>
      </c>
      <c r="BA831">
        <f>SUM(Pre[[#This Row],[1]:[46]])</f>
        <v>3</v>
      </c>
    </row>
    <row r="832" spans="1:53" x14ac:dyDescent="0.2">
      <c r="A832" t="s">
        <v>7</v>
      </c>
      <c r="B832" t="s">
        <v>6</v>
      </c>
      <c r="C832">
        <v>6266</v>
      </c>
      <c r="D832" t="s">
        <v>7</v>
      </c>
      <c r="E832" t="s">
        <v>8</v>
      </c>
      <c r="F832" t="s">
        <v>29</v>
      </c>
      <c r="H832">
        <v>1</v>
      </c>
      <c r="L832">
        <v>1</v>
      </c>
      <c r="M832">
        <v>1</v>
      </c>
      <c r="P832">
        <v>2</v>
      </c>
      <c r="T832">
        <v>1</v>
      </c>
      <c r="U832">
        <v>1</v>
      </c>
      <c r="Y832">
        <v>2</v>
      </c>
      <c r="AD832">
        <v>2</v>
      </c>
      <c r="AE832">
        <v>2</v>
      </c>
      <c r="AF832">
        <v>1</v>
      </c>
      <c r="AI832">
        <v>1</v>
      </c>
      <c r="AN832">
        <v>1</v>
      </c>
      <c r="AR832">
        <v>1</v>
      </c>
      <c r="AV832">
        <v>1</v>
      </c>
      <c r="AY832">
        <v>1</v>
      </c>
      <c r="BA832">
        <f>SUM(Pre[[#This Row],[1]:[46]])</f>
        <v>19</v>
      </c>
    </row>
    <row r="833" spans="1:53" x14ac:dyDescent="0.2">
      <c r="A833" t="s">
        <v>7</v>
      </c>
      <c r="B833" t="s">
        <v>6</v>
      </c>
      <c r="C833">
        <v>6457</v>
      </c>
      <c r="D833" t="s">
        <v>7</v>
      </c>
      <c r="E833" t="s">
        <v>14</v>
      </c>
      <c r="F833" t="s">
        <v>20</v>
      </c>
      <c r="AB833">
        <v>1</v>
      </c>
      <c r="AJ833">
        <v>1</v>
      </c>
      <c r="BA833">
        <f>SUM(Pre[[#This Row],[1]:[46]])</f>
        <v>2</v>
      </c>
    </row>
    <row r="834" spans="1:53" x14ac:dyDescent="0.2">
      <c r="A834" t="s">
        <v>7</v>
      </c>
      <c r="B834" t="s">
        <v>6</v>
      </c>
      <c r="C834">
        <v>7192</v>
      </c>
      <c r="D834" t="s">
        <v>7</v>
      </c>
      <c r="E834" t="s">
        <v>32</v>
      </c>
      <c r="F834" t="s">
        <v>33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f>SUM(Pre[[#This Row],[1]:[46]])</f>
        <v>47</v>
      </c>
    </row>
    <row r="835" spans="1:53" x14ac:dyDescent="0.2">
      <c r="A835" t="s">
        <v>7</v>
      </c>
      <c r="B835" t="s">
        <v>6</v>
      </c>
      <c r="C835">
        <v>7192</v>
      </c>
      <c r="D835" t="s">
        <v>7</v>
      </c>
      <c r="E835" t="s">
        <v>14</v>
      </c>
      <c r="F835" t="s">
        <v>20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2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2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f>SUM(Pre[[#This Row],[1]:[46]])</f>
        <v>48</v>
      </c>
    </row>
    <row r="836" spans="1:53" x14ac:dyDescent="0.2">
      <c r="A836" t="s">
        <v>7</v>
      </c>
      <c r="B836" t="s">
        <v>6</v>
      </c>
      <c r="C836">
        <v>7318</v>
      </c>
      <c r="D836" t="s">
        <v>7</v>
      </c>
      <c r="E836" t="s">
        <v>14</v>
      </c>
      <c r="F836" t="s">
        <v>20</v>
      </c>
      <c r="J836">
        <v>1</v>
      </c>
      <c r="U836">
        <v>1</v>
      </c>
      <c r="AJ836">
        <v>1</v>
      </c>
      <c r="AU836">
        <v>1</v>
      </c>
      <c r="BA836">
        <f>SUM(Pre[[#This Row],[1]:[46]])</f>
        <v>4</v>
      </c>
    </row>
    <row r="837" spans="1:53" x14ac:dyDescent="0.2">
      <c r="A837" t="s">
        <v>7</v>
      </c>
      <c r="B837" t="s">
        <v>6</v>
      </c>
      <c r="C837">
        <v>7478</v>
      </c>
      <c r="D837" t="s">
        <v>7</v>
      </c>
      <c r="E837" t="s">
        <v>8</v>
      </c>
      <c r="F837" t="s">
        <v>9</v>
      </c>
      <c r="U837">
        <v>1</v>
      </c>
      <c r="AI837">
        <v>1</v>
      </c>
      <c r="AX837">
        <v>1</v>
      </c>
      <c r="BA837">
        <f>SUM(Pre[[#This Row],[1]:[46]])</f>
        <v>3</v>
      </c>
    </row>
    <row r="838" spans="1:53" x14ac:dyDescent="0.2">
      <c r="A838" t="s">
        <v>7</v>
      </c>
      <c r="B838" t="s">
        <v>6</v>
      </c>
      <c r="C838">
        <v>8539</v>
      </c>
      <c r="D838" t="s">
        <v>7</v>
      </c>
      <c r="E838" t="s">
        <v>14</v>
      </c>
      <c r="F838" t="s">
        <v>20</v>
      </c>
      <c r="AA838">
        <v>1</v>
      </c>
      <c r="AP838">
        <v>1</v>
      </c>
      <c r="BA838">
        <f>SUM(Pre[[#This Row],[1]:[46]])</f>
        <v>2</v>
      </c>
    </row>
    <row r="839" spans="1:53" x14ac:dyDescent="0.2">
      <c r="A839" t="s">
        <v>7</v>
      </c>
      <c r="B839" t="s">
        <v>6</v>
      </c>
      <c r="C839">
        <v>8850</v>
      </c>
      <c r="D839" t="s">
        <v>7</v>
      </c>
      <c r="E839" t="s">
        <v>10</v>
      </c>
      <c r="F839" t="s">
        <v>11</v>
      </c>
      <c r="BA839">
        <f>SUM(Pre[[#This Row],[1]:[46]])</f>
        <v>0</v>
      </c>
    </row>
    <row r="840" spans="1:53" x14ac:dyDescent="0.2">
      <c r="A840" t="s">
        <v>7</v>
      </c>
      <c r="B840" t="s">
        <v>6</v>
      </c>
      <c r="C840">
        <v>8850</v>
      </c>
      <c r="D840" t="s">
        <v>7</v>
      </c>
      <c r="E840" t="s">
        <v>14</v>
      </c>
      <c r="F840" t="s">
        <v>35</v>
      </c>
      <c r="O840">
        <v>1</v>
      </c>
      <c r="AJ840">
        <v>1</v>
      </c>
      <c r="BA840">
        <f>SUM(Pre[[#This Row],[1]:[46]])</f>
        <v>2</v>
      </c>
    </row>
    <row r="841" spans="1:53" x14ac:dyDescent="0.2">
      <c r="A841" t="s">
        <v>7</v>
      </c>
      <c r="B841" t="s">
        <v>6</v>
      </c>
      <c r="C841">
        <v>9211</v>
      </c>
      <c r="D841" t="s">
        <v>7</v>
      </c>
      <c r="E841" t="s">
        <v>8</v>
      </c>
      <c r="F841" t="s">
        <v>23</v>
      </c>
      <c r="R841">
        <v>1</v>
      </c>
      <c r="AD841">
        <v>1</v>
      </c>
      <c r="AQ841">
        <v>1</v>
      </c>
      <c r="BA841">
        <f>SUM(Pre[[#This Row],[1]:[46]])</f>
        <v>3</v>
      </c>
    </row>
    <row r="842" spans="1:53" x14ac:dyDescent="0.2">
      <c r="A842" t="s">
        <v>7</v>
      </c>
      <c r="B842" t="s">
        <v>6</v>
      </c>
      <c r="C842">
        <v>9211</v>
      </c>
      <c r="D842" t="s">
        <v>7</v>
      </c>
      <c r="E842" t="s">
        <v>17</v>
      </c>
      <c r="F842" t="s">
        <v>18</v>
      </c>
      <c r="P842">
        <v>2</v>
      </c>
      <c r="BA842">
        <f>SUM(Pre[[#This Row],[1]:[46]])</f>
        <v>2</v>
      </c>
    </row>
    <row r="843" spans="1:53" x14ac:dyDescent="0.2">
      <c r="A843" t="s">
        <v>7</v>
      </c>
      <c r="B843" t="s">
        <v>6</v>
      </c>
      <c r="C843">
        <v>9211</v>
      </c>
      <c r="D843" t="s">
        <v>7</v>
      </c>
      <c r="E843" t="s">
        <v>14</v>
      </c>
      <c r="F843" t="s">
        <v>20</v>
      </c>
      <c r="H843">
        <v>1</v>
      </c>
      <c r="BA843">
        <f>SUM(Pre[[#This Row],[1]:[46]])</f>
        <v>1</v>
      </c>
    </row>
    <row r="844" spans="1:53" x14ac:dyDescent="0.2">
      <c r="A844" t="s">
        <v>7</v>
      </c>
      <c r="B844" t="s">
        <v>6</v>
      </c>
      <c r="C844">
        <v>9759</v>
      </c>
      <c r="D844" t="s">
        <v>7</v>
      </c>
      <c r="E844" t="s">
        <v>14</v>
      </c>
      <c r="F844" t="s">
        <v>20</v>
      </c>
      <c r="H844">
        <v>1</v>
      </c>
      <c r="U844">
        <v>1</v>
      </c>
      <c r="AI844">
        <v>1</v>
      </c>
      <c r="AV844">
        <v>2</v>
      </c>
      <c r="BA844">
        <f>SUM(Pre[[#This Row],[1]:[46]])</f>
        <v>5</v>
      </c>
    </row>
    <row r="845" spans="1:53" x14ac:dyDescent="0.2">
      <c r="A845" t="s">
        <v>7</v>
      </c>
      <c r="B845" t="s">
        <v>6</v>
      </c>
      <c r="C845">
        <v>9942</v>
      </c>
      <c r="D845" t="s">
        <v>7</v>
      </c>
      <c r="E845" t="s">
        <v>14</v>
      </c>
      <c r="F845" t="s">
        <v>20</v>
      </c>
      <c r="H845">
        <v>1</v>
      </c>
      <c r="BA845">
        <f>SUM(Pre[[#This Row],[1]:[46]])</f>
        <v>1</v>
      </c>
    </row>
    <row r="846" spans="1:53" x14ac:dyDescent="0.2">
      <c r="A846" t="s">
        <v>7</v>
      </c>
      <c r="B846" t="s">
        <v>6</v>
      </c>
      <c r="C846">
        <v>10121</v>
      </c>
      <c r="D846" t="s">
        <v>7</v>
      </c>
      <c r="E846" t="s">
        <v>8</v>
      </c>
      <c r="F846" t="s">
        <v>23</v>
      </c>
      <c r="U846">
        <v>1</v>
      </c>
      <c r="AG846">
        <v>1</v>
      </c>
      <c r="AS846">
        <v>1</v>
      </c>
      <c r="BA846">
        <f>SUM(Pre[[#This Row],[1]:[46]])</f>
        <v>3</v>
      </c>
    </row>
    <row r="847" spans="1:53" x14ac:dyDescent="0.2">
      <c r="A847" t="s">
        <v>7</v>
      </c>
      <c r="B847" t="s">
        <v>6</v>
      </c>
      <c r="C847">
        <v>10182</v>
      </c>
      <c r="D847" t="s">
        <v>7</v>
      </c>
      <c r="E847" t="s">
        <v>14</v>
      </c>
      <c r="F847" t="s">
        <v>20</v>
      </c>
      <c r="L847">
        <v>1</v>
      </c>
      <c r="X847">
        <v>1</v>
      </c>
      <c r="AN847">
        <v>1</v>
      </c>
      <c r="BA847">
        <f>SUM(Pre[[#This Row],[1]:[46]])</f>
        <v>3</v>
      </c>
    </row>
    <row r="848" spans="1:53" x14ac:dyDescent="0.2">
      <c r="A848" t="s">
        <v>7</v>
      </c>
      <c r="B848" t="s">
        <v>6</v>
      </c>
      <c r="C848">
        <v>10715</v>
      </c>
      <c r="D848" t="s">
        <v>7</v>
      </c>
      <c r="E848" t="s">
        <v>14</v>
      </c>
      <c r="F848" t="s">
        <v>20</v>
      </c>
      <c r="H848">
        <v>1</v>
      </c>
      <c r="T848">
        <v>1</v>
      </c>
      <c r="AG848">
        <v>1</v>
      </c>
      <c r="AT848">
        <v>1</v>
      </c>
      <c r="BA848">
        <f>SUM(Pre[[#This Row],[1]:[46]])</f>
        <v>4</v>
      </c>
    </row>
    <row r="849" spans="1:53" x14ac:dyDescent="0.2">
      <c r="A849" t="s">
        <v>7</v>
      </c>
      <c r="B849" t="s">
        <v>6</v>
      </c>
      <c r="C849">
        <v>12156</v>
      </c>
      <c r="D849" t="s">
        <v>7</v>
      </c>
      <c r="E849" t="s">
        <v>14</v>
      </c>
      <c r="F849" t="s">
        <v>31</v>
      </c>
      <c r="V849">
        <v>1</v>
      </c>
      <c r="AJ849">
        <v>1</v>
      </c>
      <c r="AT849">
        <v>1</v>
      </c>
      <c r="BA849">
        <f>SUM(Pre[[#This Row],[1]:[46]])</f>
        <v>3</v>
      </c>
    </row>
    <row r="850" spans="1:53" x14ac:dyDescent="0.2">
      <c r="A850" t="s">
        <v>7</v>
      </c>
      <c r="B850" t="s">
        <v>6</v>
      </c>
      <c r="C850">
        <v>12241</v>
      </c>
      <c r="D850" t="s">
        <v>7</v>
      </c>
      <c r="E850" t="s">
        <v>14</v>
      </c>
      <c r="F850" t="s">
        <v>28</v>
      </c>
      <c r="J850">
        <v>1</v>
      </c>
      <c r="AA850">
        <v>1</v>
      </c>
      <c r="AM850">
        <v>1</v>
      </c>
      <c r="AY850">
        <v>1</v>
      </c>
      <c r="BA850">
        <f>SUM(Pre[[#This Row],[1]:[46]])</f>
        <v>4</v>
      </c>
    </row>
    <row r="851" spans="1:53" x14ac:dyDescent="0.2">
      <c r="A851" t="s">
        <v>7</v>
      </c>
      <c r="B851" t="s">
        <v>6</v>
      </c>
      <c r="C851">
        <v>13252</v>
      </c>
      <c r="D851" t="s">
        <v>7</v>
      </c>
      <c r="E851" t="s">
        <v>14</v>
      </c>
      <c r="F851" t="s">
        <v>35</v>
      </c>
      <c r="BA851">
        <f>SUM(Pre[[#This Row],[1]:[46]])</f>
        <v>0</v>
      </c>
    </row>
    <row r="852" spans="1:53" x14ac:dyDescent="0.2">
      <c r="A852" t="s">
        <v>7</v>
      </c>
      <c r="B852" t="s">
        <v>6</v>
      </c>
      <c r="C852">
        <v>13252</v>
      </c>
      <c r="D852" t="s">
        <v>7</v>
      </c>
      <c r="E852" t="s">
        <v>14</v>
      </c>
      <c r="F852" t="s">
        <v>31</v>
      </c>
      <c r="H852">
        <v>1</v>
      </c>
      <c r="V852">
        <v>1</v>
      </c>
      <c r="AJ852">
        <v>1</v>
      </c>
      <c r="AX852">
        <v>1</v>
      </c>
      <c r="BA852">
        <f>SUM(Pre[[#This Row],[1]:[46]])</f>
        <v>4</v>
      </c>
    </row>
    <row r="853" spans="1:53" x14ac:dyDescent="0.2">
      <c r="A853" t="s">
        <v>7</v>
      </c>
      <c r="B853" t="s">
        <v>6</v>
      </c>
      <c r="C853">
        <v>13477</v>
      </c>
      <c r="D853" t="s">
        <v>7</v>
      </c>
      <c r="E853" t="s">
        <v>17</v>
      </c>
      <c r="F853" t="s">
        <v>18</v>
      </c>
      <c r="N853">
        <v>1</v>
      </c>
      <c r="V853">
        <v>1</v>
      </c>
      <c r="Z853">
        <v>1</v>
      </c>
      <c r="AH853">
        <v>1</v>
      </c>
      <c r="AZ853">
        <v>1</v>
      </c>
      <c r="BA853">
        <f>SUM(Pre[[#This Row],[1]:[46]])</f>
        <v>5</v>
      </c>
    </row>
    <row r="854" spans="1:53" x14ac:dyDescent="0.2">
      <c r="A854" t="s">
        <v>7</v>
      </c>
      <c r="B854" t="s">
        <v>6</v>
      </c>
      <c r="C854">
        <v>13477</v>
      </c>
      <c r="D854" t="s">
        <v>7</v>
      </c>
      <c r="E854" t="s">
        <v>14</v>
      </c>
      <c r="F854" t="s">
        <v>20</v>
      </c>
      <c r="AV854">
        <v>1</v>
      </c>
      <c r="BA854">
        <f>SUM(Pre[[#This Row],[1]:[46]])</f>
        <v>1</v>
      </c>
    </row>
    <row r="855" spans="1:53" x14ac:dyDescent="0.2">
      <c r="A855" t="s">
        <v>7</v>
      </c>
      <c r="B855" t="s">
        <v>6</v>
      </c>
      <c r="C855">
        <v>14066</v>
      </c>
      <c r="D855" t="s">
        <v>7</v>
      </c>
      <c r="E855" t="s">
        <v>10</v>
      </c>
      <c r="F855" t="s">
        <v>11</v>
      </c>
      <c r="BA855">
        <f>SUM(Pre[[#This Row],[1]:[46]])</f>
        <v>0</v>
      </c>
    </row>
    <row r="856" spans="1:53" x14ac:dyDescent="0.2">
      <c r="A856" t="s">
        <v>7</v>
      </c>
      <c r="B856" t="s">
        <v>6</v>
      </c>
      <c r="C856">
        <v>14066</v>
      </c>
      <c r="D856" t="s">
        <v>7</v>
      </c>
      <c r="E856" t="s">
        <v>14</v>
      </c>
      <c r="F856" t="s">
        <v>20</v>
      </c>
      <c r="AW856">
        <v>1</v>
      </c>
      <c r="BA856">
        <f>SUM(Pre[[#This Row],[1]:[46]])</f>
        <v>1</v>
      </c>
    </row>
    <row r="857" spans="1:53" x14ac:dyDescent="0.2">
      <c r="A857" t="s">
        <v>7</v>
      </c>
      <c r="B857" t="s">
        <v>6</v>
      </c>
      <c r="C857">
        <v>14988</v>
      </c>
      <c r="D857" t="s">
        <v>7</v>
      </c>
      <c r="E857" t="s">
        <v>14</v>
      </c>
      <c r="F857" t="s">
        <v>20</v>
      </c>
      <c r="O857">
        <v>1</v>
      </c>
      <c r="AB857">
        <v>1</v>
      </c>
      <c r="AO857">
        <v>1</v>
      </c>
      <c r="BA857">
        <f>SUM(Pre[[#This Row],[1]:[46]])</f>
        <v>3</v>
      </c>
    </row>
    <row r="858" spans="1:53" x14ac:dyDescent="0.2">
      <c r="A858" t="s">
        <v>7</v>
      </c>
      <c r="B858" t="s">
        <v>6</v>
      </c>
      <c r="C858">
        <v>18482</v>
      </c>
      <c r="D858" t="s">
        <v>7</v>
      </c>
      <c r="E858" t="s">
        <v>14</v>
      </c>
      <c r="F858" t="s">
        <v>20</v>
      </c>
      <c r="Q858">
        <v>1</v>
      </c>
      <c r="BA858">
        <f>SUM(Pre[[#This Row],[1]:[46]])</f>
        <v>1</v>
      </c>
    </row>
    <row r="859" spans="1:53" x14ac:dyDescent="0.2">
      <c r="A859" t="s">
        <v>7</v>
      </c>
      <c r="B859" t="s">
        <v>6</v>
      </c>
      <c r="C859">
        <v>18855</v>
      </c>
      <c r="D859" t="s">
        <v>7</v>
      </c>
      <c r="E859" t="s">
        <v>14</v>
      </c>
      <c r="F859" t="s">
        <v>35</v>
      </c>
      <c r="M859">
        <v>1</v>
      </c>
      <c r="P859">
        <v>1</v>
      </c>
      <c r="AC859">
        <v>1</v>
      </c>
      <c r="AQ859">
        <v>1</v>
      </c>
      <c r="AX859">
        <v>1</v>
      </c>
      <c r="BA859">
        <f>SUM(Pre[[#This Row],[1]:[46]])</f>
        <v>5</v>
      </c>
    </row>
    <row r="860" spans="1:53" x14ac:dyDescent="0.2">
      <c r="A860" t="s">
        <v>7</v>
      </c>
      <c r="B860" t="s">
        <v>6</v>
      </c>
      <c r="C860">
        <v>18963</v>
      </c>
      <c r="D860" t="s">
        <v>7</v>
      </c>
      <c r="E860" t="s">
        <v>14</v>
      </c>
      <c r="F860" t="s">
        <v>31</v>
      </c>
      <c r="P860">
        <v>1</v>
      </c>
      <c r="BA860">
        <f>SUM(Pre[[#This Row],[1]:[46]])</f>
        <v>1</v>
      </c>
    </row>
    <row r="861" spans="1:53" x14ac:dyDescent="0.2">
      <c r="A861" t="s">
        <v>7</v>
      </c>
      <c r="B861" t="s">
        <v>6</v>
      </c>
      <c r="C861">
        <v>19370</v>
      </c>
      <c r="D861" t="s">
        <v>7</v>
      </c>
      <c r="E861" t="s">
        <v>14</v>
      </c>
      <c r="F861" t="s">
        <v>20</v>
      </c>
      <c r="AU861">
        <v>1</v>
      </c>
      <c r="BA861">
        <f>SUM(Pre[[#This Row],[1]:[46]])</f>
        <v>1</v>
      </c>
    </row>
    <row r="862" spans="1:53" x14ac:dyDescent="0.2">
      <c r="A862" t="s">
        <v>7</v>
      </c>
      <c r="B862" t="s">
        <v>6</v>
      </c>
      <c r="C862">
        <v>21530</v>
      </c>
      <c r="D862" t="s">
        <v>7</v>
      </c>
      <c r="E862" t="s">
        <v>10</v>
      </c>
      <c r="F862" t="s">
        <v>11</v>
      </c>
      <c r="AI862">
        <v>1</v>
      </c>
      <c r="BA862">
        <f>SUM(Pre[[#This Row],[1]:[46]])</f>
        <v>1</v>
      </c>
    </row>
    <row r="863" spans="1:53" x14ac:dyDescent="0.2">
      <c r="A863" t="s">
        <v>7</v>
      </c>
      <c r="B863" t="s">
        <v>6</v>
      </c>
      <c r="C863">
        <v>33718</v>
      </c>
      <c r="D863" t="s">
        <v>7</v>
      </c>
      <c r="E863" t="s">
        <v>32</v>
      </c>
      <c r="F863" t="s">
        <v>33</v>
      </c>
      <c r="L863">
        <v>1</v>
      </c>
      <c r="O863">
        <v>2</v>
      </c>
      <c r="W863">
        <v>1</v>
      </c>
      <c r="AA863">
        <v>1</v>
      </c>
      <c r="AG863">
        <v>1</v>
      </c>
      <c r="AN863">
        <v>1</v>
      </c>
      <c r="BA863">
        <f>SUM(Pre[[#This Row],[1]:[46]])</f>
        <v>7</v>
      </c>
    </row>
    <row r="864" spans="1:53" x14ac:dyDescent="0.2">
      <c r="A864" t="s">
        <v>7</v>
      </c>
      <c r="B864" t="s">
        <v>6</v>
      </c>
      <c r="C864">
        <v>33718</v>
      </c>
      <c r="D864" t="s">
        <v>7</v>
      </c>
      <c r="E864" t="s">
        <v>14</v>
      </c>
      <c r="F864" t="s">
        <v>20</v>
      </c>
      <c r="AN864">
        <v>1</v>
      </c>
      <c r="AX864">
        <v>1</v>
      </c>
      <c r="BA864">
        <f>SUM(Pre[[#This Row],[1]:[46]])</f>
        <v>2</v>
      </c>
    </row>
    <row r="865" spans="1:53" x14ac:dyDescent="0.2">
      <c r="A865" t="s">
        <v>7</v>
      </c>
      <c r="B865" t="s">
        <v>6</v>
      </c>
      <c r="C865">
        <v>743</v>
      </c>
      <c r="D865" t="s">
        <v>22</v>
      </c>
      <c r="E865" t="s">
        <v>8</v>
      </c>
      <c r="F865" t="s">
        <v>34</v>
      </c>
      <c r="L865">
        <v>1</v>
      </c>
      <c r="Y865">
        <v>1</v>
      </c>
      <c r="AL865">
        <v>1</v>
      </c>
      <c r="AY865">
        <v>1</v>
      </c>
      <c r="BA865">
        <f>SUM(Pre[[#This Row],[1]:[46]])</f>
        <v>4</v>
      </c>
    </row>
    <row r="866" spans="1:53" x14ac:dyDescent="0.2">
      <c r="A866" t="s">
        <v>7</v>
      </c>
      <c r="B866" t="s">
        <v>6</v>
      </c>
      <c r="C866">
        <v>743</v>
      </c>
      <c r="D866" t="s">
        <v>22</v>
      </c>
      <c r="E866" t="s">
        <v>8</v>
      </c>
      <c r="F866" t="s">
        <v>29</v>
      </c>
      <c r="BA866">
        <f>SUM(Pre[[#This Row],[1]:[46]])</f>
        <v>0</v>
      </c>
    </row>
    <row r="867" spans="1:53" x14ac:dyDescent="0.2">
      <c r="A867" t="s">
        <v>7</v>
      </c>
      <c r="B867" t="s">
        <v>6</v>
      </c>
      <c r="C867">
        <v>972</v>
      </c>
      <c r="D867" t="s">
        <v>22</v>
      </c>
      <c r="E867" t="s">
        <v>8</v>
      </c>
      <c r="F867" t="s">
        <v>29</v>
      </c>
      <c r="J867">
        <v>1</v>
      </c>
      <c r="U867">
        <v>1</v>
      </c>
      <c r="AG867">
        <v>1</v>
      </c>
      <c r="AR867">
        <v>1</v>
      </c>
      <c r="BA867">
        <f>SUM(Pre[[#This Row],[1]:[46]])</f>
        <v>4</v>
      </c>
    </row>
    <row r="868" spans="1:53" x14ac:dyDescent="0.2">
      <c r="A868" t="s">
        <v>7</v>
      </c>
      <c r="B868" t="s">
        <v>6</v>
      </c>
      <c r="C868">
        <v>1699</v>
      </c>
      <c r="D868" t="s">
        <v>22</v>
      </c>
      <c r="E868" t="s">
        <v>10</v>
      </c>
      <c r="F868" t="s">
        <v>11</v>
      </c>
      <c r="BA868">
        <f>SUM(Pre[[#This Row],[1]:[46]])</f>
        <v>0</v>
      </c>
    </row>
    <row r="869" spans="1:53" x14ac:dyDescent="0.2">
      <c r="A869" t="s">
        <v>7</v>
      </c>
      <c r="B869" t="s">
        <v>6</v>
      </c>
      <c r="C869">
        <v>1699</v>
      </c>
      <c r="D869" t="s">
        <v>22</v>
      </c>
      <c r="E869" t="s">
        <v>8</v>
      </c>
      <c r="F869" t="s">
        <v>23</v>
      </c>
      <c r="I869">
        <v>2</v>
      </c>
      <c r="S869">
        <v>1</v>
      </c>
      <c r="AF869">
        <v>1</v>
      </c>
      <c r="AT869">
        <v>1</v>
      </c>
      <c r="BA869">
        <f>SUM(Pre[[#This Row],[1]:[46]])</f>
        <v>5</v>
      </c>
    </row>
    <row r="870" spans="1:53" x14ac:dyDescent="0.2">
      <c r="A870" t="s">
        <v>7</v>
      </c>
      <c r="B870" t="s">
        <v>6</v>
      </c>
      <c r="C870">
        <v>1699</v>
      </c>
      <c r="D870" t="s">
        <v>22</v>
      </c>
      <c r="E870" t="s">
        <v>14</v>
      </c>
      <c r="F870" t="s">
        <v>20</v>
      </c>
      <c r="S870">
        <v>1</v>
      </c>
      <c r="AF870">
        <v>1</v>
      </c>
      <c r="AT870">
        <v>1</v>
      </c>
      <c r="BA870">
        <f>SUM(Pre[[#This Row],[1]:[46]])</f>
        <v>3</v>
      </c>
    </row>
    <row r="871" spans="1:53" x14ac:dyDescent="0.2">
      <c r="A871" t="s">
        <v>7</v>
      </c>
      <c r="B871" t="s">
        <v>6</v>
      </c>
      <c r="C871">
        <v>2022</v>
      </c>
      <c r="D871" t="s">
        <v>22</v>
      </c>
      <c r="E871" t="s">
        <v>8</v>
      </c>
      <c r="F871" t="s">
        <v>29</v>
      </c>
      <c r="S871">
        <v>4</v>
      </c>
      <c r="AI871">
        <v>1</v>
      </c>
      <c r="AX871">
        <v>1</v>
      </c>
      <c r="BA871">
        <f>SUM(Pre[[#This Row],[1]:[46]])</f>
        <v>6</v>
      </c>
    </row>
    <row r="872" spans="1:53" x14ac:dyDescent="0.2">
      <c r="A872" t="s">
        <v>7</v>
      </c>
      <c r="B872" t="s">
        <v>6</v>
      </c>
      <c r="C872">
        <v>2069</v>
      </c>
      <c r="D872" t="s">
        <v>22</v>
      </c>
      <c r="E872" t="s">
        <v>10</v>
      </c>
      <c r="F872" t="s">
        <v>11</v>
      </c>
      <c r="H872">
        <v>1</v>
      </c>
      <c r="L872">
        <v>1</v>
      </c>
      <c r="M872">
        <v>1</v>
      </c>
      <c r="P872">
        <v>1</v>
      </c>
      <c r="T872">
        <v>1</v>
      </c>
      <c r="Y872">
        <v>1</v>
      </c>
      <c r="AB872">
        <v>1</v>
      </c>
      <c r="AE872">
        <v>1</v>
      </c>
      <c r="AJ872">
        <v>1</v>
      </c>
      <c r="AN872">
        <v>1</v>
      </c>
      <c r="AS872">
        <v>1</v>
      </c>
      <c r="AV872">
        <v>1</v>
      </c>
      <c r="BA872">
        <f>SUM(Pre[[#This Row],[1]:[46]])</f>
        <v>12</v>
      </c>
    </row>
    <row r="873" spans="1:53" x14ac:dyDescent="0.2">
      <c r="A873" t="s">
        <v>7</v>
      </c>
      <c r="B873" t="s">
        <v>6</v>
      </c>
      <c r="C873">
        <v>2191</v>
      </c>
      <c r="D873" t="s">
        <v>22</v>
      </c>
      <c r="E873" t="s">
        <v>8</v>
      </c>
      <c r="F873" t="s">
        <v>29</v>
      </c>
      <c r="Q873">
        <v>1</v>
      </c>
      <c r="AD873">
        <v>1</v>
      </c>
      <c r="AQ873">
        <v>1</v>
      </c>
      <c r="BA873">
        <f>SUM(Pre[[#This Row],[1]:[46]])</f>
        <v>3</v>
      </c>
    </row>
    <row r="874" spans="1:53" x14ac:dyDescent="0.2">
      <c r="A874" t="s">
        <v>7</v>
      </c>
      <c r="B874" t="s">
        <v>6</v>
      </c>
      <c r="C874">
        <v>2877</v>
      </c>
      <c r="D874" t="s">
        <v>22</v>
      </c>
      <c r="E874" t="s">
        <v>14</v>
      </c>
      <c r="F874" t="s">
        <v>20</v>
      </c>
      <c r="H874">
        <v>1</v>
      </c>
      <c r="L874">
        <v>1</v>
      </c>
      <c r="Q874">
        <v>1</v>
      </c>
      <c r="U874">
        <v>1</v>
      </c>
      <c r="X874">
        <v>1</v>
      </c>
      <c r="AB874">
        <v>1</v>
      </c>
      <c r="AF874">
        <v>1</v>
      </c>
      <c r="AG874">
        <v>1</v>
      </c>
      <c r="AH874">
        <v>1</v>
      </c>
      <c r="AL874">
        <v>1</v>
      </c>
      <c r="AP874">
        <v>1</v>
      </c>
      <c r="AQ874">
        <v>1</v>
      </c>
      <c r="AS874">
        <v>1</v>
      </c>
      <c r="AX874">
        <v>1</v>
      </c>
      <c r="AZ874">
        <v>1</v>
      </c>
      <c r="BA874">
        <f>SUM(Pre[[#This Row],[1]:[46]])</f>
        <v>15</v>
      </c>
    </row>
    <row r="875" spans="1:53" x14ac:dyDescent="0.2">
      <c r="A875" t="s">
        <v>7</v>
      </c>
      <c r="B875" t="s">
        <v>6</v>
      </c>
      <c r="C875">
        <v>3871</v>
      </c>
      <c r="D875" t="s">
        <v>22</v>
      </c>
      <c r="E875" t="s">
        <v>8</v>
      </c>
      <c r="F875" t="s">
        <v>29</v>
      </c>
      <c r="P875">
        <v>1</v>
      </c>
      <c r="AC875">
        <v>1</v>
      </c>
      <c r="AP875">
        <v>1</v>
      </c>
      <c r="AX875">
        <v>1</v>
      </c>
      <c r="BA875">
        <f>SUM(Pre[[#This Row],[1]:[46]])</f>
        <v>4</v>
      </c>
    </row>
    <row r="876" spans="1:53" x14ac:dyDescent="0.2">
      <c r="A876" t="s">
        <v>7</v>
      </c>
      <c r="B876" t="s">
        <v>6</v>
      </c>
      <c r="C876">
        <v>5082</v>
      </c>
      <c r="D876" t="s">
        <v>22</v>
      </c>
      <c r="E876" t="s">
        <v>14</v>
      </c>
      <c r="F876" t="s">
        <v>21</v>
      </c>
      <c r="S876">
        <v>1</v>
      </c>
      <c r="AF876">
        <v>1</v>
      </c>
      <c r="AR876">
        <v>1</v>
      </c>
      <c r="BA876">
        <f>SUM(Pre[[#This Row],[1]:[46]])</f>
        <v>3</v>
      </c>
    </row>
    <row r="877" spans="1:53" x14ac:dyDescent="0.2">
      <c r="A877" t="s">
        <v>7</v>
      </c>
      <c r="B877" t="s">
        <v>6</v>
      </c>
      <c r="C877">
        <v>5177</v>
      </c>
      <c r="D877" t="s">
        <v>22</v>
      </c>
      <c r="E877" t="s">
        <v>8</v>
      </c>
      <c r="F877" t="s">
        <v>23</v>
      </c>
      <c r="L877">
        <v>1</v>
      </c>
      <c r="AJ877">
        <v>1</v>
      </c>
      <c r="BA877">
        <f>SUM(Pre[[#This Row],[1]:[46]])</f>
        <v>2</v>
      </c>
    </row>
    <row r="878" spans="1:53" x14ac:dyDescent="0.2">
      <c r="A878" t="s">
        <v>7</v>
      </c>
      <c r="B878" t="s">
        <v>6</v>
      </c>
      <c r="C878">
        <v>7839</v>
      </c>
      <c r="D878" t="s">
        <v>22</v>
      </c>
      <c r="E878" t="s">
        <v>14</v>
      </c>
      <c r="F878" t="s">
        <v>21</v>
      </c>
      <c r="G878">
        <v>1</v>
      </c>
      <c r="W878">
        <v>1</v>
      </c>
      <c r="AA878">
        <v>1</v>
      </c>
      <c r="AH878">
        <v>1</v>
      </c>
      <c r="BA878">
        <f>SUM(Pre[[#This Row],[1]:[46]])</f>
        <v>4</v>
      </c>
    </row>
    <row r="879" spans="1:53" x14ac:dyDescent="0.2">
      <c r="A879" t="s">
        <v>7</v>
      </c>
      <c r="B879" t="s">
        <v>6</v>
      </c>
      <c r="C879">
        <v>7855</v>
      </c>
      <c r="D879" t="s">
        <v>22</v>
      </c>
      <c r="E879" t="s">
        <v>8</v>
      </c>
      <c r="F879" t="s">
        <v>9</v>
      </c>
      <c r="K879">
        <v>1</v>
      </c>
      <c r="O879">
        <v>1</v>
      </c>
      <c r="R879">
        <v>1</v>
      </c>
      <c r="V879">
        <v>1</v>
      </c>
      <c r="Y879">
        <v>1</v>
      </c>
      <c r="AC879">
        <v>1</v>
      </c>
      <c r="AE879">
        <v>1</v>
      </c>
      <c r="AL879">
        <v>1</v>
      </c>
      <c r="AP879">
        <v>1</v>
      </c>
      <c r="AU879">
        <v>1</v>
      </c>
      <c r="AY879">
        <v>1</v>
      </c>
      <c r="BA879">
        <f>SUM(Pre[[#This Row],[1]:[46]])</f>
        <v>11</v>
      </c>
    </row>
    <row r="880" spans="1:53" x14ac:dyDescent="0.2">
      <c r="A880" t="s">
        <v>7</v>
      </c>
      <c r="B880" t="s">
        <v>6</v>
      </c>
      <c r="C880">
        <v>8195</v>
      </c>
      <c r="D880" t="s">
        <v>22</v>
      </c>
      <c r="E880" t="s">
        <v>40</v>
      </c>
      <c r="F880" t="s">
        <v>44</v>
      </c>
      <c r="AD880">
        <v>1</v>
      </c>
      <c r="AH880">
        <v>1</v>
      </c>
      <c r="BA880">
        <f>SUM(Pre[[#This Row],[1]:[46]])</f>
        <v>2</v>
      </c>
    </row>
    <row r="881" spans="1:53" x14ac:dyDescent="0.2">
      <c r="A881" t="s">
        <v>7</v>
      </c>
      <c r="B881" t="s">
        <v>6</v>
      </c>
      <c r="C881">
        <v>8195</v>
      </c>
      <c r="D881" t="s">
        <v>22</v>
      </c>
      <c r="E881" t="s">
        <v>40</v>
      </c>
      <c r="F881" t="s">
        <v>41</v>
      </c>
      <c r="AH881">
        <v>1</v>
      </c>
      <c r="AM881">
        <v>1</v>
      </c>
      <c r="AR881">
        <v>1</v>
      </c>
      <c r="AW881">
        <v>1</v>
      </c>
      <c r="BA881">
        <f>SUM(Pre[[#This Row],[1]:[46]])</f>
        <v>4</v>
      </c>
    </row>
    <row r="882" spans="1:53" x14ac:dyDescent="0.2">
      <c r="A882" t="s">
        <v>7</v>
      </c>
      <c r="B882" t="s">
        <v>6</v>
      </c>
      <c r="C882">
        <v>8195</v>
      </c>
      <c r="D882" t="s">
        <v>22</v>
      </c>
      <c r="E882" t="s">
        <v>8</v>
      </c>
      <c r="F882" t="s">
        <v>9</v>
      </c>
      <c r="V882">
        <v>1</v>
      </c>
      <c r="BA882">
        <f>SUM(Pre[[#This Row],[1]:[46]])</f>
        <v>1</v>
      </c>
    </row>
    <row r="883" spans="1:53" x14ac:dyDescent="0.2">
      <c r="A883" t="s">
        <v>7</v>
      </c>
      <c r="B883" t="s">
        <v>6</v>
      </c>
      <c r="C883">
        <v>8195</v>
      </c>
      <c r="D883" t="s">
        <v>22</v>
      </c>
      <c r="E883" t="s">
        <v>8</v>
      </c>
      <c r="F883" t="s">
        <v>29</v>
      </c>
      <c r="H883">
        <v>1</v>
      </c>
      <c r="M883">
        <v>1</v>
      </c>
      <c r="BA883">
        <f>SUM(Pre[[#This Row],[1]:[46]])</f>
        <v>2</v>
      </c>
    </row>
    <row r="884" spans="1:53" x14ac:dyDescent="0.2">
      <c r="A884" t="s">
        <v>7</v>
      </c>
      <c r="B884" t="s">
        <v>6</v>
      </c>
      <c r="C884">
        <v>8195</v>
      </c>
      <c r="D884" t="s">
        <v>22</v>
      </c>
      <c r="E884" t="s">
        <v>24</v>
      </c>
      <c r="F884" t="s">
        <v>25</v>
      </c>
      <c r="AC884">
        <v>1</v>
      </c>
      <c r="BA884">
        <f>SUM(Pre[[#This Row],[1]:[46]])</f>
        <v>1</v>
      </c>
    </row>
    <row r="885" spans="1:53" x14ac:dyDescent="0.2">
      <c r="A885" t="s">
        <v>7</v>
      </c>
      <c r="B885" t="s">
        <v>6</v>
      </c>
      <c r="C885">
        <v>11094</v>
      </c>
      <c r="D885" t="s">
        <v>22</v>
      </c>
      <c r="E885" t="s">
        <v>14</v>
      </c>
      <c r="F885" t="s">
        <v>20</v>
      </c>
      <c r="AR885">
        <v>1</v>
      </c>
      <c r="BA885">
        <f>SUM(Pre[[#This Row],[1]:[46]])</f>
        <v>1</v>
      </c>
    </row>
    <row r="886" spans="1:53" x14ac:dyDescent="0.2">
      <c r="A886" t="s">
        <v>7</v>
      </c>
      <c r="B886" t="s">
        <v>6</v>
      </c>
      <c r="C886">
        <v>11434</v>
      </c>
      <c r="D886" t="s">
        <v>22</v>
      </c>
      <c r="E886" t="s">
        <v>14</v>
      </c>
      <c r="F886" t="s">
        <v>35</v>
      </c>
      <c r="P886">
        <v>2</v>
      </c>
      <c r="U886">
        <v>1</v>
      </c>
      <c r="Z886">
        <v>1</v>
      </c>
      <c r="AD886">
        <v>1</v>
      </c>
      <c r="AQ886">
        <v>1</v>
      </c>
      <c r="BA886">
        <f>SUM(Pre[[#This Row],[1]:[46]])</f>
        <v>6</v>
      </c>
    </row>
    <row r="887" spans="1:53" x14ac:dyDescent="0.2">
      <c r="A887" t="s">
        <v>7</v>
      </c>
      <c r="B887" t="s">
        <v>6</v>
      </c>
      <c r="C887">
        <v>11516</v>
      </c>
      <c r="D887" t="s">
        <v>22</v>
      </c>
      <c r="E887" t="s">
        <v>14</v>
      </c>
      <c r="F887" t="s">
        <v>20</v>
      </c>
      <c r="I887">
        <v>1</v>
      </c>
      <c r="M887">
        <v>1</v>
      </c>
      <c r="N887">
        <v>1</v>
      </c>
      <c r="R887">
        <v>1</v>
      </c>
      <c r="V887">
        <v>1</v>
      </c>
      <c r="Z887">
        <v>1</v>
      </c>
      <c r="AD887">
        <v>1</v>
      </c>
      <c r="AE887">
        <v>1</v>
      </c>
      <c r="AI887">
        <v>1</v>
      </c>
      <c r="AM887">
        <v>1</v>
      </c>
      <c r="AN887">
        <v>1</v>
      </c>
      <c r="AR887">
        <v>1</v>
      </c>
      <c r="AW887">
        <v>1</v>
      </c>
      <c r="BA887">
        <f>SUM(Pre[[#This Row],[1]:[46]])</f>
        <v>13</v>
      </c>
    </row>
    <row r="888" spans="1:53" x14ac:dyDescent="0.2">
      <c r="A888" t="s">
        <v>7</v>
      </c>
      <c r="B888" t="s">
        <v>6</v>
      </c>
      <c r="C888">
        <v>11736</v>
      </c>
      <c r="D888" t="s">
        <v>22</v>
      </c>
      <c r="E888" t="s">
        <v>8</v>
      </c>
      <c r="F888" t="s">
        <v>34</v>
      </c>
      <c r="S888">
        <v>1</v>
      </c>
      <c r="AF888">
        <v>1</v>
      </c>
      <c r="AS888">
        <v>1</v>
      </c>
      <c r="BA888">
        <f>SUM(Pre[[#This Row],[1]:[46]])</f>
        <v>3</v>
      </c>
    </row>
    <row r="889" spans="1:53" x14ac:dyDescent="0.2">
      <c r="A889" t="s">
        <v>7</v>
      </c>
      <c r="B889" t="s">
        <v>6</v>
      </c>
      <c r="C889">
        <v>11736</v>
      </c>
      <c r="D889" t="s">
        <v>22</v>
      </c>
      <c r="E889" t="s">
        <v>14</v>
      </c>
      <c r="F889" t="s">
        <v>31</v>
      </c>
      <c r="J889">
        <v>1</v>
      </c>
      <c r="V889">
        <v>1</v>
      </c>
      <c r="AI889">
        <v>1</v>
      </c>
      <c r="AR889">
        <v>1</v>
      </c>
      <c r="AS889">
        <v>1</v>
      </c>
      <c r="BA889">
        <f>SUM(Pre[[#This Row],[1]:[46]])</f>
        <v>5</v>
      </c>
    </row>
    <row r="890" spans="1:53" x14ac:dyDescent="0.2">
      <c r="A890" t="s">
        <v>7</v>
      </c>
      <c r="B890" t="s">
        <v>6</v>
      </c>
      <c r="C890">
        <v>11829</v>
      </c>
      <c r="D890" t="s">
        <v>22</v>
      </c>
      <c r="E890" t="s">
        <v>14</v>
      </c>
      <c r="F890" t="s">
        <v>35</v>
      </c>
      <c r="M890">
        <v>1</v>
      </c>
      <c r="Y890">
        <v>1</v>
      </c>
      <c r="AK890">
        <v>1</v>
      </c>
      <c r="BA890">
        <f>SUM(Pre[[#This Row],[1]:[46]])</f>
        <v>3</v>
      </c>
    </row>
    <row r="891" spans="1:53" x14ac:dyDescent="0.2">
      <c r="A891" t="s">
        <v>7</v>
      </c>
      <c r="B891" t="s">
        <v>6</v>
      </c>
      <c r="C891">
        <v>11880</v>
      </c>
      <c r="D891" t="s">
        <v>22</v>
      </c>
      <c r="E891" t="s">
        <v>37</v>
      </c>
      <c r="F891" t="s">
        <v>49</v>
      </c>
      <c r="J891">
        <v>1</v>
      </c>
      <c r="X891">
        <v>1</v>
      </c>
      <c r="AL891">
        <v>1</v>
      </c>
      <c r="AZ891">
        <v>1</v>
      </c>
      <c r="BA891">
        <f>SUM(Pre[[#This Row],[1]:[46]])</f>
        <v>4</v>
      </c>
    </row>
    <row r="892" spans="1:53" x14ac:dyDescent="0.2">
      <c r="A892" t="s">
        <v>7</v>
      </c>
      <c r="B892" t="s">
        <v>6</v>
      </c>
      <c r="C892">
        <v>11880</v>
      </c>
      <c r="D892" t="s">
        <v>22</v>
      </c>
      <c r="E892" t="s">
        <v>10</v>
      </c>
      <c r="F892" t="s">
        <v>11</v>
      </c>
      <c r="BA892">
        <f>SUM(Pre[[#This Row],[1]:[46]])</f>
        <v>0</v>
      </c>
    </row>
    <row r="893" spans="1:53" x14ac:dyDescent="0.2">
      <c r="A893" t="s">
        <v>7</v>
      </c>
      <c r="B893" t="s">
        <v>6</v>
      </c>
      <c r="C893">
        <v>11880</v>
      </c>
      <c r="D893" t="s">
        <v>22</v>
      </c>
      <c r="E893" t="s">
        <v>14</v>
      </c>
      <c r="F893" t="s">
        <v>20</v>
      </c>
      <c r="T893">
        <v>1</v>
      </c>
      <c r="AG893">
        <v>1</v>
      </c>
      <c r="BA893">
        <f>SUM(Pre[[#This Row],[1]:[46]])</f>
        <v>2</v>
      </c>
    </row>
    <row r="894" spans="1:53" x14ac:dyDescent="0.2">
      <c r="A894" t="s">
        <v>7</v>
      </c>
      <c r="B894" t="s">
        <v>6</v>
      </c>
      <c r="C894">
        <v>14102</v>
      </c>
      <c r="D894" t="s">
        <v>22</v>
      </c>
      <c r="E894" t="s">
        <v>8</v>
      </c>
      <c r="F894" t="s">
        <v>29</v>
      </c>
      <c r="I894">
        <v>1</v>
      </c>
      <c r="U894">
        <v>1</v>
      </c>
      <c r="AI894">
        <v>2</v>
      </c>
      <c r="AU894">
        <v>1</v>
      </c>
      <c r="BA894">
        <f>SUM(Pre[[#This Row],[1]:[46]])</f>
        <v>5</v>
      </c>
    </row>
    <row r="895" spans="1:53" x14ac:dyDescent="0.2">
      <c r="A895" t="s">
        <v>7</v>
      </c>
      <c r="B895" t="s">
        <v>6</v>
      </c>
      <c r="C895">
        <v>14163</v>
      </c>
      <c r="D895" t="s">
        <v>22</v>
      </c>
      <c r="E895" t="s">
        <v>14</v>
      </c>
      <c r="F895" t="s">
        <v>20</v>
      </c>
      <c r="N895">
        <v>2</v>
      </c>
      <c r="V895">
        <v>1</v>
      </c>
      <c r="AP895">
        <v>1</v>
      </c>
      <c r="BA895">
        <f>SUM(Pre[[#This Row],[1]:[46]])</f>
        <v>4</v>
      </c>
    </row>
    <row r="896" spans="1:53" x14ac:dyDescent="0.2">
      <c r="A896" t="s">
        <v>7</v>
      </c>
      <c r="B896" t="s">
        <v>6</v>
      </c>
      <c r="C896">
        <v>14281</v>
      </c>
      <c r="D896" t="s">
        <v>22</v>
      </c>
      <c r="E896" t="s">
        <v>14</v>
      </c>
      <c r="F896" t="s">
        <v>35</v>
      </c>
      <c r="T896">
        <v>1</v>
      </c>
      <c r="AF896">
        <v>1</v>
      </c>
      <c r="AQ896">
        <v>1</v>
      </c>
      <c r="BA896">
        <f>SUM(Pre[[#This Row],[1]:[46]])</f>
        <v>3</v>
      </c>
    </row>
    <row r="897" spans="1:53" x14ac:dyDescent="0.2">
      <c r="A897" t="s">
        <v>7</v>
      </c>
      <c r="B897" t="s">
        <v>6</v>
      </c>
      <c r="C897">
        <v>14281</v>
      </c>
      <c r="D897" t="s">
        <v>22</v>
      </c>
      <c r="E897" t="s">
        <v>14</v>
      </c>
      <c r="F897" t="s">
        <v>20</v>
      </c>
      <c r="G897">
        <v>1</v>
      </c>
      <c r="BA897">
        <f>SUM(Pre[[#This Row],[1]:[46]])</f>
        <v>1</v>
      </c>
    </row>
    <row r="898" spans="1:53" x14ac:dyDescent="0.2">
      <c r="A898" t="s">
        <v>7</v>
      </c>
      <c r="B898" t="s">
        <v>6</v>
      </c>
      <c r="C898">
        <v>14292</v>
      </c>
      <c r="D898" t="s">
        <v>22</v>
      </c>
      <c r="E898" t="s">
        <v>14</v>
      </c>
      <c r="F898" t="s">
        <v>19</v>
      </c>
      <c r="AJ898">
        <v>1</v>
      </c>
      <c r="BA898">
        <f>SUM(Pre[[#This Row],[1]:[46]])</f>
        <v>1</v>
      </c>
    </row>
    <row r="899" spans="1:53" x14ac:dyDescent="0.2">
      <c r="A899" t="s">
        <v>7</v>
      </c>
      <c r="B899" t="s">
        <v>6</v>
      </c>
      <c r="C899">
        <v>14292</v>
      </c>
      <c r="D899" t="s">
        <v>22</v>
      </c>
      <c r="E899" t="s">
        <v>14</v>
      </c>
      <c r="F899" t="s">
        <v>21</v>
      </c>
      <c r="AM899">
        <v>1</v>
      </c>
      <c r="AU899">
        <v>1</v>
      </c>
      <c r="BA899">
        <f>SUM(Pre[[#This Row],[1]:[46]])</f>
        <v>2</v>
      </c>
    </row>
    <row r="900" spans="1:53" x14ac:dyDescent="0.2">
      <c r="A900" t="s">
        <v>7</v>
      </c>
      <c r="B900" t="s">
        <v>6</v>
      </c>
      <c r="C900">
        <v>14576</v>
      </c>
      <c r="D900" t="s">
        <v>22</v>
      </c>
      <c r="E900" t="s">
        <v>14</v>
      </c>
      <c r="F900" t="s">
        <v>20</v>
      </c>
      <c r="G900">
        <v>1</v>
      </c>
      <c r="Y900">
        <v>1</v>
      </c>
      <c r="AL900">
        <v>2</v>
      </c>
      <c r="AX900">
        <v>1</v>
      </c>
      <c r="BA900">
        <f>SUM(Pre[[#This Row],[1]:[46]])</f>
        <v>5</v>
      </c>
    </row>
    <row r="901" spans="1:53" x14ac:dyDescent="0.2">
      <c r="A901" t="s">
        <v>7</v>
      </c>
      <c r="B901" t="s">
        <v>6</v>
      </c>
      <c r="C901">
        <v>14957</v>
      </c>
      <c r="D901" t="s">
        <v>22</v>
      </c>
      <c r="E901" t="s">
        <v>14</v>
      </c>
      <c r="F901" t="s">
        <v>20</v>
      </c>
      <c r="BA901">
        <f>SUM(Pre[[#This Row],[1]:[46]])</f>
        <v>0</v>
      </c>
    </row>
    <row r="902" spans="1:53" x14ac:dyDescent="0.2">
      <c r="A902" t="s">
        <v>7</v>
      </c>
      <c r="B902" t="s">
        <v>6</v>
      </c>
      <c r="C902">
        <v>15087</v>
      </c>
      <c r="D902" t="s">
        <v>22</v>
      </c>
      <c r="E902" t="s">
        <v>8</v>
      </c>
      <c r="F902" t="s">
        <v>23</v>
      </c>
      <c r="Z902">
        <v>1</v>
      </c>
      <c r="BA902">
        <f>SUM(Pre[[#This Row],[1]:[46]])</f>
        <v>1</v>
      </c>
    </row>
    <row r="903" spans="1:53" x14ac:dyDescent="0.2">
      <c r="A903" t="s">
        <v>7</v>
      </c>
      <c r="B903" t="s">
        <v>6</v>
      </c>
      <c r="C903">
        <v>15482</v>
      </c>
      <c r="D903" t="s">
        <v>22</v>
      </c>
      <c r="E903" t="s">
        <v>14</v>
      </c>
      <c r="F903" t="s">
        <v>20</v>
      </c>
      <c r="L903">
        <v>2</v>
      </c>
      <c r="Y903">
        <v>1</v>
      </c>
      <c r="AL903">
        <v>1</v>
      </c>
      <c r="AX903">
        <v>1</v>
      </c>
      <c r="BA903">
        <f>SUM(Pre[[#This Row],[1]:[46]])</f>
        <v>5</v>
      </c>
    </row>
    <row r="904" spans="1:53" x14ac:dyDescent="0.2">
      <c r="A904" t="s">
        <v>7</v>
      </c>
      <c r="B904" t="s">
        <v>6</v>
      </c>
      <c r="C904">
        <v>15653</v>
      </c>
      <c r="D904" t="s">
        <v>22</v>
      </c>
      <c r="E904" t="s">
        <v>8</v>
      </c>
      <c r="F904" t="s">
        <v>23</v>
      </c>
      <c r="AF904">
        <v>1</v>
      </c>
      <c r="AJ904">
        <v>1</v>
      </c>
      <c r="AO904">
        <v>1</v>
      </c>
      <c r="AS904">
        <v>1</v>
      </c>
      <c r="AW904">
        <v>1</v>
      </c>
      <c r="BA904">
        <f>SUM(Pre[[#This Row],[1]:[46]])</f>
        <v>5</v>
      </c>
    </row>
    <row r="905" spans="1:53" x14ac:dyDescent="0.2">
      <c r="A905" t="s">
        <v>7</v>
      </c>
      <c r="B905" t="s">
        <v>6</v>
      </c>
      <c r="C905">
        <v>16753</v>
      </c>
      <c r="D905" t="s">
        <v>22</v>
      </c>
      <c r="E905" t="s">
        <v>8</v>
      </c>
      <c r="F905" t="s">
        <v>23</v>
      </c>
      <c r="G905">
        <v>1</v>
      </c>
      <c r="T905">
        <v>1</v>
      </c>
      <c r="AF905">
        <v>1</v>
      </c>
      <c r="AS905">
        <v>1</v>
      </c>
      <c r="BA905">
        <f>SUM(Pre[[#This Row],[1]:[46]])</f>
        <v>4</v>
      </c>
    </row>
    <row r="906" spans="1:53" x14ac:dyDescent="0.2">
      <c r="A906" t="s">
        <v>7</v>
      </c>
      <c r="B906" t="s">
        <v>6</v>
      </c>
      <c r="C906">
        <v>18196</v>
      </c>
      <c r="D906" t="s">
        <v>22</v>
      </c>
      <c r="E906" t="s">
        <v>14</v>
      </c>
      <c r="F906" t="s">
        <v>31</v>
      </c>
      <c r="I906">
        <v>1</v>
      </c>
      <c r="M906">
        <v>1</v>
      </c>
      <c r="Q906">
        <v>1</v>
      </c>
      <c r="U906">
        <v>1</v>
      </c>
      <c r="Y906">
        <v>1</v>
      </c>
      <c r="AC906">
        <v>1</v>
      </c>
      <c r="AG906">
        <v>1</v>
      </c>
      <c r="AK906">
        <v>1</v>
      </c>
      <c r="AO906">
        <v>1</v>
      </c>
      <c r="AS906">
        <v>1</v>
      </c>
      <c r="AW906">
        <v>1</v>
      </c>
      <c r="BA906">
        <f>SUM(Pre[[#This Row],[1]:[46]])</f>
        <v>11</v>
      </c>
    </row>
    <row r="907" spans="1:53" x14ac:dyDescent="0.2">
      <c r="A907" t="s">
        <v>7</v>
      </c>
      <c r="B907" t="s">
        <v>6</v>
      </c>
      <c r="C907">
        <v>20429</v>
      </c>
      <c r="D907" t="s">
        <v>22</v>
      </c>
      <c r="E907" t="s">
        <v>8</v>
      </c>
      <c r="F907" t="s">
        <v>29</v>
      </c>
      <c r="G907">
        <v>1</v>
      </c>
      <c r="R907">
        <v>1</v>
      </c>
      <c r="AR907">
        <v>1</v>
      </c>
      <c r="BA907">
        <f>SUM(Pre[[#This Row],[1]:[46]])</f>
        <v>3</v>
      </c>
    </row>
    <row r="908" spans="1:53" x14ac:dyDescent="0.2">
      <c r="A908" t="s">
        <v>7</v>
      </c>
      <c r="B908" t="s">
        <v>6</v>
      </c>
      <c r="C908">
        <v>21484</v>
      </c>
      <c r="D908" t="s">
        <v>22</v>
      </c>
      <c r="E908" t="s">
        <v>14</v>
      </c>
      <c r="F908" t="s">
        <v>20</v>
      </c>
      <c r="S908">
        <v>1</v>
      </c>
      <c r="AF908">
        <v>2</v>
      </c>
      <c r="AT908">
        <v>1</v>
      </c>
      <c r="BA908">
        <f>SUM(Pre[[#This Row],[1]:[46]])</f>
        <v>4</v>
      </c>
    </row>
    <row r="909" spans="1:53" x14ac:dyDescent="0.2">
      <c r="A909" t="s">
        <v>7</v>
      </c>
      <c r="B909" t="s">
        <v>6</v>
      </c>
      <c r="C909">
        <v>22969</v>
      </c>
      <c r="D909" t="s">
        <v>22</v>
      </c>
      <c r="E909" t="s">
        <v>14</v>
      </c>
      <c r="F909" t="s">
        <v>20</v>
      </c>
      <c r="U909">
        <v>1</v>
      </c>
      <c r="AD909">
        <v>1</v>
      </c>
      <c r="AO909">
        <v>1</v>
      </c>
      <c r="AZ909">
        <v>1</v>
      </c>
      <c r="BA909">
        <f>SUM(Pre[[#This Row],[1]:[46]])</f>
        <v>4</v>
      </c>
    </row>
    <row r="910" spans="1:53" x14ac:dyDescent="0.2">
      <c r="A910" t="s">
        <v>7</v>
      </c>
      <c r="B910" t="s">
        <v>6</v>
      </c>
      <c r="C910">
        <v>23780</v>
      </c>
      <c r="D910" t="s">
        <v>22</v>
      </c>
      <c r="E910" t="s">
        <v>14</v>
      </c>
      <c r="F910" t="s">
        <v>35</v>
      </c>
      <c r="Z910">
        <v>1</v>
      </c>
      <c r="BA910">
        <f>SUM(Pre[[#This Row],[1]:[46]])</f>
        <v>1</v>
      </c>
    </row>
    <row r="911" spans="1:53" x14ac:dyDescent="0.2">
      <c r="A911" t="s">
        <v>7</v>
      </c>
      <c r="B911" t="s">
        <v>6</v>
      </c>
      <c r="C911">
        <v>23780</v>
      </c>
      <c r="D911" t="s">
        <v>22</v>
      </c>
      <c r="E911" t="s">
        <v>14</v>
      </c>
      <c r="F911" t="s">
        <v>20</v>
      </c>
      <c r="G911">
        <v>1</v>
      </c>
      <c r="P911">
        <v>1</v>
      </c>
      <c r="BA911">
        <f>SUM(Pre[[#This Row],[1]:[46]])</f>
        <v>2</v>
      </c>
    </row>
    <row r="912" spans="1:53" x14ac:dyDescent="0.2">
      <c r="A912" t="s">
        <v>7</v>
      </c>
      <c r="B912" t="s">
        <v>6</v>
      </c>
      <c r="C912">
        <v>32319</v>
      </c>
      <c r="D912" t="s">
        <v>22</v>
      </c>
      <c r="E912" t="s">
        <v>14</v>
      </c>
      <c r="F912" t="s">
        <v>15</v>
      </c>
      <c r="O912">
        <v>1</v>
      </c>
      <c r="AC912">
        <v>1</v>
      </c>
      <c r="BA912">
        <f>SUM(Pre[[#This Row],[1]:[46]])</f>
        <v>2</v>
      </c>
    </row>
    <row r="913" spans="1:53" x14ac:dyDescent="0.2">
      <c r="A913" t="s">
        <v>7</v>
      </c>
      <c r="B913" t="s">
        <v>6</v>
      </c>
      <c r="C913">
        <v>5178</v>
      </c>
      <c r="D913" t="s">
        <v>7</v>
      </c>
      <c r="E913" t="s">
        <v>14</v>
      </c>
      <c r="F913" t="s">
        <v>21</v>
      </c>
      <c r="M913">
        <v>1</v>
      </c>
      <c r="X913">
        <v>1</v>
      </c>
      <c r="AK913">
        <v>1</v>
      </c>
      <c r="AW913">
        <v>1</v>
      </c>
      <c r="BA913">
        <f>SUM(Pre[[#This Row],[1]:[46]])</f>
        <v>4</v>
      </c>
    </row>
    <row r="914" spans="1:53" x14ac:dyDescent="0.2">
      <c r="A914" t="s">
        <v>7</v>
      </c>
      <c r="B914" t="s">
        <v>6</v>
      </c>
      <c r="C914">
        <v>744</v>
      </c>
      <c r="D914" t="s">
        <v>7</v>
      </c>
      <c r="E914" t="s">
        <v>14</v>
      </c>
      <c r="F914" t="s">
        <v>31</v>
      </c>
      <c r="I914">
        <v>2</v>
      </c>
      <c r="U914">
        <v>1</v>
      </c>
      <c r="AG914">
        <v>1</v>
      </c>
      <c r="AV914">
        <v>1</v>
      </c>
      <c r="BA914">
        <f>SUM(Pre[[#This Row],[1]:[46]])</f>
        <v>5</v>
      </c>
    </row>
    <row r="915" spans="1:53" x14ac:dyDescent="0.2">
      <c r="A915" t="s">
        <v>7</v>
      </c>
      <c r="B915" t="s">
        <v>6</v>
      </c>
      <c r="C915">
        <v>9198</v>
      </c>
      <c r="D915" t="s">
        <v>7</v>
      </c>
      <c r="E915" t="s">
        <v>10</v>
      </c>
      <c r="F915" t="s">
        <v>11</v>
      </c>
      <c r="BA915">
        <f>SUM(Pre[[#This Row],[1]:[46]])</f>
        <v>0</v>
      </c>
    </row>
    <row r="916" spans="1:53" x14ac:dyDescent="0.2">
      <c r="A916" t="s">
        <v>7</v>
      </c>
      <c r="B916" t="s">
        <v>6</v>
      </c>
      <c r="C916">
        <v>9198</v>
      </c>
      <c r="D916" t="s">
        <v>7</v>
      </c>
      <c r="E916" t="s">
        <v>14</v>
      </c>
      <c r="F916" t="s">
        <v>35</v>
      </c>
      <c r="N916">
        <v>1</v>
      </c>
      <c r="AA916">
        <v>1</v>
      </c>
      <c r="AN916">
        <v>1</v>
      </c>
      <c r="BA916">
        <f>SUM(Pre[[#This Row],[1]:[46]])</f>
        <v>3</v>
      </c>
    </row>
    <row r="917" spans="1:53" x14ac:dyDescent="0.2">
      <c r="A917" t="s">
        <v>7</v>
      </c>
      <c r="B917" t="s">
        <v>6</v>
      </c>
      <c r="C917">
        <v>9602</v>
      </c>
      <c r="D917" t="s">
        <v>7</v>
      </c>
      <c r="E917" t="s">
        <v>14</v>
      </c>
      <c r="F917" t="s">
        <v>31</v>
      </c>
      <c r="N917">
        <v>1</v>
      </c>
      <c r="Z917">
        <v>1</v>
      </c>
      <c r="AM917">
        <v>1</v>
      </c>
      <c r="AW917">
        <v>1</v>
      </c>
      <c r="BA917">
        <f>SUM(Pre[[#This Row],[1]:[46]])</f>
        <v>4</v>
      </c>
    </row>
    <row r="918" spans="1:53" x14ac:dyDescent="0.2">
      <c r="A918" t="s">
        <v>7</v>
      </c>
      <c r="B918" t="s">
        <v>6</v>
      </c>
      <c r="C918">
        <v>10121</v>
      </c>
      <c r="D918" t="s">
        <v>7</v>
      </c>
      <c r="E918" t="s">
        <v>14</v>
      </c>
      <c r="F918" t="s">
        <v>20</v>
      </c>
      <c r="U918">
        <v>1</v>
      </c>
      <c r="AG918">
        <v>1</v>
      </c>
      <c r="AS918">
        <v>1</v>
      </c>
      <c r="BA918">
        <f>SUM(Pre[[#This Row],[1]:[46]])</f>
        <v>3</v>
      </c>
    </row>
    <row r="919" spans="1:53" x14ac:dyDescent="0.2">
      <c r="A919" t="s">
        <v>7</v>
      </c>
      <c r="B919" t="s">
        <v>6</v>
      </c>
      <c r="C919">
        <v>10512</v>
      </c>
      <c r="D919" t="s">
        <v>7</v>
      </c>
      <c r="E919" t="s">
        <v>14</v>
      </c>
      <c r="F919" t="s">
        <v>31</v>
      </c>
      <c r="L919">
        <v>1</v>
      </c>
      <c r="X919">
        <v>1</v>
      </c>
      <c r="AG919">
        <v>1</v>
      </c>
      <c r="AI919">
        <v>1</v>
      </c>
      <c r="AU919">
        <v>1</v>
      </c>
      <c r="BA919">
        <f>SUM(Pre[[#This Row],[1]:[46]])</f>
        <v>5</v>
      </c>
    </row>
    <row r="920" spans="1:53" x14ac:dyDescent="0.2">
      <c r="A920" t="s">
        <v>7</v>
      </c>
      <c r="B920" t="s">
        <v>6</v>
      </c>
      <c r="C920">
        <v>12339</v>
      </c>
      <c r="D920" t="s">
        <v>7</v>
      </c>
      <c r="E920" t="s">
        <v>14</v>
      </c>
      <c r="F920" t="s">
        <v>31</v>
      </c>
      <c r="S920">
        <v>1</v>
      </c>
      <c r="Y920">
        <v>1</v>
      </c>
      <c r="AQ920">
        <v>1</v>
      </c>
      <c r="BA920">
        <f>SUM(Pre[[#This Row],[1]:[46]])</f>
        <v>3</v>
      </c>
    </row>
    <row r="921" spans="1:53" x14ac:dyDescent="0.2">
      <c r="A921" t="s">
        <v>7</v>
      </c>
      <c r="B921" t="s">
        <v>6</v>
      </c>
      <c r="C921">
        <v>14553</v>
      </c>
      <c r="D921" t="s">
        <v>7</v>
      </c>
      <c r="E921" t="s">
        <v>14</v>
      </c>
      <c r="F921" t="s">
        <v>20</v>
      </c>
      <c r="O921">
        <v>1</v>
      </c>
      <c r="AE921">
        <v>1</v>
      </c>
      <c r="AW921">
        <v>1</v>
      </c>
      <c r="BA921">
        <f>SUM(Pre[[#This Row],[1]:[46]])</f>
        <v>3</v>
      </c>
    </row>
    <row r="922" spans="1:53" x14ac:dyDescent="0.2">
      <c r="A922" t="s">
        <v>7</v>
      </c>
      <c r="B922" t="s">
        <v>6</v>
      </c>
      <c r="C922">
        <v>17847</v>
      </c>
      <c r="D922" t="s">
        <v>7</v>
      </c>
      <c r="E922" t="s">
        <v>14</v>
      </c>
      <c r="F922" t="s">
        <v>20</v>
      </c>
      <c r="L922">
        <v>1</v>
      </c>
      <c r="V922">
        <v>1</v>
      </c>
      <c r="X922">
        <v>1</v>
      </c>
      <c r="AL922">
        <v>1</v>
      </c>
      <c r="AV922">
        <v>1</v>
      </c>
      <c r="BA922">
        <f>SUM(Pre[[#This Row],[1]:[46]])</f>
        <v>5</v>
      </c>
    </row>
    <row r="923" spans="1:53" x14ac:dyDescent="0.2">
      <c r="A923" t="s">
        <v>7</v>
      </c>
      <c r="B923" t="s">
        <v>6</v>
      </c>
      <c r="C923">
        <v>2191</v>
      </c>
      <c r="D923" t="s">
        <v>22</v>
      </c>
      <c r="E923" t="s">
        <v>14</v>
      </c>
      <c r="F923" t="s">
        <v>20</v>
      </c>
      <c r="Q923">
        <v>1</v>
      </c>
      <c r="AH923">
        <v>1</v>
      </c>
      <c r="AU923">
        <v>1</v>
      </c>
      <c r="BA923">
        <f>SUM(Pre[[#This Row],[1]:[46]])</f>
        <v>3</v>
      </c>
    </row>
    <row r="924" spans="1:53" x14ac:dyDescent="0.2">
      <c r="A924" t="s">
        <v>7</v>
      </c>
      <c r="B924" t="s">
        <v>6</v>
      </c>
      <c r="C924">
        <v>2334</v>
      </c>
      <c r="D924" t="s">
        <v>22</v>
      </c>
      <c r="E924" t="s">
        <v>14</v>
      </c>
      <c r="F924" t="s">
        <v>20</v>
      </c>
      <c r="V924">
        <v>1</v>
      </c>
      <c r="AM924">
        <v>1</v>
      </c>
      <c r="BA924">
        <f>SUM(Pre[[#This Row],[1]:[46]])</f>
        <v>2</v>
      </c>
    </row>
    <row r="925" spans="1:53" x14ac:dyDescent="0.2">
      <c r="A925" t="s">
        <v>7</v>
      </c>
      <c r="B925" t="s">
        <v>6</v>
      </c>
      <c r="C925">
        <v>7855</v>
      </c>
      <c r="D925" t="s">
        <v>22</v>
      </c>
      <c r="E925" t="s">
        <v>14</v>
      </c>
      <c r="F925" t="s">
        <v>20</v>
      </c>
      <c r="H925">
        <v>1</v>
      </c>
      <c r="BA925">
        <f>SUM(Pre[[#This Row],[1]:[46]])</f>
        <v>1</v>
      </c>
    </row>
    <row r="926" spans="1:53" x14ac:dyDescent="0.2">
      <c r="A926" t="s">
        <v>7</v>
      </c>
      <c r="B926" t="s">
        <v>6</v>
      </c>
      <c r="C926">
        <v>9175</v>
      </c>
      <c r="D926" t="s">
        <v>22</v>
      </c>
      <c r="E926" t="s">
        <v>14</v>
      </c>
      <c r="F926" t="s">
        <v>20</v>
      </c>
      <c r="L926">
        <v>1</v>
      </c>
      <c r="Y926">
        <v>1</v>
      </c>
      <c r="AL926">
        <v>2</v>
      </c>
      <c r="AZ926">
        <v>1</v>
      </c>
      <c r="BA926">
        <f>SUM(Pre[[#This Row],[1]:[46]])</f>
        <v>5</v>
      </c>
    </row>
    <row r="927" spans="1:53" x14ac:dyDescent="0.2">
      <c r="A927" t="s">
        <v>7</v>
      </c>
      <c r="B927" t="s">
        <v>6</v>
      </c>
      <c r="C927">
        <v>9494</v>
      </c>
      <c r="D927" t="s">
        <v>22</v>
      </c>
      <c r="E927" t="s">
        <v>10</v>
      </c>
      <c r="F927" t="s">
        <v>16</v>
      </c>
      <c r="BA927">
        <f>SUM(Pre[[#This Row],[1]:[46]])</f>
        <v>0</v>
      </c>
    </row>
    <row r="928" spans="1:53" x14ac:dyDescent="0.2">
      <c r="A928" t="s">
        <v>7</v>
      </c>
      <c r="B928" t="s">
        <v>6</v>
      </c>
      <c r="C928">
        <v>12298</v>
      </c>
      <c r="D928" t="s">
        <v>22</v>
      </c>
      <c r="E928" t="s">
        <v>14</v>
      </c>
      <c r="F928" t="s">
        <v>21</v>
      </c>
      <c r="T928">
        <v>1</v>
      </c>
      <c r="AG928">
        <v>1</v>
      </c>
      <c r="AR928">
        <v>1</v>
      </c>
      <c r="BA928">
        <f>SUM(Pre[[#This Row],[1]:[46]])</f>
        <v>3</v>
      </c>
    </row>
    <row r="929" spans="1:53" x14ac:dyDescent="0.2">
      <c r="A929" t="s">
        <v>7</v>
      </c>
      <c r="B929" t="s">
        <v>6</v>
      </c>
      <c r="C929">
        <v>13475</v>
      </c>
      <c r="D929" t="s">
        <v>22</v>
      </c>
      <c r="E929" t="s">
        <v>14</v>
      </c>
      <c r="F929" t="s">
        <v>20</v>
      </c>
      <c r="K929">
        <v>1</v>
      </c>
      <c r="X929">
        <v>1</v>
      </c>
      <c r="AK929">
        <v>1</v>
      </c>
      <c r="AX929">
        <v>1</v>
      </c>
      <c r="BA929">
        <f>SUM(Pre[[#This Row],[1]:[46]])</f>
        <v>4</v>
      </c>
    </row>
    <row r="930" spans="1:53" x14ac:dyDescent="0.2">
      <c r="A930" t="s">
        <v>7</v>
      </c>
      <c r="B930" t="s">
        <v>6</v>
      </c>
      <c r="C930">
        <v>14098</v>
      </c>
      <c r="D930" t="s">
        <v>22</v>
      </c>
      <c r="E930" t="s">
        <v>10</v>
      </c>
      <c r="F930" t="s">
        <v>11</v>
      </c>
      <c r="Q930">
        <v>1</v>
      </c>
      <c r="W930">
        <v>1</v>
      </c>
      <c r="AL930">
        <v>1</v>
      </c>
      <c r="AZ930">
        <v>1</v>
      </c>
      <c r="BA930">
        <f>SUM(Pre[[#This Row],[1]:[46]])</f>
        <v>4</v>
      </c>
    </row>
    <row r="931" spans="1:53" x14ac:dyDescent="0.2">
      <c r="A931" t="s">
        <v>7</v>
      </c>
      <c r="B931" t="s">
        <v>6</v>
      </c>
      <c r="C931">
        <v>11457</v>
      </c>
      <c r="D931" t="s">
        <v>22</v>
      </c>
      <c r="E931" t="s">
        <v>14</v>
      </c>
      <c r="F931" t="s">
        <v>21</v>
      </c>
      <c r="BA931">
        <f>SUM(Pre[[#This Row],[1]:[46]])</f>
        <v>0</v>
      </c>
    </row>
    <row r="932" spans="1:53" x14ac:dyDescent="0.2">
      <c r="A932" t="s">
        <v>7</v>
      </c>
      <c r="B932" t="s">
        <v>6</v>
      </c>
      <c r="C932">
        <v>3200</v>
      </c>
      <c r="D932" t="s">
        <v>7</v>
      </c>
      <c r="E932" t="s">
        <v>14</v>
      </c>
      <c r="F932" t="s">
        <v>20</v>
      </c>
      <c r="H932">
        <v>1</v>
      </c>
      <c r="K932">
        <v>1</v>
      </c>
      <c r="P932">
        <v>2</v>
      </c>
      <c r="W932">
        <v>1</v>
      </c>
      <c r="AC932">
        <v>1</v>
      </c>
      <c r="AJ932">
        <v>1</v>
      </c>
      <c r="AM932">
        <v>2</v>
      </c>
      <c r="AQ932">
        <v>1</v>
      </c>
      <c r="AU932">
        <v>1</v>
      </c>
      <c r="AY932">
        <v>1</v>
      </c>
      <c r="BA932">
        <f>SUM(Pre[[#This Row],[1]:[46]])</f>
        <v>12</v>
      </c>
    </row>
    <row r="933" spans="1:53" x14ac:dyDescent="0.2">
      <c r="A933" t="s">
        <v>7</v>
      </c>
      <c r="B933" t="s">
        <v>6</v>
      </c>
      <c r="C933">
        <v>4209</v>
      </c>
      <c r="D933" t="s">
        <v>7</v>
      </c>
      <c r="E933" t="s">
        <v>14</v>
      </c>
      <c r="F933" t="s">
        <v>20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2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2</v>
      </c>
      <c r="AN933">
        <v>1</v>
      </c>
      <c r="AO933">
        <v>1</v>
      </c>
      <c r="AP933">
        <v>2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2</v>
      </c>
      <c r="AX933">
        <v>1</v>
      </c>
      <c r="AY933">
        <v>1</v>
      </c>
      <c r="AZ933">
        <v>1</v>
      </c>
      <c r="BA933">
        <f>SUM(Pre[[#This Row],[1]:[46]])</f>
        <v>50</v>
      </c>
    </row>
    <row r="934" spans="1:53" x14ac:dyDescent="0.2">
      <c r="A934" t="s">
        <v>7</v>
      </c>
      <c r="B934" t="s">
        <v>6</v>
      </c>
      <c r="C934">
        <v>6266</v>
      </c>
      <c r="D934" t="s">
        <v>7</v>
      </c>
      <c r="E934" t="s">
        <v>14</v>
      </c>
      <c r="F934" t="s">
        <v>20</v>
      </c>
      <c r="H934">
        <v>1</v>
      </c>
      <c r="L934">
        <v>1</v>
      </c>
      <c r="M934">
        <v>1</v>
      </c>
      <c r="P934">
        <v>2</v>
      </c>
      <c r="T934">
        <v>1</v>
      </c>
      <c r="U934">
        <v>1</v>
      </c>
      <c r="Y934">
        <v>2</v>
      </c>
      <c r="AD934">
        <v>2</v>
      </c>
      <c r="AE934">
        <v>2</v>
      </c>
      <c r="AF934">
        <v>1</v>
      </c>
      <c r="AI934">
        <v>1</v>
      </c>
      <c r="AN934">
        <v>1</v>
      </c>
      <c r="AR934">
        <v>1</v>
      </c>
      <c r="AV934">
        <v>1</v>
      </c>
      <c r="AY934">
        <v>1</v>
      </c>
      <c r="BA934">
        <f>SUM(Pre[[#This Row],[1]:[46]])</f>
        <v>19</v>
      </c>
    </row>
    <row r="935" spans="1:53" x14ac:dyDescent="0.2">
      <c r="A935" t="s">
        <v>7</v>
      </c>
      <c r="B935" t="s">
        <v>6</v>
      </c>
      <c r="C935">
        <v>972</v>
      </c>
      <c r="D935" t="s">
        <v>22</v>
      </c>
      <c r="E935" t="s">
        <v>14</v>
      </c>
      <c r="F935" t="s">
        <v>21</v>
      </c>
      <c r="R935">
        <v>1</v>
      </c>
      <c r="BA935">
        <f>SUM(Pre[[#This Row],[1]:[46]])</f>
        <v>1</v>
      </c>
    </row>
    <row r="936" spans="1:53" x14ac:dyDescent="0.2">
      <c r="A936" t="s">
        <v>7</v>
      </c>
      <c r="B936" t="s">
        <v>6</v>
      </c>
      <c r="C936">
        <v>2022</v>
      </c>
      <c r="D936" t="s">
        <v>22</v>
      </c>
      <c r="E936" t="s">
        <v>14</v>
      </c>
      <c r="F936" t="s">
        <v>21</v>
      </c>
      <c r="R936">
        <v>1</v>
      </c>
      <c r="AD936">
        <v>1</v>
      </c>
      <c r="AS936">
        <v>1</v>
      </c>
      <c r="BA936">
        <f>SUM(Pre[[#This Row],[1]:[46]])</f>
        <v>3</v>
      </c>
    </row>
    <row r="937" spans="1:53" x14ac:dyDescent="0.2">
      <c r="A937" t="s">
        <v>7</v>
      </c>
      <c r="B937" t="s">
        <v>6</v>
      </c>
      <c r="C937">
        <v>14102</v>
      </c>
      <c r="D937" t="s">
        <v>22</v>
      </c>
      <c r="E937" t="s">
        <v>14</v>
      </c>
      <c r="F937" t="s">
        <v>20</v>
      </c>
      <c r="G937">
        <v>1</v>
      </c>
      <c r="BA937">
        <f>SUM(Pre[[#This Row],[1]:[46]])</f>
        <v>1</v>
      </c>
    </row>
    <row r="938" spans="1:53" x14ac:dyDescent="0.2">
      <c r="A938" t="s">
        <v>7</v>
      </c>
      <c r="B938" t="s">
        <v>6</v>
      </c>
      <c r="C938">
        <v>20429</v>
      </c>
      <c r="D938" t="s">
        <v>22</v>
      </c>
      <c r="E938" t="s">
        <v>10</v>
      </c>
      <c r="F938" t="s">
        <v>11</v>
      </c>
      <c r="BA938">
        <f>SUM(Pre[[#This Row],[1]:[46]])</f>
        <v>0</v>
      </c>
    </row>
    <row r="939" spans="1:53" x14ac:dyDescent="0.2">
      <c r="A939" t="s">
        <v>7</v>
      </c>
      <c r="B939" t="s">
        <v>6</v>
      </c>
      <c r="C939">
        <v>20429</v>
      </c>
      <c r="D939" t="s">
        <v>22</v>
      </c>
      <c r="E939" t="s">
        <v>14</v>
      </c>
      <c r="F939" t="s">
        <v>20</v>
      </c>
      <c r="AK939">
        <v>1</v>
      </c>
      <c r="BA939">
        <f>SUM(Pre[[#This Row],[1]:[46]])</f>
        <v>1</v>
      </c>
    </row>
    <row r="940" spans="1:53" x14ac:dyDescent="0.2">
      <c r="A940" t="s">
        <v>7</v>
      </c>
      <c r="B940" t="s">
        <v>6</v>
      </c>
      <c r="C940">
        <v>973</v>
      </c>
      <c r="D940" t="s">
        <v>7</v>
      </c>
      <c r="E940" t="s">
        <v>12</v>
      </c>
      <c r="F940" t="s">
        <v>13</v>
      </c>
      <c r="J940">
        <v>1</v>
      </c>
      <c r="W940">
        <v>1</v>
      </c>
      <c r="AI940">
        <v>1</v>
      </c>
      <c r="AX940">
        <v>1</v>
      </c>
      <c r="BA940">
        <f>SUM(Pre[[#This Row],[1]:[46]])</f>
        <v>4</v>
      </c>
    </row>
    <row r="941" spans="1:53" x14ac:dyDescent="0.2">
      <c r="A941" t="s">
        <v>7</v>
      </c>
      <c r="B941" t="s">
        <v>6</v>
      </c>
      <c r="C941">
        <v>973</v>
      </c>
      <c r="D941" t="s">
        <v>7</v>
      </c>
      <c r="E941" t="s">
        <v>14</v>
      </c>
      <c r="F941" t="s">
        <v>35</v>
      </c>
      <c r="I941">
        <v>1</v>
      </c>
      <c r="AF941">
        <v>1</v>
      </c>
      <c r="BA941">
        <f>SUM(Pre[[#This Row],[1]:[46]])</f>
        <v>2</v>
      </c>
    </row>
    <row r="942" spans="1:53" x14ac:dyDescent="0.2">
      <c r="A942" t="s">
        <v>7</v>
      </c>
      <c r="B942" t="s">
        <v>6</v>
      </c>
      <c r="C942">
        <v>2097</v>
      </c>
      <c r="D942" t="s">
        <v>7</v>
      </c>
      <c r="E942" t="s">
        <v>14</v>
      </c>
      <c r="F942" t="s">
        <v>20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3</v>
      </c>
      <c r="AN942">
        <v>2</v>
      </c>
      <c r="AP942">
        <v>2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2</v>
      </c>
      <c r="BA942">
        <f>SUM(Pre[[#This Row],[1]:[46]])</f>
        <v>48</v>
      </c>
    </row>
    <row r="943" spans="1:53" x14ac:dyDescent="0.2">
      <c r="A943" t="s">
        <v>7</v>
      </c>
      <c r="B943" t="s">
        <v>6</v>
      </c>
      <c r="C943">
        <v>3012</v>
      </c>
      <c r="D943" t="s">
        <v>7</v>
      </c>
      <c r="E943" t="s">
        <v>17</v>
      </c>
      <c r="F943" t="s">
        <v>18</v>
      </c>
      <c r="G943">
        <v>1</v>
      </c>
      <c r="H943">
        <v>1</v>
      </c>
      <c r="I943">
        <v>1</v>
      </c>
      <c r="J943">
        <v>2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3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f>SUM(Pre[[#This Row],[1]:[46]])</f>
        <v>52</v>
      </c>
    </row>
    <row r="944" spans="1:53" x14ac:dyDescent="0.2">
      <c r="A944" t="s">
        <v>7</v>
      </c>
      <c r="B944" t="s">
        <v>6</v>
      </c>
      <c r="C944">
        <v>3012</v>
      </c>
      <c r="D944" t="s">
        <v>7</v>
      </c>
      <c r="E944" t="s">
        <v>14</v>
      </c>
      <c r="F944" t="s">
        <v>20</v>
      </c>
      <c r="G944">
        <v>1</v>
      </c>
      <c r="H944">
        <v>1</v>
      </c>
      <c r="I944">
        <v>1</v>
      </c>
      <c r="J944">
        <v>2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2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f>SUM(Pre[[#This Row],[1]:[46]])</f>
        <v>49</v>
      </c>
    </row>
    <row r="945" spans="1:53" x14ac:dyDescent="0.2">
      <c r="A945" t="s">
        <v>7</v>
      </c>
      <c r="B945" t="s">
        <v>6</v>
      </c>
      <c r="C945">
        <v>9601</v>
      </c>
      <c r="D945" t="s">
        <v>22</v>
      </c>
      <c r="E945" t="s">
        <v>14</v>
      </c>
      <c r="F945" t="s">
        <v>20</v>
      </c>
      <c r="AN945">
        <v>1</v>
      </c>
      <c r="BA945">
        <f>SUM(Pre[[#This Row],[1]:[46]])</f>
        <v>1</v>
      </c>
    </row>
    <row r="946" spans="1:53" x14ac:dyDescent="0.2">
      <c r="A946" t="s">
        <v>7</v>
      </c>
      <c r="B946" t="s">
        <v>6</v>
      </c>
      <c r="C946">
        <v>16753</v>
      </c>
      <c r="D946" t="s">
        <v>22</v>
      </c>
      <c r="E946" t="s">
        <v>14</v>
      </c>
      <c r="F946" t="s">
        <v>35</v>
      </c>
      <c r="L946">
        <v>1</v>
      </c>
      <c r="X946">
        <v>1</v>
      </c>
      <c r="AK946">
        <v>1</v>
      </c>
      <c r="AX946">
        <v>1</v>
      </c>
      <c r="BA946">
        <f>SUM(Pre[[#This Row],[1]:[46]])</f>
        <v>4</v>
      </c>
    </row>
    <row r="947" spans="1:53" x14ac:dyDescent="0.2">
      <c r="A947" t="s">
        <v>7</v>
      </c>
      <c r="B947" t="s">
        <v>6</v>
      </c>
      <c r="C947">
        <v>11095</v>
      </c>
      <c r="D947" t="s">
        <v>7</v>
      </c>
      <c r="E947" t="s">
        <v>8</v>
      </c>
      <c r="F947" t="s">
        <v>23</v>
      </c>
      <c r="Y947">
        <v>2</v>
      </c>
      <c r="AD947">
        <v>1</v>
      </c>
      <c r="AK947">
        <v>1</v>
      </c>
      <c r="AZ947">
        <v>1</v>
      </c>
      <c r="BA947">
        <f>SUM(Pre[[#This Row],[1]:[46]])</f>
        <v>5</v>
      </c>
    </row>
    <row r="948" spans="1:53" x14ac:dyDescent="0.2">
      <c r="A948" t="s">
        <v>7</v>
      </c>
      <c r="B948" t="s">
        <v>6</v>
      </c>
      <c r="C948">
        <v>11792</v>
      </c>
      <c r="D948" t="s">
        <v>7</v>
      </c>
      <c r="E948" t="s">
        <v>37</v>
      </c>
      <c r="F948" t="s">
        <v>49</v>
      </c>
      <c r="J948">
        <v>1</v>
      </c>
      <c r="U948">
        <v>1</v>
      </c>
      <c r="AC948">
        <v>1</v>
      </c>
      <c r="BA948">
        <f>SUM(Pre[[#This Row],[1]:[46]])</f>
        <v>3</v>
      </c>
    </row>
    <row r="949" spans="1:53" x14ac:dyDescent="0.2">
      <c r="A949" t="s">
        <v>7</v>
      </c>
      <c r="B949" t="s">
        <v>6</v>
      </c>
      <c r="C949">
        <v>16082</v>
      </c>
      <c r="D949" t="s">
        <v>7</v>
      </c>
      <c r="E949" t="s">
        <v>8</v>
      </c>
      <c r="F949" t="s">
        <v>9</v>
      </c>
      <c r="H949">
        <v>1</v>
      </c>
      <c r="O949">
        <v>1</v>
      </c>
      <c r="X949">
        <v>1</v>
      </c>
      <c r="AF949">
        <v>1</v>
      </c>
      <c r="AM949">
        <v>1</v>
      </c>
      <c r="AT949">
        <v>1</v>
      </c>
      <c r="AV949">
        <v>1</v>
      </c>
      <c r="BA949">
        <f>SUM(Pre[[#This Row],[1]:[46]])</f>
        <v>7</v>
      </c>
    </row>
    <row r="950" spans="1:53" x14ac:dyDescent="0.2">
      <c r="A950" t="s">
        <v>7</v>
      </c>
      <c r="B950" t="s">
        <v>6</v>
      </c>
      <c r="C950">
        <v>958</v>
      </c>
      <c r="D950" t="s">
        <v>22</v>
      </c>
      <c r="E950" t="s">
        <v>37</v>
      </c>
      <c r="F950" t="s">
        <v>49</v>
      </c>
      <c r="M950">
        <v>1</v>
      </c>
      <c r="Z950">
        <v>1</v>
      </c>
      <c r="AN950">
        <v>1</v>
      </c>
      <c r="BA950">
        <f>SUM(Pre[[#This Row],[1]:[46]])</f>
        <v>3</v>
      </c>
    </row>
    <row r="951" spans="1:53" x14ac:dyDescent="0.2">
      <c r="A951" t="s">
        <v>7</v>
      </c>
      <c r="B951" t="s">
        <v>6</v>
      </c>
      <c r="C951">
        <v>1858</v>
      </c>
      <c r="D951" t="s">
        <v>22</v>
      </c>
      <c r="E951" t="s">
        <v>8</v>
      </c>
      <c r="F951" t="s">
        <v>29</v>
      </c>
      <c r="I951">
        <v>1</v>
      </c>
      <c r="V951">
        <v>2</v>
      </c>
      <c r="BA951">
        <f>SUM(Pre[[#This Row],[1]:[46]])</f>
        <v>3</v>
      </c>
    </row>
    <row r="952" spans="1:53" x14ac:dyDescent="0.2">
      <c r="A952" t="s">
        <v>7</v>
      </c>
      <c r="B952" t="s">
        <v>6</v>
      </c>
      <c r="C952">
        <v>4379</v>
      </c>
      <c r="D952" t="s">
        <v>22</v>
      </c>
      <c r="E952" t="s">
        <v>8</v>
      </c>
      <c r="F952" t="s">
        <v>23</v>
      </c>
      <c r="O952">
        <v>1</v>
      </c>
      <c r="AB952">
        <v>1</v>
      </c>
      <c r="AK952">
        <v>1</v>
      </c>
      <c r="BA952">
        <f>SUM(Pre[[#This Row],[1]:[46]])</f>
        <v>3</v>
      </c>
    </row>
    <row r="953" spans="1:53" x14ac:dyDescent="0.2">
      <c r="A953" t="s">
        <v>7</v>
      </c>
      <c r="B953" t="s">
        <v>6</v>
      </c>
      <c r="C953">
        <v>9185</v>
      </c>
      <c r="D953" t="s">
        <v>22</v>
      </c>
      <c r="E953" t="s">
        <v>8</v>
      </c>
      <c r="F953" t="s">
        <v>34</v>
      </c>
      <c r="I953">
        <v>1</v>
      </c>
      <c r="W953">
        <v>1</v>
      </c>
      <c r="AJ953">
        <v>1</v>
      </c>
      <c r="AX953">
        <v>1</v>
      </c>
      <c r="BA953">
        <f>SUM(Pre[[#This Row],[1]:[46]])</f>
        <v>4</v>
      </c>
    </row>
    <row r="954" spans="1:53" x14ac:dyDescent="0.2">
      <c r="A954" t="s">
        <v>7</v>
      </c>
      <c r="B954" t="s">
        <v>6</v>
      </c>
      <c r="C954">
        <v>9810</v>
      </c>
      <c r="D954" t="s">
        <v>22</v>
      </c>
      <c r="E954" t="s">
        <v>8</v>
      </c>
      <c r="F954" t="s">
        <v>23</v>
      </c>
      <c r="N954">
        <v>1</v>
      </c>
      <c r="Q954">
        <v>1</v>
      </c>
      <c r="AB954">
        <v>1</v>
      </c>
      <c r="AO954">
        <v>1</v>
      </c>
      <c r="BA954">
        <f>SUM(Pre[[#This Row],[1]:[46]])</f>
        <v>4</v>
      </c>
    </row>
    <row r="955" spans="1:53" x14ac:dyDescent="0.2">
      <c r="A955" t="s">
        <v>7</v>
      </c>
      <c r="B955" t="s">
        <v>6</v>
      </c>
      <c r="C955">
        <v>11508</v>
      </c>
      <c r="D955" t="s">
        <v>22</v>
      </c>
      <c r="E955" t="s">
        <v>8</v>
      </c>
      <c r="F955" t="s">
        <v>34</v>
      </c>
      <c r="T955">
        <v>1</v>
      </c>
      <c r="AH955">
        <v>1</v>
      </c>
      <c r="AV955">
        <v>1</v>
      </c>
      <c r="BA955">
        <f>SUM(Pre[[#This Row],[1]:[46]])</f>
        <v>3</v>
      </c>
    </row>
    <row r="956" spans="1:53" x14ac:dyDescent="0.2">
      <c r="A956" t="s">
        <v>7</v>
      </c>
      <c r="B956" t="s">
        <v>6</v>
      </c>
      <c r="C956">
        <v>12155</v>
      </c>
      <c r="D956" t="s">
        <v>22</v>
      </c>
      <c r="E956" t="s">
        <v>8</v>
      </c>
      <c r="F956" t="s">
        <v>23</v>
      </c>
      <c r="O956">
        <v>1</v>
      </c>
      <c r="AE956">
        <v>1</v>
      </c>
      <c r="AT956">
        <v>1</v>
      </c>
      <c r="BA956">
        <f>SUM(Pre[[#This Row],[1]:[46]])</f>
        <v>3</v>
      </c>
    </row>
    <row r="957" spans="1:53" x14ac:dyDescent="0.2">
      <c r="A957" t="s">
        <v>7</v>
      </c>
      <c r="B957" t="s">
        <v>6</v>
      </c>
      <c r="C957">
        <v>13702</v>
      </c>
      <c r="D957" t="s">
        <v>22</v>
      </c>
      <c r="E957" t="s">
        <v>8</v>
      </c>
      <c r="F957" t="s">
        <v>23</v>
      </c>
      <c r="L957">
        <v>1</v>
      </c>
      <c r="AA957">
        <v>1</v>
      </c>
      <c r="AO957">
        <v>1</v>
      </c>
      <c r="AZ957">
        <v>1</v>
      </c>
      <c r="BA957">
        <f>SUM(Pre[[#This Row],[1]:[46]])</f>
        <v>4</v>
      </c>
    </row>
    <row r="958" spans="1:53" x14ac:dyDescent="0.2">
      <c r="A958" t="s">
        <v>7</v>
      </c>
      <c r="B958" t="s">
        <v>6</v>
      </c>
      <c r="C958">
        <v>14168</v>
      </c>
      <c r="D958" t="s">
        <v>22</v>
      </c>
      <c r="E958" t="s">
        <v>37</v>
      </c>
      <c r="F958" t="s">
        <v>49</v>
      </c>
      <c r="N958">
        <v>1</v>
      </c>
      <c r="W958">
        <v>1</v>
      </c>
      <c r="AD958">
        <v>1</v>
      </c>
      <c r="AN958">
        <v>1</v>
      </c>
      <c r="AW958">
        <v>1</v>
      </c>
      <c r="BA958">
        <f>SUM(Pre[[#This Row],[1]:[46]])</f>
        <v>5</v>
      </c>
    </row>
    <row r="959" spans="1:53" x14ac:dyDescent="0.2">
      <c r="A959" t="s">
        <v>7</v>
      </c>
      <c r="B959" t="s">
        <v>6</v>
      </c>
      <c r="C959">
        <v>14349</v>
      </c>
      <c r="D959" t="s">
        <v>22</v>
      </c>
      <c r="E959" t="s">
        <v>8</v>
      </c>
      <c r="F959" t="s">
        <v>23</v>
      </c>
      <c r="O959">
        <v>2</v>
      </c>
      <c r="AC959">
        <v>1</v>
      </c>
      <c r="AQ959">
        <v>1</v>
      </c>
      <c r="BA959">
        <f>SUM(Pre[[#This Row],[1]:[46]])</f>
        <v>4</v>
      </c>
    </row>
    <row r="960" spans="1:53" x14ac:dyDescent="0.2">
      <c r="A960" t="s">
        <v>7</v>
      </c>
      <c r="B960" t="s">
        <v>6</v>
      </c>
      <c r="C960">
        <v>14539</v>
      </c>
      <c r="D960" t="s">
        <v>22</v>
      </c>
      <c r="E960" t="s">
        <v>8</v>
      </c>
      <c r="F960" t="s">
        <v>23</v>
      </c>
      <c r="H960">
        <v>2</v>
      </c>
      <c r="O960">
        <v>1</v>
      </c>
      <c r="AH960">
        <v>1</v>
      </c>
      <c r="AU960">
        <v>1</v>
      </c>
      <c r="BA960">
        <f>SUM(Pre[[#This Row],[1]:[46]])</f>
        <v>5</v>
      </c>
    </row>
    <row r="961" spans="1:53" x14ac:dyDescent="0.2">
      <c r="A961" t="s">
        <v>7</v>
      </c>
      <c r="B961" t="s">
        <v>6</v>
      </c>
      <c r="C961">
        <v>17932</v>
      </c>
      <c r="D961" t="s">
        <v>22</v>
      </c>
      <c r="E961" t="s">
        <v>8</v>
      </c>
      <c r="F961" t="s">
        <v>23</v>
      </c>
      <c r="O961">
        <v>1</v>
      </c>
      <c r="AA961">
        <v>1</v>
      </c>
      <c r="AM961">
        <v>1</v>
      </c>
      <c r="AZ961">
        <v>1</v>
      </c>
      <c r="BA961">
        <f>SUM(Pre[[#This Row],[1]:[46]])</f>
        <v>4</v>
      </c>
    </row>
    <row r="962" spans="1:53" x14ac:dyDescent="0.2">
      <c r="A962" t="s">
        <v>7</v>
      </c>
      <c r="B962" t="s">
        <v>6</v>
      </c>
      <c r="C962">
        <v>744</v>
      </c>
      <c r="D962" t="s">
        <v>7</v>
      </c>
      <c r="E962" t="s">
        <v>8</v>
      </c>
      <c r="F962" t="s">
        <v>34</v>
      </c>
      <c r="O962">
        <v>2</v>
      </c>
      <c r="AD962">
        <v>1</v>
      </c>
      <c r="AV962">
        <v>1</v>
      </c>
      <c r="BA962">
        <f>SUM(Pre[[#This Row],[1]:[46]])</f>
        <v>4</v>
      </c>
    </row>
    <row r="963" spans="1:53" x14ac:dyDescent="0.2">
      <c r="A963" t="s">
        <v>7</v>
      </c>
      <c r="B963" t="s">
        <v>6</v>
      </c>
      <c r="C963">
        <v>11828</v>
      </c>
      <c r="D963" t="s">
        <v>7</v>
      </c>
      <c r="E963" t="s">
        <v>8</v>
      </c>
      <c r="F963" t="s">
        <v>9</v>
      </c>
      <c r="H963">
        <v>1</v>
      </c>
      <c r="V963">
        <v>1</v>
      </c>
      <c r="AH963">
        <v>1</v>
      </c>
      <c r="AV963">
        <v>1</v>
      </c>
      <c r="BA963">
        <f>SUM(Pre[[#This Row],[1]:[46]])</f>
        <v>4</v>
      </c>
    </row>
    <row r="964" spans="1:53" x14ac:dyDescent="0.2">
      <c r="A964" t="s">
        <v>7</v>
      </c>
      <c r="B964" t="s">
        <v>6</v>
      </c>
      <c r="C964">
        <v>12241</v>
      </c>
      <c r="D964" t="s">
        <v>7</v>
      </c>
      <c r="E964" t="s">
        <v>8</v>
      </c>
      <c r="F964" t="s">
        <v>29</v>
      </c>
      <c r="J964">
        <v>1</v>
      </c>
      <c r="AA964">
        <v>1</v>
      </c>
      <c r="AM964">
        <v>1</v>
      </c>
      <c r="BA964">
        <f>SUM(Pre[[#This Row],[1]:[46]])</f>
        <v>3</v>
      </c>
    </row>
    <row r="965" spans="1:53" x14ac:dyDescent="0.2">
      <c r="A965" t="s">
        <v>7</v>
      </c>
      <c r="B965" t="s">
        <v>6</v>
      </c>
      <c r="C965">
        <v>14341</v>
      </c>
      <c r="D965" t="s">
        <v>7</v>
      </c>
      <c r="E965" t="s">
        <v>8</v>
      </c>
      <c r="F965" t="s">
        <v>30</v>
      </c>
      <c r="K965">
        <v>1</v>
      </c>
      <c r="X965">
        <v>1</v>
      </c>
      <c r="BA965">
        <f>SUM(Pre[[#This Row],[1]:[46]])</f>
        <v>2</v>
      </c>
    </row>
    <row r="966" spans="1:53" x14ac:dyDescent="0.2">
      <c r="A966" t="s">
        <v>7</v>
      </c>
      <c r="B966" t="s">
        <v>6</v>
      </c>
      <c r="C966">
        <v>14553</v>
      </c>
      <c r="D966" t="s">
        <v>7</v>
      </c>
      <c r="E966" t="s">
        <v>8</v>
      </c>
      <c r="F966" t="s">
        <v>29</v>
      </c>
      <c r="N966">
        <v>1</v>
      </c>
      <c r="O966">
        <v>1</v>
      </c>
      <c r="AF966">
        <v>2</v>
      </c>
      <c r="AW966">
        <v>2</v>
      </c>
      <c r="BA966">
        <f>SUM(Pre[[#This Row],[1]:[46]])</f>
        <v>6</v>
      </c>
    </row>
    <row r="967" spans="1:53" x14ac:dyDescent="0.2">
      <c r="A967" t="s">
        <v>7</v>
      </c>
      <c r="B967" t="s">
        <v>6</v>
      </c>
      <c r="C967">
        <v>15690</v>
      </c>
      <c r="D967" t="s">
        <v>7</v>
      </c>
      <c r="E967" t="s">
        <v>8</v>
      </c>
      <c r="F967" t="s">
        <v>9</v>
      </c>
      <c r="N967">
        <v>1</v>
      </c>
      <c r="Q967">
        <v>1</v>
      </c>
      <c r="U967">
        <v>1</v>
      </c>
      <c r="Z967">
        <v>1</v>
      </c>
      <c r="AD967">
        <v>1</v>
      </c>
      <c r="AH967">
        <v>1</v>
      </c>
      <c r="AL967">
        <v>1</v>
      </c>
      <c r="AQ967">
        <v>1</v>
      </c>
      <c r="AV967">
        <v>1</v>
      </c>
      <c r="AZ967">
        <v>1</v>
      </c>
      <c r="BA967">
        <f>SUM(Pre[[#This Row],[1]:[46]])</f>
        <v>10</v>
      </c>
    </row>
    <row r="968" spans="1:53" x14ac:dyDescent="0.2">
      <c r="A968" t="s">
        <v>7</v>
      </c>
      <c r="B968" t="s">
        <v>6</v>
      </c>
      <c r="C968">
        <v>138</v>
      </c>
      <c r="D968" t="s">
        <v>22</v>
      </c>
      <c r="E968" t="s">
        <v>37</v>
      </c>
      <c r="F968" t="s">
        <v>49</v>
      </c>
      <c r="P968">
        <v>1</v>
      </c>
      <c r="AD968">
        <v>1</v>
      </c>
      <c r="AQ968">
        <v>1</v>
      </c>
      <c r="BA968">
        <f>SUM(Pre[[#This Row],[1]:[46]])</f>
        <v>3</v>
      </c>
    </row>
    <row r="969" spans="1:53" x14ac:dyDescent="0.2">
      <c r="A969" t="s">
        <v>7</v>
      </c>
      <c r="B969" t="s">
        <v>6</v>
      </c>
      <c r="C969">
        <v>138</v>
      </c>
      <c r="D969" t="s">
        <v>22</v>
      </c>
      <c r="E969" t="s">
        <v>8</v>
      </c>
      <c r="F969" t="s">
        <v>23</v>
      </c>
      <c r="K969">
        <v>2</v>
      </c>
      <c r="X969">
        <v>1</v>
      </c>
      <c r="AK969">
        <v>2</v>
      </c>
      <c r="AX969">
        <v>1</v>
      </c>
      <c r="BA969">
        <f>SUM(Pre[[#This Row],[1]:[46]])</f>
        <v>6</v>
      </c>
    </row>
    <row r="970" spans="1:53" x14ac:dyDescent="0.2">
      <c r="A970" t="s">
        <v>7</v>
      </c>
      <c r="B970" t="s">
        <v>6</v>
      </c>
      <c r="C970">
        <v>399</v>
      </c>
      <c r="D970" t="s">
        <v>22</v>
      </c>
      <c r="E970" t="s">
        <v>8</v>
      </c>
      <c r="F970" t="s">
        <v>29</v>
      </c>
      <c r="H970">
        <v>1</v>
      </c>
      <c r="T970">
        <v>1</v>
      </c>
      <c r="AH970">
        <v>1</v>
      </c>
      <c r="AV970">
        <v>1</v>
      </c>
      <c r="BA970">
        <f>SUM(Pre[[#This Row],[1]:[46]])</f>
        <v>4</v>
      </c>
    </row>
    <row r="971" spans="1:53" x14ac:dyDescent="0.2">
      <c r="A971" t="s">
        <v>7</v>
      </c>
      <c r="B971" t="s">
        <v>6</v>
      </c>
      <c r="C971">
        <v>2069</v>
      </c>
      <c r="D971" t="s">
        <v>22</v>
      </c>
      <c r="E971" t="s">
        <v>8</v>
      </c>
      <c r="F971" t="s">
        <v>9</v>
      </c>
      <c r="H971">
        <v>1</v>
      </c>
      <c r="L971">
        <v>1</v>
      </c>
      <c r="P971">
        <v>1</v>
      </c>
      <c r="T971">
        <v>1</v>
      </c>
      <c r="Y971">
        <v>1</v>
      </c>
      <c r="AB971">
        <v>1</v>
      </c>
      <c r="AE971">
        <v>1</v>
      </c>
      <c r="AJ971">
        <v>1</v>
      </c>
      <c r="AN971">
        <v>1</v>
      </c>
      <c r="AS971">
        <v>1</v>
      </c>
      <c r="AV971">
        <v>1</v>
      </c>
      <c r="BA971">
        <f>SUM(Pre[[#This Row],[1]:[46]])</f>
        <v>11</v>
      </c>
    </row>
    <row r="972" spans="1:53" x14ac:dyDescent="0.2">
      <c r="A972" t="s">
        <v>7</v>
      </c>
      <c r="B972" t="s">
        <v>6</v>
      </c>
      <c r="C972">
        <v>5082</v>
      </c>
      <c r="D972" t="s">
        <v>22</v>
      </c>
      <c r="E972" t="s">
        <v>8</v>
      </c>
      <c r="F972" t="s">
        <v>29</v>
      </c>
      <c r="P972">
        <v>1</v>
      </c>
      <c r="AB972">
        <v>1</v>
      </c>
      <c r="AF972">
        <v>1</v>
      </c>
      <c r="AR972">
        <v>1</v>
      </c>
      <c r="BA972">
        <f>SUM(Pre[[#This Row],[1]:[46]])</f>
        <v>4</v>
      </c>
    </row>
    <row r="973" spans="1:53" x14ac:dyDescent="0.2">
      <c r="A973" t="s">
        <v>7</v>
      </c>
      <c r="B973" t="s">
        <v>6</v>
      </c>
      <c r="C973">
        <v>13475</v>
      </c>
      <c r="D973" t="s">
        <v>22</v>
      </c>
      <c r="E973" t="s">
        <v>8</v>
      </c>
      <c r="F973" t="s">
        <v>29</v>
      </c>
      <c r="K973">
        <v>1</v>
      </c>
      <c r="X973">
        <v>1</v>
      </c>
      <c r="AK973">
        <v>1</v>
      </c>
      <c r="AX973">
        <v>2</v>
      </c>
      <c r="BA973">
        <f>SUM(Pre[[#This Row],[1]:[46]])</f>
        <v>5</v>
      </c>
    </row>
    <row r="974" spans="1:53" x14ac:dyDescent="0.2">
      <c r="A974" t="s">
        <v>7</v>
      </c>
      <c r="B974" t="s">
        <v>6</v>
      </c>
      <c r="C974">
        <v>14098</v>
      </c>
      <c r="D974" t="s">
        <v>22</v>
      </c>
      <c r="E974" t="s">
        <v>8</v>
      </c>
      <c r="F974" t="s">
        <v>23</v>
      </c>
      <c r="Y974">
        <v>1</v>
      </c>
      <c r="AM974">
        <v>1</v>
      </c>
      <c r="AZ974">
        <v>1</v>
      </c>
      <c r="BA974">
        <f>SUM(Pre[[#This Row],[1]:[46]])</f>
        <v>3</v>
      </c>
    </row>
    <row r="975" spans="1:53" x14ac:dyDescent="0.2">
      <c r="A975" t="s">
        <v>7</v>
      </c>
      <c r="B975" t="s">
        <v>6</v>
      </c>
      <c r="C975">
        <v>14281</v>
      </c>
      <c r="D975" t="s">
        <v>22</v>
      </c>
      <c r="E975" t="s">
        <v>8</v>
      </c>
      <c r="F975" t="s">
        <v>29</v>
      </c>
      <c r="Q975">
        <v>1</v>
      </c>
      <c r="AD975">
        <v>1</v>
      </c>
      <c r="AQ975">
        <v>1</v>
      </c>
      <c r="BA975">
        <f>SUM(Pre[[#This Row],[1]:[46]])</f>
        <v>3</v>
      </c>
    </row>
    <row r="976" spans="1:53" x14ac:dyDescent="0.2">
      <c r="A976" t="s">
        <v>7</v>
      </c>
      <c r="B976" t="s">
        <v>6</v>
      </c>
      <c r="C976">
        <v>14601</v>
      </c>
      <c r="D976" t="s">
        <v>22</v>
      </c>
      <c r="E976" t="s">
        <v>8</v>
      </c>
      <c r="F976" t="s">
        <v>23</v>
      </c>
      <c r="L976">
        <v>1</v>
      </c>
      <c r="BA976">
        <f>SUM(Pre[[#This Row],[1]:[46]])</f>
        <v>1</v>
      </c>
    </row>
    <row r="977" spans="1:53" x14ac:dyDescent="0.2">
      <c r="A977" t="s">
        <v>7</v>
      </c>
      <c r="B977" t="s">
        <v>6</v>
      </c>
      <c r="C977">
        <v>14992</v>
      </c>
      <c r="D977" t="s">
        <v>22</v>
      </c>
      <c r="E977" t="s">
        <v>8</v>
      </c>
      <c r="F977" t="s">
        <v>29</v>
      </c>
      <c r="I977">
        <v>1</v>
      </c>
      <c r="Y977">
        <v>1</v>
      </c>
      <c r="AO977">
        <v>1</v>
      </c>
      <c r="BA977">
        <f>SUM(Pre[[#This Row],[1]:[46]])</f>
        <v>3</v>
      </c>
    </row>
    <row r="978" spans="1:53" x14ac:dyDescent="0.2">
      <c r="A978" t="s">
        <v>50</v>
      </c>
      <c r="B978" t="s">
        <v>6</v>
      </c>
      <c r="C978">
        <v>494</v>
      </c>
      <c r="D978" t="s">
        <v>7</v>
      </c>
      <c r="E978" t="s">
        <v>12</v>
      </c>
      <c r="F978" t="s">
        <v>13</v>
      </c>
      <c r="AE978">
        <v>4</v>
      </c>
      <c r="BA978">
        <f>SUM(Pre[[#This Row],[1]:[46]])</f>
        <v>4</v>
      </c>
    </row>
    <row r="979" spans="1:53" x14ac:dyDescent="0.2">
      <c r="A979" t="s">
        <v>50</v>
      </c>
      <c r="B979" t="s">
        <v>6</v>
      </c>
      <c r="C979">
        <v>1862</v>
      </c>
      <c r="D979" t="s">
        <v>7</v>
      </c>
      <c r="E979" t="s">
        <v>10</v>
      </c>
      <c r="F979" t="s">
        <v>11</v>
      </c>
      <c r="H979">
        <v>1</v>
      </c>
      <c r="BA979">
        <f>SUM(Pre[[#This Row],[1]:[46]])</f>
        <v>1</v>
      </c>
    </row>
    <row r="980" spans="1:53" x14ac:dyDescent="0.2">
      <c r="A980" t="s">
        <v>50</v>
      </c>
      <c r="B980" t="s">
        <v>6</v>
      </c>
      <c r="C980">
        <v>1862</v>
      </c>
      <c r="D980" t="s">
        <v>7</v>
      </c>
      <c r="E980" t="s">
        <v>14</v>
      </c>
      <c r="F980" t="s">
        <v>35</v>
      </c>
      <c r="N980">
        <v>1</v>
      </c>
      <c r="BA980">
        <f>SUM(Pre[[#This Row],[1]:[46]])</f>
        <v>1</v>
      </c>
    </row>
    <row r="981" spans="1:53" x14ac:dyDescent="0.2">
      <c r="A981" t="s">
        <v>50</v>
      </c>
      <c r="B981" t="s">
        <v>6</v>
      </c>
      <c r="C981">
        <v>3241</v>
      </c>
      <c r="D981" t="s">
        <v>7</v>
      </c>
      <c r="E981" t="s">
        <v>8</v>
      </c>
      <c r="F981" t="s">
        <v>23</v>
      </c>
      <c r="I981">
        <v>1</v>
      </c>
      <c r="M981">
        <v>1</v>
      </c>
      <c r="R981">
        <v>1</v>
      </c>
      <c r="V981">
        <v>1</v>
      </c>
      <c r="Y981">
        <v>1</v>
      </c>
      <c r="AF981">
        <v>1</v>
      </c>
      <c r="AH981">
        <v>1</v>
      </c>
      <c r="AP981">
        <v>1</v>
      </c>
      <c r="AT981">
        <v>1</v>
      </c>
      <c r="AY981">
        <v>1</v>
      </c>
      <c r="BA981">
        <f>SUM(Pre[[#This Row],[1]:[46]])</f>
        <v>10</v>
      </c>
    </row>
    <row r="982" spans="1:53" x14ac:dyDescent="0.2">
      <c r="A982" t="s">
        <v>50</v>
      </c>
      <c r="B982" t="s">
        <v>6</v>
      </c>
      <c r="C982">
        <v>3241</v>
      </c>
      <c r="D982" t="s">
        <v>7</v>
      </c>
      <c r="E982" t="s">
        <v>14</v>
      </c>
      <c r="F982" t="s">
        <v>20</v>
      </c>
      <c r="BA982">
        <f>SUM(Pre[[#This Row],[1]:[46]])</f>
        <v>0</v>
      </c>
    </row>
    <row r="983" spans="1:53" x14ac:dyDescent="0.2">
      <c r="A983" t="s">
        <v>50</v>
      </c>
      <c r="B983" t="s">
        <v>6</v>
      </c>
      <c r="C983">
        <v>11376</v>
      </c>
      <c r="D983" t="s">
        <v>7</v>
      </c>
      <c r="E983" t="s">
        <v>14</v>
      </c>
      <c r="F983" t="s">
        <v>35</v>
      </c>
      <c r="V983">
        <v>1</v>
      </c>
      <c r="Z983">
        <v>1</v>
      </c>
      <c r="AD983">
        <v>1</v>
      </c>
      <c r="AH983">
        <v>1</v>
      </c>
      <c r="AP983">
        <v>1</v>
      </c>
      <c r="BA983">
        <f>SUM(Pre[[#This Row],[1]:[46]])</f>
        <v>5</v>
      </c>
    </row>
    <row r="984" spans="1:53" x14ac:dyDescent="0.2">
      <c r="A984" t="s">
        <v>50</v>
      </c>
      <c r="B984" t="s">
        <v>6</v>
      </c>
      <c r="C984">
        <v>13668</v>
      </c>
      <c r="D984" t="s">
        <v>7</v>
      </c>
      <c r="E984" t="s">
        <v>14</v>
      </c>
      <c r="F984" t="s">
        <v>19</v>
      </c>
      <c r="J984">
        <v>1</v>
      </c>
      <c r="O984">
        <v>1</v>
      </c>
      <c r="BA984">
        <f>SUM(Pre[[#This Row],[1]:[46]])</f>
        <v>2</v>
      </c>
    </row>
    <row r="985" spans="1:53" x14ac:dyDescent="0.2">
      <c r="A985" t="s">
        <v>50</v>
      </c>
      <c r="B985" t="s">
        <v>6</v>
      </c>
      <c r="C985">
        <v>17155</v>
      </c>
      <c r="D985" t="s">
        <v>7</v>
      </c>
      <c r="E985" t="s">
        <v>12</v>
      </c>
      <c r="F985" t="s">
        <v>13</v>
      </c>
      <c r="AM985">
        <v>1</v>
      </c>
      <c r="BA985">
        <f>SUM(Pre[[#This Row],[1]:[46]])</f>
        <v>1</v>
      </c>
    </row>
    <row r="986" spans="1:53" x14ac:dyDescent="0.2">
      <c r="A986" t="s">
        <v>50</v>
      </c>
      <c r="B986" t="s">
        <v>6</v>
      </c>
      <c r="C986">
        <v>21477</v>
      </c>
      <c r="D986" t="s">
        <v>7</v>
      </c>
      <c r="E986" t="s">
        <v>12</v>
      </c>
      <c r="F986" t="s">
        <v>13</v>
      </c>
      <c r="AP986">
        <v>1</v>
      </c>
      <c r="BA986">
        <f>SUM(Pre[[#This Row],[1]:[46]])</f>
        <v>1</v>
      </c>
    </row>
    <row r="987" spans="1:53" x14ac:dyDescent="0.2">
      <c r="A987" t="s">
        <v>50</v>
      </c>
      <c r="B987" t="s">
        <v>6</v>
      </c>
      <c r="C987">
        <v>21995</v>
      </c>
      <c r="D987" t="s">
        <v>7</v>
      </c>
      <c r="E987" t="s">
        <v>14</v>
      </c>
      <c r="F987" t="s">
        <v>21</v>
      </c>
      <c r="R987">
        <v>1</v>
      </c>
      <c r="BA987">
        <f>SUM(Pre[[#This Row],[1]:[46]])</f>
        <v>1</v>
      </c>
    </row>
    <row r="988" spans="1:53" x14ac:dyDescent="0.2">
      <c r="A988" t="s">
        <v>50</v>
      </c>
      <c r="B988" t="s">
        <v>6</v>
      </c>
      <c r="C988">
        <v>22317</v>
      </c>
      <c r="D988" t="s">
        <v>7</v>
      </c>
      <c r="E988" t="s">
        <v>8</v>
      </c>
      <c r="F988" t="s">
        <v>23</v>
      </c>
      <c r="L988">
        <v>7</v>
      </c>
      <c r="R988">
        <v>1</v>
      </c>
      <c r="X988">
        <v>1</v>
      </c>
      <c r="AC988">
        <v>1</v>
      </c>
      <c r="AI988">
        <v>1</v>
      </c>
      <c r="AM988">
        <v>1</v>
      </c>
      <c r="AQ988">
        <v>1</v>
      </c>
      <c r="BA988">
        <f>SUM(Pre[[#This Row],[1]:[46]])</f>
        <v>13</v>
      </c>
    </row>
    <row r="989" spans="1:53" x14ac:dyDescent="0.2">
      <c r="A989" t="s">
        <v>50</v>
      </c>
      <c r="B989" t="s">
        <v>6</v>
      </c>
      <c r="C989">
        <v>22770</v>
      </c>
      <c r="D989" t="s">
        <v>7</v>
      </c>
      <c r="E989" t="s">
        <v>10</v>
      </c>
      <c r="F989" t="s">
        <v>11</v>
      </c>
      <c r="BA989">
        <f>SUM(Pre[[#This Row],[1]:[46]])</f>
        <v>0</v>
      </c>
    </row>
    <row r="990" spans="1:53" x14ac:dyDescent="0.2">
      <c r="A990" t="s">
        <v>50</v>
      </c>
      <c r="B990" t="s">
        <v>6</v>
      </c>
      <c r="C990">
        <v>22851</v>
      </c>
      <c r="D990" t="s">
        <v>7</v>
      </c>
      <c r="E990" t="s">
        <v>14</v>
      </c>
      <c r="F990" t="s">
        <v>21</v>
      </c>
      <c r="BA990">
        <f>SUM(Pre[[#This Row],[1]:[46]])</f>
        <v>0</v>
      </c>
    </row>
    <row r="991" spans="1:53" x14ac:dyDescent="0.2">
      <c r="A991" t="s">
        <v>50</v>
      </c>
      <c r="B991" t="s">
        <v>6</v>
      </c>
      <c r="C991">
        <v>31096</v>
      </c>
      <c r="D991" t="s">
        <v>7</v>
      </c>
      <c r="E991" t="s">
        <v>8</v>
      </c>
      <c r="F991" t="s">
        <v>23</v>
      </c>
      <c r="G991">
        <v>1</v>
      </c>
      <c r="BA991">
        <f>SUM(Pre[[#This Row],[1]:[46]])</f>
        <v>1</v>
      </c>
    </row>
    <row r="992" spans="1:53" x14ac:dyDescent="0.2">
      <c r="A992" t="s">
        <v>50</v>
      </c>
      <c r="B992" t="s">
        <v>6</v>
      </c>
      <c r="C992">
        <v>8031</v>
      </c>
      <c r="D992" t="s">
        <v>22</v>
      </c>
      <c r="E992" t="s">
        <v>14</v>
      </c>
      <c r="F992" t="s">
        <v>21</v>
      </c>
      <c r="AB992">
        <v>2</v>
      </c>
      <c r="AF992">
        <v>2</v>
      </c>
      <c r="AH992">
        <v>2</v>
      </c>
      <c r="AI992">
        <v>1</v>
      </c>
      <c r="AJ992">
        <v>1</v>
      </c>
      <c r="AK992">
        <v>1</v>
      </c>
      <c r="AM992">
        <v>1</v>
      </c>
      <c r="BA992">
        <f>SUM(Pre[[#This Row],[1]:[46]])</f>
        <v>10</v>
      </c>
    </row>
    <row r="993" spans="1:53" x14ac:dyDescent="0.2">
      <c r="A993" t="s">
        <v>50</v>
      </c>
      <c r="B993" t="s">
        <v>6</v>
      </c>
      <c r="C993">
        <v>9059</v>
      </c>
      <c r="D993" t="s">
        <v>22</v>
      </c>
      <c r="E993" t="s">
        <v>8</v>
      </c>
      <c r="F993" t="s">
        <v>29</v>
      </c>
      <c r="I993">
        <v>1</v>
      </c>
      <c r="U993">
        <v>1</v>
      </c>
      <c r="AG993">
        <v>1</v>
      </c>
      <c r="AT993">
        <v>1</v>
      </c>
      <c r="BA993">
        <f>SUM(Pre[[#This Row],[1]:[46]])</f>
        <v>4</v>
      </c>
    </row>
    <row r="994" spans="1:53" x14ac:dyDescent="0.2">
      <c r="A994" t="s">
        <v>50</v>
      </c>
      <c r="B994" t="s">
        <v>6</v>
      </c>
      <c r="C994">
        <v>22262</v>
      </c>
      <c r="D994" t="s">
        <v>22</v>
      </c>
      <c r="E994" t="s">
        <v>8</v>
      </c>
      <c r="F994" t="s">
        <v>23</v>
      </c>
      <c r="G994">
        <v>1</v>
      </c>
      <c r="L994">
        <v>1</v>
      </c>
      <c r="Q994">
        <v>1</v>
      </c>
      <c r="U994">
        <v>1</v>
      </c>
      <c r="Y994">
        <v>1</v>
      </c>
      <c r="AD994">
        <v>1</v>
      </c>
      <c r="AH994">
        <v>2</v>
      </c>
      <c r="AM994">
        <v>1</v>
      </c>
      <c r="AQ994">
        <v>1</v>
      </c>
      <c r="AT994">
        <v>1</v>
      </c>
      <c r="AZ994">
        <v>1</v>
      </c>
      <c r="BA994">
        <f>SUM(Pre[[#This Row],[1]:[46]])</f>
        <v>12</v>
      </c>
    </row>
    <row r="995" spans="1:53" x14ac:dyDescent="0.2">
      <c r="A995" t="s">
        <v>50</v>
      </c>
      <c r="B995" t="s">
        <v>6</v>
      </c>
      <c r="C995">
        <v>26683</v>
      </c>
      <c r="D995" t="s">
        <v>22</v>
      </c>
      <c r="E995" t="s">
        <v>10</v>
      </c>
      <c r="F995" t="s">
        <v>11</v>
      </c>
      <c r="J995">
        <v>1</v>
      </c>
      <c r="BA995">
        <f>SUM(Pre[[#This Row],[1]:[46]])</f>
        <v>1</v>
      </c>
    </row>
    <row r="996" spans="1:53" x14ac:dyDescent="0.2">
      <c r="A996" t="s">
        <v>50</v>
      </c>
      <c r="B996" t="s">
        <v>6</v>
      </c>
      <c r="C996">
        <v>29602</v>
      </c>
      <c r="D996" t="s">
        <v>22</v>
      </c>
      <c r="E996" t="s">
        <v>8</v>
      </c>
      <c r="F996" t="s">
        <v>23</v>
      </c>
      <c r="U996">
        <v>1</v>
      </c>
      <c r="AI996">
        <v>2</v>
      </c>
      <c r="AV996">
        <v>1</v>
      </c>
      <c r="BA996">
        <f>SUM(Pre[[#This Row],[1]:[46]])</f>
        <v>4</v>
      </c>
    </row>
    <row r="997" spans="1:53" x14ac:dyDescent="0.2">
      <c r="A997" t="s">
        <v>50</v>
      </c>
      <c r="B997" t="s">
        <v>6</v>
      </c>
      <c r="C997">
        <v>3132</v>
      </c>
      <c r="D997" t="s">
        <v>7</v>
      </c>
      <c r="E997" t="s">
        <v>8</v>
      </c>
      <c r="F997" t="s">
        <v>29</v>
      </c>
      <c r="J997">
        <v>2</v>
      </c>
      <c r="W997">
        <v>1</v>
      </c>
      <c r="AK997">
        <v>2</v>
      </c>
      <c r="AX997">
        <v>2</v>
      </c>
      <c r="BA997">
        <f>SUM(Pre[[#This Row],[1]:[46]])</f>
        <v>7</v>
      </c>
    </row>
    <row r="998" spans="1:53" x14ac:dyDescent="0.2">
      <c r="A998" t="s">
        <v>50</v>
      </c>
      <c r="B998" t="s">
        <v>6</v>
      </c>
      <c r="C998">
        <v>4164</v>
      </c>
      <c r="D998" t="s">
        <v>7</v>
      </c>
      <c r="E998" t="s">
        <v>14</v>
      </c>
      <c r="F998" t="s">
        <v>31</v>
      </c>
      <c r="Q998">
        <v>1</v>
      </c>
      <c r="BA998">
        <f>SUM(Pre[[#This Row],[1]:[46]])</f>
        <v>1</v>
      </c>
    </row>
    <row r="999" spans="1:53" x14ac:dyDescent="0.2">
      <c r="A999" t="s">
        <v>50</v>
      </c>
      <c r="B999" t="s">
        <v>6</v>
      </c>
      <c r="C999">
        <v>4164</v>
      </c>
      <c r="D999" t="s">
        <v>7</v>
      </c>
      <c r="E999" t="s">
        <v>14</v>
      </c>
      <c r="F999" t="s">
        <v>20</v>
      </c>
      <c r="G999">
        <v>1</v>
      </c>
      <c r="BA999">
        <f>SUM(Pre[[#This Row],[1]:[46]])</f>
        <v>1</v>
      </c>
    </row>
    <row r="1000" spans="1:53" x14ac:dyDescent="0.2">
      <c r="A1000" t="s">
        <v>50</v>
      </c>
      <c r="B1000" t="s">
        <v>6</v>
      </c>
      <c r="C1000">
        <v>5304</v>
      </c>
      <c r="D1000" t="s">
        <v>7</v>
      </c>
      <c r="E1000" t="s">
        <v>14</v>
      </c>
      <c r="F1000" t="s">
        <v>35</v>
      </c>
      <c r="N1000">
        <v>1</v>
      </c>
      <c r="AH1000">
        <v>2</v>
      </c>
      <c r="AK1000">
        <v>1</v>
      </c>
      <c r="AN1000">
        <v>1</v>
      </c>
      <c r="AS1000">
        <v>1</v>
      </c>
      <c r="AZ1000">
        <v>1</v>
      </c>
      <c r="BA1000">
        <f>SUM(Pre[[#This Row],[1]:[46]])</f>
        <v>7</v>
      </c>
    </row>
    <row r="1001" spans="1:53" x14ac:dyDescent="0.2">
      <c r="A1001" t="s">
        <v>50</v>
      </c>
      <c r="B1001" t="s">
        <v>6</v>
      </c>
      <c r="C1001">
        <v>5628</v>
      </c>
      <c r="D1001" t="s">
        <v>7</v>
      </c>
      <c r="E1001" t="s">
        <v>8</v>
      </c>
      <c r="F1001" t="s">
        <v>23</v>
      </c>
      <c r="AT1001">
        <v>1</v>
      </c>
      <c r="AW1001">
        <v>2</v>
      </c>
      <c r="BA1001">
        <f>SUM(Pre[[#This Row],[1]:[46]])</f>
        <v>3</v>
      </c>
    </row>
    <row r="1002" spans="1:53" x14ac:dyDescent="0.2">
      <c r="A1002" t="s">
        <v>50</v>
      </c>
      <c r="B1002" t="s">
        <v>6</v>
      </c>
      <c r="C1002">
        <v>5705</v>
      </c>
      <c r="D1002" t="s">
        <v>7</v>
      </c>
      <c r="E1002" t="s">
        <v>14</v>
      </c>
      <c r="F1002" t="s">
        <v>20</v>
      </c>
      <c r="G1002">
        <v>1</v>
      </c>
      <c r="P1002">
        <v>1</v>
      </c>
      <c r="AF1002">
        <v>1</v>
      </c>
      <c r="AN1002">
        <v>1</v>
      </c>
      <c r="BA1002">
        <f>SUM(Pre[[#This Row],[1]:[46]])</f>
        <v>4</v>
      </c>
    </row>
    <row r="1003" spans="1:53" x14ac:dyDescent="0.2">
      <c r="A1003" t="s">
        <v>50</v>
      </c>
      <c r="B1003" t="s">
        <v>6</v>
      </c>
      <c r="C1003">
        <v>5743</v>
      </c>
      <c r="D1003" t="s">
        <v>7</v>
      </c>
      <c r="E1003" t="s">
        <v>14</v>
      </c>
      <c r="F1003" t="s">
        <v>21</v>
      </c>
      <c r="L1003">
        <v>1</v>
      </c>
      <c r="Z1003">
        <v>1</v>
      </c>
      <c r="AU1003">
        <v>1</v>
      </c>
      <c r="AW1003">
        <v>1</v>
      </c>
      <c r="BA1003">
        <f>SUM(Pre[[#This Row],[1]:[46]])</f>
        <v>4</v>
      </c>
    </row>
    <row r="1004" spans="1:53" x14ac:dyDescent="0.2">
      <c r="A1004" t="s">
        <v>50</v>
      </c>
      <c r="B1004" t="s">
        <v>6</v>
      </c>
      <c r="C1004">
        <v>6261</v>
      </c>
      <c r="D1004" t="s">
        <v>7</v>
      </c>
      <c r="E1004" t="s">
        <v>10</v>
      </c>
      <c r="F1004" t="s">
        <v>11</v>
      </c>
      <c r="G1004">
        <v>1</v>
      </c>
      <c r="Q1004">
        <v>1</v>
      </c>
      <c r="AC1004">
        <v>1</v>
      </c>
      <c r="BA1004">
        <f>SUM(Pre[[#This Row],[1]:[46]])</f>
        <v>3</v>
      </c>
    </row>
    <row r="1005" spans="1:53" x14ac:dyDescent="0.2">
      <c r="A1005" t="s">
        <v>50</v>
      </c>
      <c r="B1005" t="s">
        <v>6</v>
      </c>
      <c r="C1005">
        <v>7954</v>
      </c>
      <c r="D1005" t="s">
        <v>7</v>
      </c>
      <c r="E1005" t="s">
        <v>10</v>
      </c>
      <c r="F1005" t="s">
        <v>11</v>
      </c>
      <c r="AK1005">
        <v>1</v>
      </c>
      <c r="AV1005">
        <v>1</v>
      </c>
      <c r="BA1005">
        <f>SUM(Pre[[#This Row],[1]:[46]])</f>
        <v>2</v>
      </c>
    </row>
    <row r="1006" spans="1:53" x14ac:dyDescent="0.2">
      <c r="A1006" t="s">
        <v>50</v>
      </c>
      <c r="B1006" t="s">
        <v>6</v>
      </c>
      <c r="C1006">
        <v>11121</v>
      </c>
      <c r="D1006" t="s">
        <v>7</v>
      </c>
      <c r="E1006" t="s">
        <v>8</v>
      </c>
      <c r="F1006" t="s">
        <v>29</v>
      </c>
      <c r="G1006">
        <v>1</v>
      </c>
      <c r="K1006">
        <v>1</v>
      </c>
      <c r="P1006">
        <v>3</v>
      </c>
      <c r="AE1006">
        <v>1</v>
      </c>
      <c r="AS1006">
        <v>2</v>
      </c>
      <c r="AW1006">
        <v>1</v>
      </c>
      <c r="BA1006">
        <f>SUM(Pre[[#This Row],[1]:[46]])</f>
        <v>9</v>
      </c>
    </row>
    <row r="1007" spans="1:53" x14ac:dyDescent="0.2">
      <c r="A1007" t="s">
        <v>50</v>
      </c>
      <c r="B1007" t="s">
        <v>6</v>
      </c>
      <c r="C1007">
        <v>20484</v>
      </c>
      <c r="D1007" t="s">
        <v>7</v>
      </c>
      <c r="E1007" t="s">
        <v>8</v>
      </c>
      <c r="F1007" t="s">
        <v>23</v>
      </c>
      <c r="N1007">
        <v>1</v>
      </c>
      <c r="U1007">
        <v>1</v>
      </c>
      <c r="AH1007">
        <v>2</v>
      </c>
      <c r="AW1007">
        <v>3</v>
      </c>
      <c r="BA1007">
        <f>SUM(Pre[[#This Row],[1]:[46]])</f>
        <v>7</v>
      </c>
    </row>
    <row r="1008" spans="1:53" x14ac:dyDescent="0.2">
      <c r="A1008" t="s">
        <v>50</v>
      </c>
      <c r="B1008" t="s">
        <v>6</v>
      </c>
      <c r="C1008">
        <v>31884</v>
      </c>
      <c r="D1008" t="s">
        <v>7</v>
      </c>
      <c r="E1008" t="s">
        <v>14</v>
      </c>
      <c r="F1008" t="s">
        <v>19</v>
      </c>
      <c r="I1008">
        <v>1</v>
      </c>
      <c r="J1008">
        <v>1</v>
      </c>
      <c r="L1008">
        <v>1</v>
      </c>
      <c r="Q1008">
        <v>4</v>
      </c>
      <c r="U1008">
        <v>1</v>
      </c>
      <c r="AD1008">
        <v>1</v>
      </c>
      <c r="AQ1008">
        <v>1</v>
      </c>
      <c r="AY1008">
        <v>1</v>
      </c>
      <c r="BA1008">
        <f>SUM(Pre[[#This Row],[1]:[46]])</f>
        <v>11</v>
      </c>
    </row>
    <row r="1009" spans="1:53" x14ac:dyDescent="0.2">
      <c r="A1009" t="s">
        <v>50</v>
      </c>
      <c r="B1009" t="s">
        <v>6</v>
      </c>
      <c r="C1009">
        <v>31884</v>
      </c>
      <c r="D1009" t="s">
        <v>7</v>
      </c>
      <c r="E1009" t="s">
        <v>14</v>
      </c>
      <c r="F1009" t="s">
        <v>21</v>
      </c>
      <c r="I1009">
        <v>1</v>
      </c>
      <c r="Q1009">
        <v>2</v>
      </c>
      <c r="BA1009">
        <f>SUM(Pre[[#This Row],[1]:[46]])</f>
        <v>3</v>
      </c>
    </row>
    <row r="1010" spans="1:53" x14ac:dyDescent="0.2">
      <c r="A1010" t="s">
        <v>50</v>
      </c>
      <c r="B1010" t="s">
        <v>6</v>
      </c>
      <c r="C1010">
        <v>6162</v>
      </c>
      <c r="D1010" t="s">
        <v>22</v>
      </c>
      <c r="E1010" t="s">
        <v>40</v>
      </c>
      <c r="F1010" t="s">
        <v>41</v>
      </c>
      <c r="AC1010">
        <v>1</v>
      </c>
      <c r="BA1010">
        <f>SUM(Pre[[#This Row],[1]:[46]])</f>
        <v>1</v>
      </c>
    </row>
    <row r="1011" spans="1:53" x14ac:dyDescent="0.2">
      <c r="A1011" t="s">
        <v>50</v>
      </c>
      <c r="B1011" t="s">
        <v>6</v>
      </c>
      <c r="C1011">
        <v>6162</v>
      </c>
      <c r="D1011" t="s">
        <v>22</v>
      </c>
      <c r="E1011" t="s">
        <v>8</v>
      </c>
      <c r="F1011" t="s">
        <v>29</v>
      </c>
      <c r="AJ1011">
        <v>1</v>
      </c>
      <c r="AV1011">
        <v>1</v>
      </c>
      <c r="BA1011">
        <f>SUM(Pre[[#This Row],[1]:[46]])</f>
        <v>2</v>
      </c>
    </row>
    <row r="1012" spans="1:53" x14ac:dyDescent="0.2">
      <c r="A1012" t="s">
        <v>50</v>
      </c>
      <c r="B1012" t="s">
        <v>6</v>
      </c>
      <c r="C1012">
        <v>20999</v>
      </c>
      <c r="D1012" t="s">
        <v>22</v>
      </c>
      <c r="E1012" t="s">
        <v>8</v>
      </c>
      <c r="F1012" t="s">
        <v>29</v>
      </c>
      <c r="H1012">
        <v>1</v>
      </c>
      <c r="M1012">
        <v>1</v>
      </c>
      <c r="R1012">
        <v>1</v>
      </c>
      <c r="X1012">
        <v>1</v>
      </c>
      <c r="AD1012">
        <v>1</v>
      </c>
      <c r="AI1012">
        <v>1</v>
      </c>
      <c r="AN1012">
        <v>1</v>
      </c>
      <c r="AR1012">
        <v>1</v>
      </c>
      <c r="AW1012">
        <v>1</v>
      </c>
      <c r="BA1012">
        <f>SUM(Pre[[#This Row],[1]:[46]])</f>
        <v>9</v>
      </c>
    </row>
    <row r="1013" spans="1:53" x14ac:dyDescent="0.2">
      <c r="A1013" t="s">
        <v>50</v>
      </c>
      <c r="B1013" t="s">
        <v>6</v>
      </c>
      <c r="C1013">
        <v>5843</v>
      </c>
      <c r="D1013" t="s">
        <v>7</v>
      </c>
      <c r="E1013" t="s">
        <v>14</v>
      </c>
      <c r="F1013" t="s">
        <v>35</v>
      </c>
      <c r="G1013">
        <v>1</v>
      </c>
      <c r="M1013">
        <v>1</v>
      </c>
      <c r="Q1013">
        <v>1</v>
      </c>
      <c r="X1013">
        <v>1</v>
      </c>
      <c r="AE1013">
        <v>1</v>
      </c>
      <c r="AK1013">
        <v>1</v>
      </c>
      <c r="AP1013">
        <v>1</v>
      </c>
      <c r="AZ1013">
        <v>1</v>
      </c>
      <c r="BA1013">
        <f>SUM(Pre[[#This Row],[1]:[46]])</f>
        <v>8</v>
      </c>
    </row>
    <row r="1014" spans="1:53" x14ac:dyDescent="0.2">
      <c r="A1014" t="s">
        <v>50</v>
      </c>
      <c r="B1014" t="s">
        <v>6</v>
      </c>
      <c r="C1014">
        <v>8032</v>
      </c>
      <c r="D1014" t="s">
        <v>7</v>
      </c>
      <c r="E1014" t="s">
        <v>14</v>
      </c>
      <c r="F1014" t="s">
        <v>21</v>
      </c>
      <c r="K1014">
        <v>1</v>
      </c>
      <c r="L1014">
        <v>1</v>
      </c>
      <c r="W1014">
        <v>1</v>
      </c>
      <c r="AP1014">
        <v>1</v>
      </c>
      <c r="BA1014">
        <f>SUM(Pre[[#This Row],[1]:[46]])</f>
        <v>4</v>
      </c>
    </row>
    <row r="1015" spans="1:53" x14ac:dyDescent="0.2">
      <c r="A1015" t="s">
        <v>50</v>
      </c>
      <c r="B1015" t="s">
        <v>6</v>
      </c>
      <c r="C1015">
        <v>22889</v>
      </c>
      <c r="D1015" t="s">
        <v>7</v>
      </c>
      <c r="E1015" t="s">
        <v>14</v>
      </c>
      <c r="F1015" t="s">
        <v>21</v>
      </c>
      <c r="H1015">
        <v>1</v>
      </c>
      <c r="L1015">
        <v>1</v>
      </c>
      <c r="P1015">
        <v>1</v>
      </c>
      <c r="V1015">
        <v>1</v>
      </c>
      <c r="Z1015">
        <v>1</v>
      </c>
      <c r="AC1015">
        <v>1</v>
      </c>
      <c r="AH1015">
        <v>1</v>
      </c>
      <c r="AL1015">
        <v>1</v>
      </c>
      <c r="AP1015">
        <v>1</v>
      </c>
      <c r="AU1015">
        <v>1</v>
      </c>
      <c r="AX1015">
        <v>1</v>
      </c>
      <c r="BA1015">
        <f>SUM(Pre[[#This Row],[1]:[46]])</f>
        <v>11</v>
      </c>
    </row>
    <row r="1016" spans="1:53" x14ac:dyDescent="0.2">
      <c r="A1016" t="s">
        <v>50</v>
      </c>
      <c r="B1016" t="s">
        <v>6</v>
      </c>
      <c r="C1016">
        <v>3132</v>
      </c>
      <c r="D1016" t="s">
        <v>7</v>
      </c>
      <c r="E1016" t="s">
        <v>10</v>
      </c>
      <c r="F1016" t="s">
        <v>11</v>
      </c>
      <c r="J1016">
        <v>2</v>
      </c>
      <c r="K1016">
        <v>1</v>
      </c>
      <c r="W1016">
        <v>1</v>
      </c>
      <c r="AK1016">
        <v>2</v>
      </c>
      <c r="AX1016">
        <v>2</v>
      </c>
      <c r="BA1016">
        <f>SUM(Pre[[#This Row],[1]:[46]])</f>
        <v>8</v>
      </c>
    </row>
    <row r="1017" spans="1:53" x14ac:dyDescent="0.2">
      <c r="A1017" t="s">
        <v>50</v>
      </c>
      <c r="B1017" t="s">
        <v>6</v>
      </c>
      <c r="C1017">
        <v>2782</v>
      </c>
      <c r="D1017" t="s">
        <v>7</v>
      </c>
      <c r="E1017" t="s">
        <v>8</v>
      </c>
      <c r="F1017" t="s">
        <v>30</v>
      </c>
      <c r="R1017">
        <v>1</v>
      </c>
      <c r="AE1017">
        <v>1</v>
      </c>
      <c r="AR1017">
        <v>1</v>
      </c>
      <c r="BA1017">
        <f>SUM(Pre[[#This Row],[1]:[46]])</f>
        <v>3</v>
      </c>
    </row>
    <row r="1018" spans="1:53" x14ac:dyDescent="0.2">
      <c r="A1018" t="s">
        <v>50</v>
      </c>
      <c r="B1018" t="s">
        <v>6</v>
      </c>
      <c r="C1018">
        <v>5314</v>
      </c>
      <c r="D1018" t="s">
        <v>7</v>
      </c>
      <c r="E1018" t="s">
        <v>8</v>
      </c>
      <c r="F1018" t="s">
        <v>23</v>
      </c>
      <c r="J1018">
        <v>1</v>
      </c>
      <c r="K1018">
        <v>1</v>
      </c>
      <c r="Y1018">
        <v>1</v>
      </c>
      <c r="AK1018">
        <v>1</v>
      </c>
      <c r="AS1018">
        <v>1</v>
      </c>
      <c r="AZ1018">
        <v>1</v>
      </c>
      <c r="BA1018">
        <f>SUM(Pre[[#This Row],[1]:[46]])</f>
        <v>6</v>
      </c>
    </row>
    <row r="1019" spans="1:53" x14ac:dyDescent="0.2">
      <c r="A1019" t="s">
        <v>50</v>
      </c>
      <c r="B1019" t="s">
        <v>6</v>
      </c>
      <c r="C1019">
        <v>6920</v>
      </c>
      <c r="D1019" t="s">
        <v>7</v>
      </c>
      <c r="E1019" t="s">
        <v>8</v>
      </c>
      <c r="F1019" t="s">
        <v>23</v>
      </c>
      <c r="O1019">
        <v>1</v>
      </c>
      <c r="S1019">
        <v>1</v>
      </c>
      <c r="W1019">
        <v>1</v>
      </c>
      <c r="AB1019">
        <v>1</v>
      </c>
      <c r="AF1019">
        <v>1</v>
      </c>
      <c r="AJ1019">
        <v>1</v>
      </c>
      <c r="AO1019">
        <v>1</v>
      </c>
      <c r="AQ1019">
        <v>1</v>
      </c>
      <c r="AW1019">
        <v>1</v>
      </c>
      <c r="BA1019">
        <f>SUM(Pre[[#This Row],[1]:[46]])</f>
        <v>9</v>
      </c>
    </row>
    <row r="1020" spans="1:53" x14ac:dyDescent="0.2">
      <c r="A1020" t="s">
        <v>50</v>
      </c>
      <c r="B1020" t="s">
        <v>6</v>
      </c>
      <c r="C1020">
        <v>28328</v>
      </c>
      <c r="D1020" t="s">
        <v>7</v>
      </c>
      <c r="E1020" t="s">
        <v>8</v>
      </c>
      <c r="F1020" t="s">
        <v>23</v>
      </c>
      <c r="AV1020">
        <v>1</v>
      </c>
      <c r="BA1020">
        <f>SUM(Pre[[#This Row],[1]:[46]])</f>
        <v>1</v>
      </c>
    </row>
    <row r="1021" spans="1:53" x14ac:dyDescent="0.2">
      <c r="A1021" t="s">
        <v>50</v>
      </c>
      <c r="B1021" t="s">
        <v>6</v>
      </c>
      <c r="C1021">
        <v>5588</v>
      </c>
      <c r="D1021" t="s">
        <v>22</v>
      </c>
      <c r="E1021" t="s">
        <v>8</v>
      </c>
      <c r="F1021" t="s">
        <v>23</v>
      </c>
      <c r="K1021">
        <v>1</v>
      </c>
      <c r="P1021">
        <v>1</v>
      </c>
      <c r="Z1021">
        <v>1</v>
      </c>
      <c r="AN1021">
        <v>1</v>
      </c>
      <c r="AQ1021">
        <v>1</v>
      </c>
      <c r="AS1021">
        <v>1</v>
      </c>
      <c r="AX1021">
        <v>1</v>
      </c>
      <c r="BA1021">
        <f>SUM(Pre[[#This Row],[1]:[46]])</f>
        <v>7</v>
      </c>
    </row>
    <row r="1022" spans="1:53" x14ac:dyDescent="0.2">
      <c r="A1022" t="s">
        <v>50</v>
      </c>
      <c r="B1022" t="s">
        <v>6</v>
      </c>
      <c r="C1022">
        <v>20320</v>
      </c>
      <c r="D1022" t="s">
        <v>22</v>
      </c>
      <c r="E1022" t="s">
        <v>8</v>
      </c>
      <c r="F1022" t="s">
        <v>23</v>
      </c>
      <c r="AB1022">
        <v>1</v>
      </c>
      <c r="AI1022">
        <v>1</v>
      </c>
      <c r="BA1022">
        <f>SUM(Pre[[#This Row],[1]:[46]])</f>
        <v>2</v>
      </c>
    </row>
    <row r="1023" spans="1:53" x14ac:dyDescent="0.2">
      <c r="A1023" t="s">
        <v>50</v>
      </c>
      <c r="B1023" t="s">
        <v>6</v>
      </c>
      <c r="C1023">
        <v>2408</v>
      </c>
      <c r="D1023" t="s">
        <v>7</v>
      </c>
      <c r="E1023" t="s">
        <v>8</v>
      </c>
      <c r="F1023" t="s">
        <v>23</v>
      </c>
      <c r="J1023">
        <v>1</v>
      </c>
      <c r="U1023">
        <v>1</v>
      </c>
      <c r="X1023">
        <v>1</v>
      </c>
      <c r="AD1023">
        <v>1</v>
      </c>
      <c r="AI1023">
        <v>1</v>
      </c>
      <c r="AN1023">
        <v>1</v>
      </c>
      <c r="BA1023">
        <f>SUM(Pre[[#This Row],[1]:[46]])</f>
        <v>6</v>
      </c>
    </row>
    <row r="1024" spans="1:53" x14ac:dyDescent="0.2">
      <c r="A1024" t="s">
        <v>50</v>
      </c>
      <c r="B1024" t="s">
        <v>6</v>
      </c>
      <c r="C1024">
        <v>5705</v>
      </c>
      <c r="D1024" t="s">
        <v>7</v>
      </c>
      <c r="E1024" t="s">
        <v>8</v>
      </c>
      <c r="F1024" t="s">
        <v>23</v>
      </c>
      <c r="G1024">
        <v>1</v>
      </c>
      <c r="P1024">
        <v>1</v>
      </c>
      <c r="Y1024">
        <v>1</v>
      </c>
      <c r="AL1024">
        <v>3</v>
      </c>
      <c r="AN1024">
        <v>3</v>
      </c>
      <c r="AX1024">
        <v>1</v>
      </c>
      <c r="BA1024">
        <f>SUM(Pre[[#This Row],[1]:[46]])</f>
        <v>10</v>
      </c>
    </row>
    <row r="1025" spans="1:53" x14ac:dyDescent="0.2">
      <c r="A1025" t="s">
        <v>50</v>
      </c>
      <c r="B1025" t="s">
        <v>6</v>
      </c>
      <c r="C1025">
        <v>7954</v>
      </c>
      <c r="D1025" t="s">
        <v>7</v>
      </c>
      <c r="E1025" t="s">
        <v>8</v>
      </c>
      <c r="F1025" t="s">
        <v>23</v>
      </c>
      <c r="U1025">
        <v>2</v>
      </c>
      <c r="W1025">
        <v>1</v>
      </c>
      <c r="AI1025">
        <v>1</v>
      </c>
      <c r="AV1025">
        <v>1</v>
      </c>
      <c r="BA1025">
        <f>SUM(Pre[[#This Row],[1]:[46]])</f>
        <v>5</v>
      </c>
    </row>
    <row r="1026" spans="1:53" x14ac:dyDescent="0.2">
      <c r="A1026" t="s">
        <v>50</v>
      </c>
      <c r="B1026" t="s">
        <v>6</v>
      </c>
      <c r="C1026">
        <v>31884</v>
      </c>
      <c r="D1026" t="s">
        <v>7</v>
      </c>
      <c r="E1026" t="s">
        <v>8</v>
      </c>
      <c r="F1026" t="s">
        <v>29</v>
      </c>
      <c r="U1026">
        <v>1</v>
      </c>
      <c r="AD1026">
        <v>1</v>
      </c>
      <c r="AJ1026">
        <v>1</v>
      </c>
      <c r="AW1026">
        <v>1</v>
      </c>
      <c r="BA1026">
        <f>SUM(Pre[[#This Row],[1]:[46]])</f>
        <v>4</v>
      </c>
    </row>
    <row r="1027" spans="1:53" x14ac:dyDescent="0.2">
      <c r="A1027" t="s">
        <v>51</v>
      </c>
      <c r="B1027" t="s">
        <v>6</v>
      </c>
      <c r="C1027">
        <v>39</v>
      </c>
      <c r="D1027" t="s">
        <v>7</v>
      </c>
      <c r="E1027" t="s">
        <v>10</v>
      </c>
      <c r="F1027" t="s">
        <v>11</v>
      </c>
      <c r="BA1027">
        <f>SUM(Pre[[#This Row],[1]:[46]])</f>
        <v>0</v>
      </c>
    </row>
    <row r="1028" spans="1:53" x14ac:dyDescent="0.2">
      <c r="A1028" t="s">
        <v>51</v>
      </c>
      <c r="B1028" t="s">
        <v>6</v>
      </c>
      <c r="C1028">
        <v>356</v>
      </c>
      <c r="D1028" t="s">
        <v>7</v>
      </c>
      <c r="E1028" t="s">
        <v>8</v>
      </c>
      <c r="F1028" t="s">
        <v>23</v>
      </c>
      <c r="I1028">
        <v>1</v>
      </c>
      <c r="M1028">
        <v>1</v>
      </c>
      <c r="Q1028">
        <v>1</v>
      </c>
      <c r="U1028">
        <v>1</v>
      </c>
      <c r="Y1028">
        <v>1</v>
      </c>
      <c r="AD1028">
        <v>1</v>
      </c>
      <c r="AH1028">
        <v>1</v>
      </c>
      <c r="AL1028">
        <v>1</v>
      </c>
      <c r="AP1028">
        <v>1</v>
      </c>
      <c r="AT1028">
        <v>1</v>
      </c>
      <c r="AZ1028">
        <v>2</v>
      </c>
      <c r="BA1028">
        <f>SUM(Pre[[#This Row],[1]:[46]])</f>
        <v>12</v>
      </c>
    </row>
    <row r="1029" spans="1:53" x14ac:dyDescent="0.2">
      <c r="A1029" t="s">
        <v>51</v>
      </c>
      <c r="B1029" t="s">
        <v>6</v>
      </c>
      <c r="C1029">
        <v>762</v>
      </c>
      <c r="D1029" t="s">
        <v>7</v>
      </c>
      <c r="E1029" t="s">
        <v>37</v>
      </c>
      <c r="F1029" t="s">
        <v>38</v>
      </c>
      <c r="P1029">
        <v>1</v>
      </c>
      <c r="AB1029">
        <v>1</v>
      </c>
      <c r="AP1029">
        <v>1</v>
      </c>
      <c r="BA1029">
        <f>SUM(Pre[[#This Row],[1]:[46]])</f>
        <v>3</v>
      </c>
    </row>
    <row r="1030" spans="1:53" x14ac:dyDescent="0.2">
      <c r="A1030" t="s">
        <v>51</v>
      </c>
      <c r="B1030" t="s">
        <v>6</v>
      </c>
      <c r="C1030">
        <v>1242</v>
      </c>
      <c r="D1030" t="s">
        <v>7</v>
      </c>
      <c r="E1030" t="s">
        <v>8</v>
      </c>
      <c r="F1030" t="s">
        <v>23</v>
      </c>
      <c r="K1030">
        <v>1</v>
      </c>
      <c r="R1030">
        <v>1</v>
      </c>
      <c r="U1030">
        <v>1</v>
      </c>
      <c r="BA1030">
        <f>SUM(Pre[[#This Row],[1]:[46]])</f>
        <v>3</v>
      </c>
    </row>
    <row r="1031" spans="1:53" x14ac:dyDescent="0.2">
      <c r="A1031" t="s">
        <v>51</v>
      </c>
      <c r="B1031" t="s">
        <v>6</v>
      </c>
      <c r="C1031">
        <v>1357</v>
      </c>
      <c r="D1031" t="s">
        <v>7</v>
      </c>
      <c r="E1031" t="s">
        <v>14</v>
      </c>
      <c r="F1031" t="s">
        <v>19</v>
      </c>
      <c r="BA1031">
        <f>SUM(Pre[[#This Row],[1]:[46]])</f>
        <v>0</v>
      </c>
    </row>
    <row r="1032" spans="1:53" x14ac:dyDescent="0.2">
      <c r="A1032" t="s">
        <v>51</v>
      </c>
      <c r="B1032" t="s">
        <v>6</v>
      </c>
      <c r="C1032">
        <v>2354</v>
      </c>
      <c r="D1032" t="s">
        <v>7</v>
      </c>
      <c r="E1032" t="s">
        <v>14</v>
      </c>
      <c r="F1032" t="s">
        <v>21</v>
      </c>
      <c r="M1032">
        <v>1</v>
      </c>
      <c r="AP1032">
        <v>2</v>
      </c>
      <c r="BA1032">
        <f>SUM(Pre[[#This Row],[1]:[46]])</f>
        <v>3</v>
      </c>
    </row>
    <row r="1033" spans="1:53" x14ac:dyDescent="0.2">
      <c r="A1033" t="s">
        <v>51</v>
      </c>
      <c r="B1033" t="s">
        <v>6</v>
      </c>
      <c r="C1033">
        <v>3758</v>
      </c>
      <c r="D1033" t="s">
        <v>7</v>
      </c>
      <c r="E1033" t="s">
        <v>8</v>
      </c>
      <c r="F1033" t="s">
        <v>23</v>
      </c>
      <c r="O1033">
        <v>1</v>
      </c>
      <c r="AD1033">
        <v>1</v>
      </c>
      <c r="AQ1033">
        <v>1</v>
      </c>
      <c r="BA1033">
        <f>SUM(Pre[[#This Row],[1]:[46]])</f>
        <v>3</v>
      </c>
    </row>
    <row r="1034" spans="1:53" x14ac:dyDescent="0.2">
      <c r="A1034" t="s">
        <v>51</v>
      </c>
      <c r="B1034" t="s">
        <v>6</v>
      </c>
      <c r="C1034">
        <v>4116</v>
      </c>
      <c r="D1034" t="s">
        <v>7</v>
      </c>
      <c r="E1034" t="s">
        <v>10</v>
      </c>
      <c r="F1034" t="s">
        <v>16</v>
      </c>
      <c r="R1034">
        <v>1</v>
      </c>
      <c r="BA1034">
        <f>SUM(Pre[[#This Row],[1]:[46]])</f>
        <v>1</v>
      </c>
    </row>
    <row r="1035" spans="1:53" x14ac:dyDescent="0.2">
      <c r="A1035" t="s">
        <v>51</v>
      </c>
      <c r="B1035" t="s">
        <v>6</v>
      </c>
      <c r="C1035">
        <v>5213</v>
      </c>
      <c r="D1035" t="s">
        <v>7</v>
      </c>
      <c r="E1035" t="s">
        <v>8</v>
      </c>
      <c r="F1035" t="s">
        <v>9</v>
      </c>
      <c r="O1035">
        <v>1</v>
      </c>
      <c r="AC1035">
        <v>1</v>
      </c>
      <c r="AQ1035">
        <v>1</v>
      </c>
      <c r="BA1035">
        <f>SUM(Pre[[#This Row],[1]:[46]])</f>
        <v>3</v>
      </c>
    </row>
    <row r="1036" spans="1:53" x14ac:dyDescent="0.2">
      <c r="A1036" t="s">
        <v>51</v>
      </c>
      <c r="B1036" t="s">
        <v>6</v>
      </c>
      <c r="C1036">
        <v>5967</v>
      </c>
      <c r="D1036" t="s">
        <v>7</v>
      </c>
      <c r="E1036" t="s">
        <v>14</v>
      </c>
      <c r="F1036" t="s">
        <v>20</v>
      </c>
      <c r="AA1036">
        <v>1</v>
      </c>
      <c r="AL1036">
        <v>1</v>
      </c>
      <c r="AY1036">
        <v>1</v>
      </c>
      <c r="BA1036">
        <f>SUM(Pre[[#This Row],[1]:[46]])</f>
        <v>3</v>
      </c>
    </row>
    <row r="1037" spans="1:53" x14ac:dyDescent="0.2">
      <c r="A1037" t="s">
        <v>51</v>
      </c>
      <c r="B1037" t="s">
        <v>6</v>
      </c>
      <c r="C1037">
        <v>8317</v>
      </c>
      <c r="D1037" t="s">
        <v>7</v>
      </c>
      <c r="E1037" t="s">
        <v>8</v>
      </c>
      <c r="F1037" t="s">
        <v>30</v>
      </c>
      <c r="X1037">
        <v>1</v>
      </c>
      <c r="AC1037">
        <v>1</v>
      </c>
      <c r="AG1037">
        <v>1</v>
      </c>
      <c r="AL1037">
        <v>2</v>
      </c>
      <c r="AP1037">
        <v>1</v>
      </c>
      <c r="AU1037">
        <v>1</v>
      </c>
      <c r="AY1037">
        <v>1</v>
      </c>
      <c r="BA1037">
        <f>SUM(Pre[[#This Row],[1]:[46]])</f>
        <v>8</v>
      </c>
    </row>
    <row r="1038" spans="1:53" x14ac:dyDescent="0.2">
      <c r="A1038" t="s">
        <v>51</v>
      </c>
      <c r="B1038" t="s">
        <v>6</v>
      </c>
      <c r="C1038">
        <v>8533</v>
      </c>
      <c r="D1038" t="s">
        <v>7</v>
      </c>
      <c r="E1038" t="s">
        <v>14</v>
      </c>
      <c r="F1038" t="s">
        <v>20</v>
      </c>
      <c r="I1038">
        <v>1</v>
      </c>
      <c r="M1038">
        <v>1</v>
      </c>
      <c r="Q1038">
        <v>1</v>
      </c>
      <c r="U1038">
        <v>1</v>
      </c>
      <c r="Y1038">
        <v>1</v>
      </c>
      <c r="AC1038">
        <v>1</v>
      </c>
      <c r="AG1038">
        <v>1</v>
      </c>
      <c r="AJ1038">
        <v>1</v>
      </c>
      <c r="AN1038">
        <v>1</v>
      </c>
      <c r="AR1038">
        <v>1</v>
      </c>
      <c r="AV1038">
        <v>1</v>
      </c>
      <c r="BA1038">
        <f>SUM(Pre[[#This Row],[1]:[46]])</f>
        <v>11</v>
      </c>
    </row>
    <row r="1039" spans="1:53" x14ac:dyDescent="0.2">
      <c r="A1039" t="s">
        <v>51</v>
      </c>
      <c r="B1039" t="s">
        <v>6</v>
      </c>
      <c r="C1039">
        <v>8654</v>
      </c>
      <c r="D1039" t="s">
        <v>7</v>
      </c>
      <c r="E1039" t="s">
        <v>8</v>
      </c>
      <c r="F1039" t="s">
        <v>9</v>
      </c>
      <c r="I1039">
        <v>1</v>
      </c>
      <c r="L1039">
        <v>1</v>
      </c>
      <c r="R1039">
        <v>1</v>
      </c>
      <c r="AC1039">
        <v>1</v>
      </c>
      <c r="AO1039">
        <v>2</v>
      </c>
      <c r="BA1039">
        <f>SUM(Pre[[#This Row],[1]:[46]])</f>
        <v>6</v>
      </c>
    </row>
    <row r="1040" spans="1:53" x14ac:dyDescent="0.2">
      <c r="A1040" t="s">
        <v>51</v>
      </c>
      <c r="B1040" t="s">
        <v>6</v>
      </c>
      <c r="C1040">
        <v>10401</v>
      </c>
      <c r="D1040" t="s">
        <v>7</v>
      </c>
      <c r="E1040" t="s">
        <v>14</v>
      </c>
      <c r="F1040" t="s">
        <v>19</v>
      </c>
      <c r="BA1040">
        <f>SUM(Pre[[#This Row],[1]:[46]])</f>
        <v>0</v>
      </c>
    </row>
    <row r="1041" spans="1:53" x14ac:dyDescent="0.2">
      <c r="A1041" t="s">
        <v>51</v>
      </c>
      <c r="B1041" t="s">
        <v>6</v>
      </c>
      <c r="C1041">
        <v>16768</v>
      </c>
      <c r="D1041" t="s">
        <v>7</v>
      </c>
      <c r="E1041" t="s">
        <v>14</v>
      </c>
      <c r="F1041" t="s">
        <v>20</v>
      </c>
      <c r="I1041">
        <v>1</v>
      </c>
      <c r="AI1041">
        <v>2</v>
      </c>
      <c r="BA1041">
        <f>SUM(Pre[[#This Row],[1]:[46]])</f>
        <v>3</v>
      </c>
    </row>
    <row r="1042" spans="1:53" x14ac:dyDescent="0.2">
      <c r="A1042" t="s">
        <v>51</v>
      </c>
      <c r="B1042" t="s">
        <v>6</v>
      </c>
      <c r="C1042">
        <v>19123</v>
      </c>
      <c r="D1042" t="s">
        <v>7</v>
      </c>
      <c r="E1042" t="s">
        <v>10</v>
      </c>
      <c r="F1042" t="s">
        <v>11</v>
      </c>
      <c r="BA1042">
        <f>SUM(Pre[[#This Row],[1]:[46]])</f>
        <v>0</v>
      </c>
    </row>
    <row r="1043" spans="1:53" x14ac:dyDescent="0.2">
      <c r="A1043" t="s">
        <v>51</v>
      </c>
      <c r="B1043" t="s">
        <v>6</v>
      </c>
      <c r="C1043">
        <v>19666</v>
      </c>
      <c r="D1043" t="s">
        <v>7</v>
      </c>
      <c r="E1043" t="s">
        <v>8</v>
      </c>
      <c r="F1043" t="s">
        <v>23</v>
      </c>
      <c r="N1043">
        <v>2</v>
      </c>
      <c r="R1043">
        <v>1</v>
      </c>
      <c r="V1043">
        <v>1</v>
      </c>
      <c r="AE1043">
        <v>1</v>
      </c>
      <c r="AQ1043">
        <v>1</v>
      </c>
      <c r="BA1043">
        <f>SUM(Pre[[#This Row],[1]:[46]])</f>
        <v>6</v>
      </c>
    </row>
    <row r="1044" spans="1:53" x14ac:dyDescent="0.2">
      <c r="A1044" t="s">
        <v>51</v>
      </c>
      <c r="B1044" t="s">
        <v>6</v>
      </c>
      <c r="C1044">
        <v>20842</v>
      </c>
      <c r="D1044" t="s">
        <v>7</v>
      </c>
      <c r="E1044" t="s">
        <v>8</v>
      </c>
      <c r="F1044" t="s">
        <v>9</v>
      </c>
      <c r="H1044">
        <v>1</v>
      </c>
      <c r="V1044">
        <v>1</v>
      </c>
      <c r="AG1044">
        <v>1</v>
      </c>
      <c r="AU1044">
        <v>1</v>
      </c>
      <c r="BA1044">
        <f>SUM(Pre[[#This Row],[1]:[46]])</f>
        <v>4</v>
      </c>
    </row>
    <row r="1045" spans="1:53" x14ac:dyDescent="0.2">
      <c r="A1045" t="s">
        <v>51</v>
      </c>
      <c r="B1045" t="s">
        <v>6</v>
      </c>
      <c r="C1045">
        <v>23057</v>
      </c>
      <c r="D1045" t="s">
        <v>7</v>
      </c>
      <c r="E1045" t="s">
        <v>8</v>
      </c>
      <c r="F1045" t="s">
        <v>34</v>
      </c>
      <c r="Q1045">
        <v>1</v>
      </c>
      <c r="AG1045">
        <v>1</v>
      </c>
      <c r="AV1045">
        <v>1</v>
      </c>
      <c r="BA1045">
        <f>SUM(Pre[[#This Row],[1]:[46]])</f>
        <v>3</v>
      </c>
    </row>
    <row r="1046" spans="1:53" x14ac:dyDescent="0.2">
      <c r="A1046" t="s">
        <v>51</v>
      </c>
      <c r="B1046" t="s">
        <v>6</v>
      </c>
      <c r="C1046">
        <v>26149</v>
      </c>
      <c r="D1046" t="s">
        <v>7</v>
      </c>
      <c r="E1046" t="s">
        <v>8</v>
      </c>
      <c r="F1046" t="s">
        <v>9</v>
      </c>
      <c r="Q1046">
        <v>1</v>
      </c>
      <c r="BA1046">
        <f>SUM(Pre[[#This Row],[1]:[46]])</f>
        <v>1</v>
      </c>
    </row>
    <row r="1047" spans="1:53" x14ac:dyDescent="0.2">
      <c r="A1047" t="s">
        <v>51</v>
      </c>
      <c r="B1047" t="s">
        <v>6</v>
      </c>
      <c r="C1047">
        <v>30317</v>
      </c>
      <c r="D1047" t="s">
        <v>7</v>
      </c>
      <c r="E1047" t="s">
        <v>10</v>
      </c>
      <c r="F1047" t="s">
        <v>11</v>
      </c>
      <c r="O1047">
        <v>1</v>
      </c>
      <c r="BA1047">
        <f>SUM(Pre[[#This Row],[1]:[46]])</f>
        <v>1</v>
      </c>
    </row>
    <row r="1048" spans="1:53" x14ac:dyDescent="0.2">
      <c r="A1048" t="s">
        <v>51</v>
      </c>
      <c r="B1048" t="s">
        <v>6</v>
      </c>
      <c r="C1048">
        <v>30426</v>
      </c>
      <c r="D1048" t="s">
        <v>7</v>
      </c>
      <c r="E1048" t="s">
        <v>10</v>
      </c>
      <c r="F1048" t="s">
        <v>11</v>
      </c>
      <c r="H1048">
        <v>1</v>
      </c>
      <c r="I1048">
        <v>1</v>
      </c>
      <c r="U1048">
        <v>1</v>
      </c>
      <c r="AN1048">
        <v>1</v>
      </c>
      <c r="AZ1048">
        <v>1</v>
      </c>
      <c r="BA1048">
        <f>SUM(Pre[[#This Row],[1]:[46]])</f>
        <v>5</v>
      </c>
    </row>
    <row r="1049" spans="1:53" x14ac:dyDescent="0.2">
      <c r="A1049" t="s">
        <v>51</v>
      </c>
      <c r="B1049" t="s">
        <v>6</v>
      </c>
      <c r="C1049">
        <v>30426</v>
      </c>
      <c r="D1049" t="s">
        <v>7</v>
      </c>
      <c r="E1049" t="s">
        <v>8</v>
      </c>
      <c r="F1049" t="s">
        <v>23</v>
      </c>
      <c r="U1049">
        <v>1</v>
      </c>
      <c r="AC1049">
        <v>1</v>
      </c>
      <c r="AN1049">
        <v>1</v>
      </c>
      <c r="AZ1049">
        <v>1</v>
      </c>
      <c r="BA1049">
        <f>SUM(Pre[[#This Row],[1]:[46]])</f>
        <v>4</v>
      </c>
    </row>
    <row r="1050" spans="1:53" x14ac:dyDescent="0.2">
      <c r="A1050" t="s">
        <v>51</v>
      </c>
      <c r="B1050" t="s">
        <v>6</v>
      </c>
      <c r="C1050">
        <v>32204</v>
      </c>
      <c r="D1050" t="s">
        <v>7</v>
      </c>
      <c r="E1050" t="s">
        <v>14</v>
      </c>
      <c r="F1050" t="s">
        <v>20</v>
      </c>
      <c r="Y1050">
        <v>1</v>
      </c>
      <c r="AD1050">
        <v>1</v>
      </c>
      <c r="AE1050">
        <v>1</v>
      </c>
      <c r="AY1050">
        <v>2</v>
      </c>
      <c r="BA1050">
        <f>SUM(Pre[[#This Row],[1]:[46]])</f>
        <v>5</v>
      </c>
    </row>
    <row r="1051" spans="1:53" x14ac:dyDescent="0.2">
      <c r="A1051" t="s">
        <v>51</v>
      </c>
      <c r="B1051" t="s">
        <v>6</v>
      </c>
      <c r="C1051">
        <v>758</v>
      </c>
      <c r="D1051" t="s">
        <v>22</v>
      </c>
      <c r="E1051" t="s">
        <v>8</v>
      </c>
      <c r="F1051" t="s">
        <v>23</v>
      </c>
      <c r="S1051">
        <v>1</v>
      </c>
      <c r="AH1051">
        <v>1</v>
      </c>
      <c r="AU1051">
        <v>2</v>
      </c>
      <c r="BA1051">
        <f>SUM(Pre[[#This Row],[1]:[46]])</f>
        <v>4</v>
      </c>
    </row>
    <row r="1052" spans="1:53" x14ac:dyDescent="0.2">
      <c r="A1052" t="s">
        <v>51</v>
      </c>
      <c r="B1052" t="s">
        <v>6</v>
      </c>
      <c r="C1052">
        <v>1235</v>
      </c>
      <c r="D1052" t="s">
        <v>22</v>
      </c>
      <c r="E1052" t="s">
        <v>8</v>
      </c>
      <c r="F1052" t="s">
        <v>23</v>
      </c>
      <c r="O1052">
        <v>1</v>
      </c>
      <c r="AC1052">
        <v>1</v>
      </c>
      <c r="BA1052">
        <f>SUM(Pre[[#This Row],[1]:[46]])</f>
        <v>2</v>
      </c>
    </row>
    <row r="1053" spans="1:53" x14ac:dyDescent="0.2">
      <c r="A1053" t="s">
        <v>51</v>
      </c>
      <c r="B1053" t="s">
        <v>6</v>
      </c>
      <c r="C1053">
        <v>1356</v>
      </c>
      <c r="D1053" t="s">
        <v>22</v>
      </c>
      <c r="E1053" t="s">
        <v>8</v>
      </c>
      <c r="F1053" t="s">
        <v>29</v>
      </c>
      <c r="G1053">
        <v>1</v>
      </c>
      <c r="U1053">
        <v>1</v>
      </c>
      <c r="AH1053">
        <v>1</v>
      </c>
      <c r="AT1053">
        <v>1</v>
      </c>
      <c r="BA1053">
        <f>SUM(Pre[[#This Row],[1]:[46]])</f>
        <v>4</v>
      </c>
    </row>
    <row r="1054" spans="1:53" x14ac:dyDescent="0.2">
      <c r="A1054" t="s">
        <v>51</v>
      </c>
      <c r="B1054" t="s">
        <v>6</v>
      </c>
      <c r="C1054">
        <v>1601</v>
      </c>
      <c r="D1054" t="s">
        <v>22</v>
      </c>
      <c r="E1054" t="s">
        <v>40</v>
      </c>
      <c r="F1054" t="s">
        <v>52</v>
      </c>
      <c r="H1054">
        <v>1</v>
      </c>
      <c r="U1054">
        <v>1</v>
      </c>
      <c r="AI1054">
        <v>1</v>
      </c>
      <c r="AY1054">
        <v>1</v>
      </c>
      <c r="BA1054">
        <f>SUM(Pre[[#This Row],[1]:[46]])</f>
        <v>4</v>
      </c>
    </row>
    <row r="1055" spans="1:53" x14ac:dyDescent="0.2">
      <c r="A1055" t="s">
        <v>51</v>
      </c>
      <c r="B1055" t="s">
        <v>6</v>
      </c>
      <c r="C1055">
        <v>1601</v>
      </c>
      <c r="D1055" t="s">
        <v>22</v>
      </c>
      <c r="E1055" t="s">
        <v>8</v>
      </c>
      <c r="F1055" t="s">
        <v>30</v>
      </c>
      <c r="H1055">
        <v>1</v>
      </c>
      <c r="U1055">
        <v>1</v>
      </c>
      <c r="AI1055">
        <v>1</v>
      </c>
      <c r="AY1055">
        <v>1</v>
      </c>
      <c r="BA1055">
        <f>SUM(Pre[[#This Row],[1]:[46]])</f>
        <v>4</v>
      </c>
    </row>
    <row r="1056" spans="1:53" x14ac:dyDescent="0.2">
      <c r="A1056" t="s">
        <v>51</v>
      </c>
      <c r="B1056" t="s">
        <v>6</v>
      </c>
      <c r="C1056">
        <v>3138</v>
      </c>
      <c r="D1056" t="s">
        <v>22</v>
      </c>
      <c r="E1056" t="s">
        <v>10</v>
      </c>
      <c r="F1056" t="s">
        <v>16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f>SUM(Pre[[#This Row],[1]:[46]])</f>
        <v>46</v>
      </c>
    </row>
    <row r="1057" spans="1:53" x14ac:dyDescent="0.2">
      <c r="A1057" t="s">
        <v>51</v>
      </c>
      <c r="B1057" t="s">
        <v>6</v>
      </c>
      <c r="C1057">
        <v>3757</v>
      </c>
      <c r="D1057" t="s">
        <v>22</v>
      </c>
      <c r="E1057" t="s">
        <v>8</v>
      </c>
      <c r="F1057" t="s">
        <v>23</v>
      </c>
      <c r="H1057">
        <v>1</v>
      </c>
      <c r="W1057">
        <v>1</v>
      </c>
      <c r="AL1057">
        <v>1</v>
      </c>
      <c r="BA1057">
        <f>SUM(Pre[[#This Row],[1]:[46]])</f>
        <v>3</v>
      </c>
    </row>
    <row r="1058" spans="1:53" x14ac:dyDescent="0.2">
      <c r="A1058" t="s">
        <v>51</v>
      </c>
      <c r="B1058" t="s">
        <v>6</v>
      </c>
      <c r="C1058">
        <v>4343</v>
      </c>
      <c r="D1058" t="s">
        <v>22</v>
      </c>
      <c r="E1058" t="s">
        <v>40</v>
      </c>
      <c r="F1058" t="s">
        <v>44</v>
      </c>
      <c r="BA1058">
        <f>SUM(Pre[[#This Row],[1]:[46]])</f>
        <v>0</v>
      </c>
    </row>
    <row r="1059" spans="1:53" x14ac:dyDescent="0.2">
      <c r="A1059" t="s">
        <v>51</v>
      </c>
      <c r="B1059" t="s">
        <v>6</v>
      </c>
      <c r="C1059">
        <v>4626</v>
      </c>
      <c r="D1059" t="s">
        <v>22</v>
      </c>
      <c r="E1059" t="s">
        <v>8</v>
      </c>
      <c r="F1059" t="s">
        <v>23</v>
      </c>
      <c r="S1059">
        <v>6</v>
      </c>
      <c r="BA1059">
        <f>SUM(Pre[[#This Row],[1]:[46]])</f>
        <v>6</v>
      </c>
    </row>
    <row r="1060" spans="1:53" x14ac:dyDescent="0.2">
      <c r="A1060" t="s">
        <v>51</v>
      </c>
      <c r="B1060" t="s">
        <v>6</v>
      </c>
      <c r="C1060">
        <v>6650</v>
      </c>
      <c r="D1060" t="s">
        <v>22</v>
      </c>
      <c r="E1060" t="s">
        <v>8</v>
      </c>
      <c r="F1060" t="s">
        <v>23</v>
      </c>
      <c r="AK1060">
        <v>1</v>
      </c>
      <c r="BA1060">
        <f>SUM(Pre[[#This Row],[1]:[46]])</f>
        <v>1</v>
      </c>
    </row>
    <row r="1061" spans="1:53" x14ac:dyDescent="0.2">
      <c r="A1061" t="s">
        <v>51</v>
      </c>
      <c r="B1061" t="s">
        <v>6</v>
      </c>
      <c r="C1061">
        <v>7865</v>
      </c>
      <c r="D1061" t="s">
        <v>22</v>
      </c>
      <c r="E1061" t="s">
        <v>14</v>
      </c>
      <c r="F1061" t="s">
        <v>28</v>
      </c>
      <c r="H1061">
        <v>1</v>
      </c>
      <c r="BA1061">
        <f>SUM(Pre[[#This Row],[1]:[46]])</f>
        <v>1</v>
      </c>
    </row>
    <row r="1062" spans="1:53" x14ac:dyDescent="0.2">
      <c r="A1062" t="s">
        <v>51</v>
      </c>
      <c r="B1062" t="s">
        <v>6</v>
      </c>
      <c r="C1062">
        <v>9130</v>
      </c>
      <c r="D1062" t="s">
        <v>22</v>
      </c>
      <c r="E1062" t="s">
        <v>8</v>
      </c>
      <c r="F1062" t="s">
        <v>23</v>
      </c>
      <c r="O1062">
        <v>1</v>
      </c>
      <c r="AC1062">
        <v>2</v>
      </c>
      <c r="AO1062">
        <v>1</v>
      </c>
      <c r="BA1062">
        <f>SUM(Pre[[#This Row],[1]:[46]])</f>
        <v>4</v>
      </c>
    </row>
    <row r="1063" spans="1:53" x14ac:dyDescent="0.2">
      <c r="A1063" t="s">
        <v>51</v>
      </c>
      <c r="B1063" t="s">
        <v>6</v>
      </c>
      <c r="C1063">
        <v>11079</v>
      </c>
      <c r="D1063" t="s">
        <v>22</v>
      </c>
      <c r="E1063" t="s">
        <v>8</v>
      </c>
      <c r="F1063" t="s">
        <v>9</v>
      </c>
      <c r="L1063">
        <v>1</v>
      </c>
      <c r="AA1063">
        <v>1</v>
      </c>
      <c r="AN1063">
        <v>1</v>
      </c>
      <c r="BA1063">
        <f>SUM(Pre[[#This Row],[1]:[46]])</f>
        <v>3</v>
      </c>
    </row>
    <row r="1064" spans="1:53" x14ac:dyDescent="0.2">
      <c r="A1064" t="s">
        <v>51</v>
      </c>
      <c r="B1064" t="s">
        <v>6</v>
      </c>
      <c r="C1064">
        <v>12030</v>
      </c>
      <c r="D1064" t="s">
        <v>22</v>
      </c>
      <c r="E1064" t="s">
        <v>8</v>
      </c>
      <c r="F1064" t="s">
        <v>23</v>
      </c>
      <c r="O1064">
        <v>1</v>
      </c>
      <c r="S1064">
        <v>1</v>
      </c>
      <c r="AA1064">
        <v>1</v>
      </c>
      <c r="AN1064">
        <v>1</v>
      </c>
      <c r="BA1064">
        <f>SUM(Pre[[#This Row],[1]:[46]])</f>
        <v>4</v>
      </c>
    </row>
    <row r="1065" spans="1:53" x14ac:dyDescent="0.2">
      <c r="A1065" t="s">
        <v>51</v>
      </c>
      <c r="B1065" t="s">
        <v>6</v>
      </c>
      <c r="C1065">
        <v>12266</v>
      </c>
      <c r="D1065" t="s">
        <v>22</v>
      </c>
      <c r="E1065" t="s">
        <v>8</v>
      </c>
      <c r="F1065" t="s">
        <v>9</v>
      </c>
      <c r="H1065">
        <v>1</v>
      </c>
      <c r="T1065">
        <v>1</v>
      </c>
      <c r="AE1065">
        <v>1</v>
      </c>
      <c r="AS1065">
        <v>1</v>
      </c>
      <c r="BA1065">
        <f>SUM(Pre[[#This Row],[1]:[46]])</f>
        <v>4</v>
      </c>
    </row>
    <row r="1066" spans="1:53" x14ac:dyDescent="0.2">
      <c r="A1066" t="s">
        <v>51</v>
      </c>
      <c r="B1066" t="s">
        <v>6</v>
      </c>
      <c r="C1066">
        <v>12266</v>
      </c>
      <c r="D1066" t="s">
        <v>22</v>
      </c>
      <c r="E1066" t="s">
        <v>26</v>
      </c>
      <c r="F1066" t="s">
        <v>27</v>
      </c>
      <c r="H1066">
        <v>1</v>
      </c>
      <c r="T1066">
        <v>1</v>
      </c>
      <c r="AE1066">
        <v>1</v>
      </c>
      <c r="AS1066">
        <v>1</v>
      </c>
      <c r="BA1066">
        <f>SUM(Pre[[#This Row],[1]:[46]])</f>
        <v>4</v>
      </c>
    </row>
    <row r="1067" spans="1:53" x14ac:dyDescent="0.2">
      <c r="A1067" t="s">
        <v>51</v>
      </c>
      <c r="B1067" t="s">
        <v>6</v>
      </c>
      <c r="C1067">
        <v>19560</v>
      </c>
      <c r="D1067" t="s">
        <v>22</v>
      </c>
      <c r="E1067" t="s">
        <v>14</v>
      </c>
      <c r="F1067" t="s">
        <v>20</v>
      </c>
      <c r="H1067">
        <v>1</v>
      </c>
      <c r="U1067">
        <v>1</v>
      </c>
      <c r="BA1067">
        <f>SUM(Pre[[#This Row],[1]:[46]])</f>
        <v>2</v>
      </c>
    </row>
    <row r="1068" spans="1:53" x14ac:dyDescent="0.2">
      <c r="A1068" t="s">
        <v>51</v>
      </c>
      <c r="B1068" t="s">
        <v>6</v>
      </c>
      <c r="C1068">
        <v>29107</v>
      </c>
      <c r="D1068" t="s">
        <v>22</v>
      </c>
      <c r="E1068" t="s">
        <v>14</v>
      </c>
      <c r="F1068" t="s">
        <v>20</v>
      </c>
      <c r="O1068">
        <v>1</v>
      </c>
      <c r="Z1068">
        <v>3</v>
      </c>
      <c r="AL1068">
        <v>1</v>
      </c>
      <c r="BA1068">
        <f>SUM(Pre[[#This Row],[1]:[46]])</f>
        <v>5</v>
      </c>
    </row>
    <row r="1069" spans="1:53" x14ac:dyDescent="0.2">
      <c r="A1069" t="s">
        <v>51</v>
      </c>
      <c r="B1069" t="s">
        <v>6</v>
      </c>
      <c r="C1069">
        <v>29778</v>
      </c>
      <c r="D1069" t="s">
        <v>22</v>
      </c>
      <c r="E1069" t="s">
        <v>14</v>
      </c>
      <c r="F1069" t="s">
        <v>20</v>
      </c>
      <c r="AQ1069">
        <v>1</v>
      </c>
      <c r="BA1069">
        <f>SUM(Pre[[#This Row],[1]:[46]])</f>
        <v>1</v>
      </c>
    </row>
    <row r="1070" spans="1:53" x14ac:dyDescent="0.2">
      <c r="A1070" t="s">
        <v>51</v>
      </c>
      <c r="B1070" t="s">
        <v>6</v>
      </c>
      <c r="C1070">
        <v>30384</v>
      </c>
      <c r="D1070" t="s">
        <v>22</v>
      </c>
      <c r="E1070" t="s">
        <v>14</v>
      </c>
      <c r="F1070" t="s">
        <v>15</v>
      </c>
      <c r="Q1070">
        <v>1</v>
      </c>
      <c r="AD1070">
        <v>1</v>
      </c>
      <c r="AK1070">
        <v>1</v>
      </c>
      <c r="AO1070">
        <v>2</v>
      </c>
      <c r="BA1070">
        <f>SUM(Pre[[#This Row],[1]:[46]])</f>
        <v>5</v>
      </c>
    </row>
    <row r="1071" spans="1:53" x14ac:dyDescent="0.2">
      <c r="A1071" t="s">
        <v>51</v>
      </c>
      <c r="B1071" t="s">
        <v>6</v>
      </c>
      <c r="C1071">
        <v>32168</v>
      </c>
      <c r="D1071" t="s">
        <v>22</v>
      </c>
      <c r="E1071" t="s">
        <v>8</v>
      </c>
      <c r="F1071" t="s">
        <v>23</v>
      </c>
      <c r="S1071">
        <v>1</v>
      </c>
      <c r="AI1071">
        <v>1</v>
      </c>
      <c r="AN1071">
        <v>2</v>
      </c>
      <c r="AT1071">
        <v>1</v>
      </c>
      <c r="AX1071">
        <v>1</v>
      </c>
      <c r="BA1071">
        <f>SUM(Pre[[#This Row],[1]:[46]])</f>
        <v>6</v>
      </c>
    </row>
    <row r="1072" spans="1:53" x14ac:dyDescent="0.2">
      <c r="A1072" t="s">
        <v>51</v>
      </c>
      <c r="B1072" t="s">
        <v>6</v>
      </c>
      <c r="C1072">
        <v>416</v>
      </c>
      <c r="D1072" t="s">
        <v>7</v>
      </c>
      <c r="E1072" t="s">
        <v>14</v>
      </c>
      <c r="F1072" t="s">
        <v>20</v>
      </c>
      <c r="AA1072">
        <v>1</v>
      </c>
      <c r="BA1072">
        <f>SUM(Pre[[#This Row],[1]:[46]])</f>
        <v>1</v>
      </c>
    </row>
    <row r="1073" spans="1:53" x14ac:dyDescent="0.2">
      <c r="A1073" t="s">
        <v>51</v>
      </c>
      <c r="B1073" t="s">
        <v>6</v>
      </c>
      <c r="C1073">
        <v>600</v>
      </c>
      <c r="D1073" t="s">
        <v>7</v>
      </c>
      <c r="E1073" t="s">
        <v>17</v>
      </c>
      <c r="F1073" t="s">
        <v>18</v>
      </c>
      <c r="BA1073">
        <f>SUM(Pre[[#This Row],[1]:[46]])</f>
        <v>0</v>
      </c>
    </row>
    <row r="1074" spans="1:53" x14ac:dyDescent="0.2">
      <c r="A1074" t="s">
        <v>51</v>
      </c>
      <c r="B1074" t="s">
        <v>6</v>
      </c>
      <c r="C1074">
        <v>698</v>
      </c>
      <c r="D1074" t="s">
        <v>7</v>
      </c>
      <c r="E1074" t="s">
        <v>14</v>
      </c>
      <c r="F1074" t="s">
        <v>20</v>
      </c>
      <c r="J1074">
        <v>1</v>
      </c>
      <c r="W1074">
        <v>1</v>
      </c>
      <c r="AK1074">
        <v>1</v>
      </c>
      <c r="AM1074">
        <v>1</v>
      </c>
      <c r="AV1074">
        <v>1</v>
      </c>
      <c r="BA1074">
        <f>SUM(Pre[[#This Row],[1]:[46]])</f>
        <v>5</v>
      </c>
    </row>
    <row r="1075" spans="1:53" x14ac:dyDescent="0.2">
      <c r="A1075" t="s">
        <v>51</v>
      </c>
      <c r="B1075" t="s">
        <v>6</v>
      </c>
      <c r="C1075">
        <v>1281</v>
      </c>
      <c r="D1075" t="s">
        <v>7</v>
      </c>
      <c r="E1075" t="s">
        <v>8</v>
      </c>
      <c r="F1075" t="s">
        <v>23</v>
      </c>
      <c r="Q1075">
        <v>1</v>
      </c>
      <c r="AB1075">
        <v>1</v>
      </c>
      <c r="AO1075">
        <v>1</v>
      </c>
      <c r="BA1075">
        <f>SUM(Pre[[#This Row],[1]:[46]])</f>
        <v>3</v>
      </c>
    </row>
    <row r="1076" spans="1:53" x14ac:dyDescent="0.2">
      <c r="A1076" t="s">
        <v>51</v>
      </c>
      <c r="B1076" t="s">
        <v>6</v>
      </c>
      <c r="C1076">
        <v>1467</v>
      </c>
      <c r="D1076" t="s">
        <v>7</v>
      </c>
      <c r="E1076" t="s">
        <v>8</v>
      </c>
      <c r="F1076" t="s">
        <v>29</v>
      </c>
      <c r="O1076">
        <v>1</v>
      </c>
      <c r="P1076">
        <v>1</v>
      </c>
      <c r="R1076">
        <v>1</v>
      </c>
      <c r="S1076">
        <v>2</v>
      </c>
      <c r="U1076">
        <v>1</v>
      </c>
      <c r="W1076">
        <v>1</v>
      </c>
      <c r="Y1076">
        <v>1</v>
      </c>
      <c r="AA1076">
        <v>1</v>
      </c>
      <c r="AD1076">
        <v>1</v>
      </c>
      <c r="AL1076">
        <v>1</v>
      </c>
      <c r="AP1076">
        <v>1</v>
      </c>
      <c r="AU1076">
        <v>1</v>
      </c>
      <c r="BA1076">
        <f>SUM(Pre[[#This Row],[1]:[46]])</f>
        <v>13</v>
      </c>
    </row>
    <row r="1077" spans="1:53" x14ac:dyDescent="0.2">
      <c r="A1077" t="s">
        <v>51</v>
      </c>
      <c r="B1077" t="s">
        <v>6</v>
      </c>
      <c r="C1077">
        <v>1467</v>
      </c>
      <c r="D1077" t="s">
        <v>7</v>
      </c>
      <c r="E1077" t="s">
        <v>14</v>
      </c>
      <c r="F1077" t="s">
        <v>20</v>
      </c>
      <c r="M1077">
        <v>1</v>
      </c>
      <c r="O1077">
        <v>3</v>
      </c>
      <c r="P1077">
        <v>1</v>
      </c>
      <c r="R1077">
        <v>1</v>
      </c>
      <c r="S1077">
        <v>2</v>
      </c>
      <c r="U1077">
        <v>1</v>
      </c>
      <c r="W1077">
        <v>1</v>
      </c>
      <c r="Y1077">
        <v>1</v>
      </c>
      <c r="AA1077">
        <v>1</v>
      </c>
      <c r="AD1077">
        <v>1</v>
      </c>
      <c r="AL1077">
        <v>1</v>
      </c>
      <c r="AP1077">
        <v>2</v>
      </c>
      <c r="AU1077">
        <v>1</v>
      </c>
      <c r="BA1077">
        <f>SUM(Pre[[#This Row],[1]:[46]])</f>
        <v>17</v>
      </c>
    </row>
    <row r="1078" spans="1:53" x14ac:dyDescent="0.2">
      <c r="A1078" t="s">
        <v>51</v>
      </c>
      <c r="B1078" t="s">
        <v>6</v>
      </c>
      <c r="C1078">
        <v>2522</v>
      </c>
      <c r="D1078" t="s">
        <v>7</v>
      </c>
      <c r="E1078" t="s">
        <v>8</v>
      </c>
      <c r="F1078" t="s">
        <v>23</v>
      </c>
      <c r="J1078">
        <v>1</v>
      </c>
      <c r="M1078">
        <v>1</v>
      </c>
      <c r="Q1078">
        <v>1</v>
      </c>
      <c r="V1078">
        <v>1</v>
      </c>
      <c r="Y1078">
        <v>1</v>
      </c>
      <c r="AC1078">
        <v>1</v>
      </c>
      <c r="AG1078">
        <v>1</v>
      </c>
      <c r="AK1078">
        <v>1</v>
      </c>
      <c r="AO1078">
        <v>1</v>
      </c>
      <c r="AS1078">
        <v>1</v>
      </c>
      <c r="AW1078">
        <v>1</v>
      </c>
      <c r="BA1078">
        <f>SUM(Pre[[#This Row],[1]:[46]])</f>
        <v>11</v>
      </c>
    </row>
    <row r="1079" spans="1:53" x14ac:dyDescent="0.2">
      <c r="A1079" t="s">
        <v>51</v>
      </c>
      <c r="B1079" t="s">
        <v>6</v>
      </c>
      <c r="C1079">
        <v>2586</v>
      </c>
      <c r="D1079" t="s">
        <v>7</v>
      </c>
      <c r="E1079" t="s">
        <v>14</v>
      </c>
      <c r="F1079" t="s">
        <v>20</v>
      </c>
      <c r="AA1079">
        <v>2</v>
      </c>
      <c r="BA1079">
        <f>SUM(Pre[[#This Row],[1]:[46]])</f>
        <v>2</v>
      </c>
    </row>
    <row r="1080" spans="1:53" x14ac:dyDescent="0.2">
      <c r="A1080" t="s">
        <v>51</v>
      </c>
      <c r="B1080" t="s">
        <v>6</v>
      </c>
      <c r="C1080">
        <v>2767</v>
      </c>
      <c r="D1080" t="s">
        <v>7</v>
      </c>
      <c r="E1080" t="s">
        <v>14</v>
      </c>
      <c r="F1080" t="s">
        <v>20</v>
      </c>
      <c r="G1080">
        <v>1</v>
      </c>
      <c r="L1080">
        <v>1</v>
      </c>
      <c r="P1080">
        <v>1</v>
      </c>
      <c r="T1080">
        <v>1</v>
      </c>
      <c r="Y1080">
        <v>1</v>
      </c>
      <c r="AC1080">
        <v>1</v>
      </c>
      <c r="AG1080">
        <v>1</v>
      </c>
      <c r="AL1080">
        <v>1</v>
      </c>
      <c r="AP1080">
        <v>1</v>
      </c>
      <c r="AT1080">
        <v>1</v>
      </c>
      <c r="AY1080">
        <v>1</v>
      </c>
      <c r="BA1080">
        <f>SUM(Pre[[#This Row],[1]:[46]])</f>
        <v>11</v>
      </c>
    </row>
    <row r="1081" spans="1:53" x14ac:dyDescent="0.2">
      <c r="A1081" t="s">
        <v>51</v>
      </c>
      <c r="B1081" t="s">
        <v>6</v>
      </c>
      <c r="C1081">
        <v>2987</v>
      </c>
      <c r="D1081" t="s">
        <v>7</v>
      </c>
      <c r="E1081" t="s">
        <v>8</v>
      </c>
      <c r="F1081" t="s">
        <v>23</v>
      </c>
      <c r="G1081">
        <v>1</v>
      </c>
      <c r="U1081">
        <v>1</v>
      </c>
      <c r="AJ1081">
        <v>1</v>
      </c>
      <c r="BA1081">
        <f>SUM(Pre[[#This Row],[1]:[46]])</f>
        <v>3</v>
      </c>
    </row>
    <row r="1082" spans="1:53" x14ac:dyDescent="0.2">
      <c r="A1082" t="s">
        <v>51</v>
      </c>
      <c r="B1082" t="s">
        <v>6</v>
      </c>
      <c r="C1082">
        <v>4254</v>
      </c>
      <c r="D1082" t="s">
        <v>7</v>
      </c>
      <c r="E1082" t="s">
        <v>8</v>
      </c>
      <c r="F1082" t="s">
        <v>9</v>
      </c>
      <c r="Q1082">
        <v>1</v>
      </c>
      <c r="AC1082">
        <v>1</v>
      </c>
      <c r="BA1082">
        <f>SUM(Pre[[#This Row],[1]:[46]])</f>
        <v>2</v>
      </c>
    </row>
    <row r="1083" spans="1:53" x14ac:dyDescent="0.2">
      <c r="A1083" t="s">
        <v>51</v>
      </c>
      <c r="B1083" t="s">
        <v>6</v>
      </c>
      <c r="C1083">
        <v>5064</v>
      </c>
      <c r="D1083" t="s">
        <v>7</v>
      </c>
      <c r="E1083" t="s">
        <v>14</v>
      </c>
      <c r="F1083" t="s">
        <v>28</v>
      </c>
      <c r="G1083">
        <v>1</v>
      </c>
      <c r="K1083">
        <v>2</v>
      </c>
      <c r="M1083">
        <v>1</v>
      </c>
      <c r="O1083">
        <v>1</v>
      </c>
      <c r="S1083">
        <v>1</v>
      </c>
      <c r="X1083">
        <v>1</v>
      </c>
      <c r="AC1083">
        <v>1</v>
      </c>
      <c r="AG1083">
        <v>1</v>
      </c>
      <c r="AK1083">
        <v>1</v>
      </c>
      <c r="AO1083">
        <v>1</v>
      </c>
      <c r="AS1083">
        <v>1</v>
      </c>
      <c r="AW1083">
        <v>1</v>
      </c>
      <c r="BA1083">
        <f>SUM(Pre[[#This Row],[1]:[46]])</f>
        <v>13</v>
      </c>
    </row>
    <row r="1084" spans="1:53" x14ac:dyDescent="0.2">
      <c r="A1084" t="s">
        <v>51</v>
      </c>
      <c r="B1084" t="s">
        <v>6</v>
      </c>
      <c r="C1084">
        <v>5137</v>
      </c>
      <c r="D1084" t="s">
        <v>7</v>
      </c>
      <c r="E1084" t="s">
        <v>14</v>
      </c>
      <c r="F1084" t="s">
        <v>20</v>
      </c>
      <c r="W1084">
        <v>1</v>
      </c>
      <c r="AN1084">
        <v>1</v>
      </c>
      <c r="BA1084">
        <f>SUM(Pre[[#This Row],[1]:[46]])</f>
        <v>2</v>
      </c>
    </row>
    <row r="1085" spans="1:53" x14ac:dyDescent="0.2">
      <c r="A1085" t="s">
        <v>51</v>
      </c>
      <c r="B1085" t="s">
        <v>6</v>
      </c>
      <c r="C1085">
        <v>5526</v>
      </c>
      <c r="D1085" t="s">
        <v>7</v>
      </c>
      <c r="E1085" t="s">
        <v>8</v>
      </c>
      <c r="F1085" t="s">
        <v>30</v>
      </c>
      <c r="I1085">
        <v>1</v>
      </c>
      <c r="N1085">
        <v>1</v>
      </c>
      <c r="S1085">
        <v>1</v>
      </c>
      <c r="X1085">
        <v>1</v>
      </c>
      <c r="AB1085">
        <v>1</v>
      </c>
      <c r="AG1085">
        <v>1</v>
      </c>
      <c r="AL1085">
        <v>2</v>
      </c>
      <c r="AQ1085">
        <v>1</v>
      </c>
      <c r="AV1085">
        <v>1</v>
      </c>
      <c r="BA1085">
        <f>SUM(Pre[[#This Row],[1]:[46]])</f>
        <v>10</v>
      </c>
    </row>
    <row r="1086" spans="1:53" x14ac:dyDescent="0.2">
      <c r="A1086" t="s">
        <v>51</v>
      </c>
      <c r="B1086" t="s">
        <v>6</v>
      </c>
      <c r="C1086">
        <v>5863</v>
      </c>
      <c r="D1086" t="s">
        <v>7</v>
      </c>
      <c r="E1086" t="s">
        <v>14</v>
      </c>
      <c r="F1086" t="s">
        <v>35</v>
      </c>
      <c r="W1086">
        <v>1</v>
      </c>
      <c r="AD1086">
        <v>1</v>
      </c>
      <c r="AR1086">
        <v>1</v>
      </c>
      <c r="BA1086">
        <f>SUM(Pre[[#This Row],[1]:[46]])</f>
        <v>3</v>
      </c>
    </row>
    <row r="1087" spans="1:53" x14ac:dyDescent="0.2">
      <c r="A1087" t="s">
        <v>51</v>
      </c>
      <c r="B1087" t="s">
        <v>6</v>
      </c>
      <c r="C1087">
        <v>5977</v>
      </c>
      <c r="D1087" t="s">
        <v>7</v>
      </c>
      <c r="E1087" t="s">
        <v>14</v>
      </c>
      <c r="F1087" t="s">
        <v>20</v>
      </c>
      <c r="AP1087">
        <v>1</v>
      </c>
      <c r="BA1087">
        <f>SUM(Pre[[#This Row],[1]:[46]])</f>
        <v>1</v>
      </c>
    </row>
    <row r="1088" spans="1:53" x14ac:dyDescent="0.2">
      <c r="A1088" t="s">
        <v>51</v>
      </c>
      <c r="B1088" t="s">
        <v>6</v>
      </c>
      <c r="C1088">
        <v>6576</v>
      </c>
      <c r="D1088" t="s">
        <v>7</v>
      </c>
      <c r="E1088" t="s">
        <v>14</v>
      </c>
      <c r="F1088" t="s">
        <v>19</v>
      </c>
      <c r="AK1088">
        <v>1</v>
      </c>
      <c r="BA1088">
        <f>SUM(Pre[[#This Row],[1]:[46]])</f>
        <v>1</v>
      </c>
    </row>
    <row r="1089" spans="1:53" x14ac:dyDescent="0.2">
      <c r="A1089" t="s">
        <v>51</v>
      </c>
      <c r="B1089" t="s">
        <v>6</v>
      </c>
      <c r="C1089">
        <v>6635</v>
      </c>
      <c r="D1089" t="s">
        <v>7</v>
      </c>
      <c r="E1089" t="s">
        <v>14</v>
      </c>
      <c r="F1089" t="s">
        <v>20</v>
      </c>
      <c r="S1089">
        <v>1</v>
      </c>
      <c r="AJ1089">
        <v>1</v>
      </c>
      <c r="BA1089">
        <f>SUM(Pre[[#This Row],[1]:[46]])</f>
        <v>2</v>
      </c>
    </row>
    <row r="1090" spans="1:53" x14ac:dyDescent="0.2">
      <c r="A1090" t="s">
        <v>51</v>
      </c>
      <c r="B1090" t="s">
        <v>6</v>
      </c>
      <c r="C1090">
        <v>7359</v>
      </c>
      <c r="D1090" t="s">
        <v>7</v>
      </c>
      <c r="E1090" t="s">
        <v>14</v>
      </c>
      <c r="F1090" t="s">
        <v>35</v>
      </c>
      <c r="I1090">
        <v>2</v>
      </c>
      <c r="R1090">
        <v>1</v>
      </c>
      <c r="AH1090">
        <v>1</v>
      </c>
      <c r="BA1090">
        <f>SUM(Pre[[#This Row],[1]:[46]])</f>
        <v>4</v>
      </c>
    </row>
    <row r="1091" spans="1:53" x14ac:dyDescent="0.2">
      <c r="A1091" t="s">
        <v>51</v>
      </c>
      <c r="B1091" t="s">
        <v>6</v>
      </c>
      <c r="C1091">
        <v>7493</v>
      </c>
      <c r="D1091" t="s">
        <v>7</v>
      </c>
      <c r="E1091" t="s">
        <v>8</v>
      </c>
      <c r="F1091" t="s">
        <v>23</v>
      </c>
      <c r="Y1091">
        <v>1</v>
      </c>
      <c r="AY1091">
        <v>1</v>
      </c>
      <c r="BA1091">
        <f>SUM(Pre[[#This Row],[1]:[46]])</f>
        <v>2</v>
      </c>
    </row>
    <row r="1092" spans="1:53" x14ac:dyDescent="0.2">
      <c r="A1092" t="s">
        <v>51</v>
      </c>
      <c r="B1092" t="s">
        <v>6</v>
      </c>
      <c r="C1092">
        <v>7631</v>
      </c>
      <c r="D1092" t="s">
        <v>7</v>
      </c>
      <c r="E1092" t="s">
        <v>10</v>
      </c>
      <c r="F1092" t="s">
        <v>16</v>
      </c>
      <c r="I1092">
        <v>1</v>
      </c>
      <c r="AG1092">
        <v>1</v>
      </c>
      <c r="BA1092">
        <f>SUM(Pre[[#This Row],[1]:[46]])</f>
        <v>2</v>
      </c>
    </row>
    <row r="1093" spans="1:53" x14ac:dyDescent="0.2">
      <c r="A1093" t="s">
        <v>51</v>
      </c>
      <c r="B1093" t="s">
        <v>6</v>
      </c>
      <c r="C1093">
        <v>8093</v>
      </c>
      <c r="D1093" t="s">
        <v>7</v>
      </c>
      <c r="E1093" t="s">
        <v>8</v>
      </c>
      <c r="F1093" t="s">
        <v>23</v>
      </c>
      <c r="BA1093">
        <f>SUM(Pre[[#This Row],[1]:[46]])</f>
        <v>0</v>
      </c>
    </row>
    <row r="1094" spans="1:53" x14ac:dyDescent="0.2">
      <c r="A1094" t="s">
        <v>51</v>
      </c>
      <c r="B1094" t="s">
        <v>6</v>
      </c>
      <c r="C1094">
        <v>8318</v>
      </c>
      <c r="D1094" t="s">
        <v>7</v>
      </c>
      <c r="E1094" t="s">
        <v>14</v>
      </c>
      <c r="F1094" t="s">
        <v>20</v>
      </c>
      <c r="H1094">
        <v>1</v>
      </c>
      <c r="T1094">
        <v>1</v>
      </c>
      <c r="AH1094">
        <v>1</v>
      </c>
      <c r="AT1094">
        <v>1</v>
      </c>
      <c r="BA1094">
        <f>SUM(Pre[[#This Row],[1]:[46]])</f>
        <v>4</v>
      </c>
    </row>
    <row r="1095" spans="1:53" x14ac:dyDescent="0.2">
      <c r="A1095" t="s">
        <v>51</v>
      </c>
      <c r="B1095" t="s">
        <v>6</v>
      </c>
      <c r="C1095">
        <v>8433</v>
      </c>
      <c r="D1095" t="s">
        <v>7</v>
      </c>
      <c r="E1095" t="s">
        <v>14</v>
      </c>
      <c r="F1095" t="s">
        <v>21</v>
      </c>
      <c r="M1095">
        <v>1</v>
      </c>
      <c r="Q1095">
        <v>1</v>
      </c>
      <c r="U1095">
        <v>2</v>
      </c>
      <c r="X1095">
        <v>1</v>
      </c>
      <c r="Y1095">
        <v>2</v>
      </c>
      <c r="Z1095">
        <v>3</v>
      </c>
      <c r="AB1095">
        <v>2</v>
      </c>
      <c r="AD1095">
        <v>3</v>
      </c>
      <c r="AE1095">
        <v>1</v>
      </c>
      <c r="AF1095">
        <v>2</v>
      </c>
      <c r="AH1095">
        <v>1</v>
      </c>
      <c r="AI1095">
        <v>2</v>
      </c>
      <c r="AJ1095">
        <v>1</v>
      </c>
      <c r="AK1095">
        <v>1</v>
      </c>
      <c r="AM1095">
        <v>1</v>
      </c>
      <c r="AN1095">
        <v>1</v>
      </c>
      <c r="AO1095">
        <v>2</v>
      </c>
      <c r="AQ1095">
        <v>2</v>
      </c>
      <c r="AR1095">
        <v>1</v>
      </c>
      <c r="AT1095">
        <v>2</v>
      </c>
      <c r="AV1095">
        <v>2</v>
      </c>
      <c r="AX1095">
        <v>1</v>
      </c>
      <c r="AY1095">
        <v>1</v>
      </c>
      <c r="AZ1095">
        <v>1</v>
      </c>
      <c r="BA1095">
        <f>SUM(Pre[[#This Row],[1]:[46]])</f>
        <v>37</v>
      </c>
    </row>
    <row r="1096" spans="1:53" x14ac:dyDescent="0.2">
      <c r="A1096" t="s">
        <v>51</v>
      </c>
      <c r="B1096" t="s">
        <v>6</v>
      </c>
      <c r="C1096">
        <v>8433</v>
      </c>
      <c r="D1096" t="s">
        <v>7</v>
      </c>
      <c r="E1096" t="s">
        <v>14</v>
      </c>
      <c r="F1096" t="s">
        <v>20</v>
      </c>
      <c r="BA1096">
        <f>SUM(Pre[[#This Row],[1]:[46]])</f>
        <v>0</v>
      </c>
    </row>
    <row r="1097" spans="1:53" x14ac:dyDescent="0.2">
      <c r="A1097" t="s">
        <v>51</v>
      </c>
      <c r="B1097" t="s">
        <v>6</v>
      </c>
      <c r="C1097">
        <v>8586</v>
      </c>
      <c r="D1097" t="s">
        <v>7</v>
      </c>
      <c r="E1097" t="s">
        <v>14</v>
      </c>
      <c r="F1097" t="s">
        <v>20</v>
      </c>
      <c r="I1097">
        <v>1</v>
      </c>
      <c r="BA1097">
        <f>SUM(Pre[[#This Row],[1]:[46]])</f>
        <v>1</v>
      </c>
    </row>
    <row r="1098" spans="1:53" x14ac:dyDescent="0.2">
      <c r="A1098" t="s">
        <v>51</v>
      </c>
      <c r="B1098" t="s">
        <v>6</v>
      </c>
      <c r="C1098">
        <v>8736</v>
      </c>
      <c r="D1098" t="s">
        <v>7</v>
      </c>
      <c r="E1098" t="s">
        <v>14</v>
      </c>
      <c r="F1098" t="s">
        <v>20</v>
      </c>
      <c r="S1098">
        <v>1</v>
      </c>
      <c r="AA1098">
        <v>1</v>
      </c>
      <c r="AS1098">
        <v>1</v>
      </c>
      <c r="AW1098">
        <v>1</v>
      </c>
      <c r="BA1098">
        <f>SUM(Pre[[#This Row],[1]:[46]])</f>
        <v>4</v>
      </c>
    </row>
    <row r="1099" spans="1:53" x14ac:dyDescent="0.2">
      <c r="A1099" t="s">
        <v>51</v>
      </c>
      <c r="B1099" t="s">
        <v>6</v>
      </c>
      <c r="C1099">
        <v>8920</v>
      </c>
      <c r="D1099" t="s">
        <v>7</v>
      </c>
      <c r="E1099" t="s">
        <v>10</v>
      </c>
      <c r="F1099" t="s">
        <v>11</v>
      </c>
      <c r="AK1099">
        <v>1</v>
      </c>
      <c r="BA1099">
        <f>SUM(Pre[[#This Row],[1]:[46]])</f>
        <v>1</v>
      </c>
    </row>
    <row r="1100" spans="1:53" x14ac:dyDescent="0.2">
      <c r="A1100" t="s">
        <v>51</v>
      </c>
      <c r="B1100" t="s">
        <v>6</v>
      </c>
      <c r="C1100">
        <v>8920</v>
      </c>
      <c r="D1100" t="s">
        <v>7</v>
      </c>
      <c r="E1100" t="s">
        <v>8</v>
      </c>
      <c r="F1100" t="s">
        <v>9</v>
      </c>
      <c r="I1100">
        <v>1</v>
      </c>
      <c r="M1100">
        <v>1</v>
      </c>
      <c r="Q1100">
        <v>1</v>
      </c>
      <c r="U1100">
        <v>1</v>
      </c>
      <c r="Y1100">
        <v>1</v>
      </c>
      <c r="AC1100">
        <v>1</v>
      </c>
      <c r="AG1100">
        <v>1</v>
      </c>
      <c r="AK1100">
        <v>1</v>
      </c>
      <c r="AO1100">
        <v>1</v>
      </c>
      <c r="AS1100">
        <v>1</v>
      </c>
      <c r="AW1100">
        <v>1</v>
      </c>
      <c r="BA1100">
        <f>SUM(Pre[[#This Row],[1]:[46]])</f>
        <v>11</v>
      </c>
    </row>
    <row r="1101" spans="1:53" x14ac:dyDescent="0.2">
      <c r="A1101" t="s">
        <v>51</v>
      </c>
      <c r="B1101" t="s">
        <v>6</v>
      </c>
      <c r="C1101">
        <v>8920</v>
      </c>
      <c r="D1101" t="s">
        <v>7</v>
      </c>
      <c r="E1101" t="s">
        <v>14</v>
      </c>
      <c r="F1101" t="s">
        <v>20</v>
      </c>
      <c r="I1101">
        <v>1</v>
      </c>
      <c r="M1101">
        <v>1</v>
      </c>
      <c r="Q1101">
        <v>1</v>
      </c>
      <c r="U1101">
        <v>1</v>
      </c>
      <c r="Y1101">
        <v>1</v>
      </c>
      <c r="AC1101">
        <v>1</v>
      </c>
      <c r="AG1101">
        <v>1</v>
      </c>
      <c r="AK1101">
        <v>1</v>
      </c>
      <c r="AO1101">
        <v>1</v>
      </c>
      <c r="AS1101">
        <v>1</v>
      </c>
      <c r="AW1101">
        <v>1</v>
      </c>
      <c r="BA1101">
        <f>SUM(Pre[[#This Row],[1]:[46]])</f>
        <v>11</v>
      </c>
    </row>
    <row r="1102" spans="1:53" x14ac:dyDescent="0.2">
      <c r="A1102" t="s">
        <v>51</v>
      </c>
      <c r="B1102" t="s">
        <v>6</v>
      </c>
      <c r="C1102">
        <v>9249</v>
      </c>
      <c r="D1102" t="s">
        <v>7</v>
      </c>
      <c r="E1102" t="s">
        <v>14</v>
      </c>
      <c r="F1102" t="s">
        <v>19</v>
      </c>
      <c r="P1102">
        <v>1</v>
      </c>
      <c r="AR1102">
        <v>1</v>
      </c>
      <c r="BA1102">
        <f>SUM(Pre[[#This Row],[1]:[46]])</f>
        <v>2</v>
      </c>
    </row>
    <row r="1103" spans="1:53" x14ac:dyDescent="0.2">
      <c r="A1103" t="s">
        <v>51</v>
      </c>
      <c r="B1103" t="s">
        <v>6</v>
      </c>
      <c r="C1103">
        <v>9249</v>
      </c>
      <c r="D1103" t="s">
        <v>7</v>
      </c>
      <c r="E1103" t="s">
        <v>14</v>
      </c>
      <c r="F1103" t="s">
        <v>21</v>
      </c>
      <c r="L1103">
        <v>1</v>
      </c>
      <c r="BA1103">
        <f>SUM(Pre[[#This Row],[1]:[46]])</f>
        <v>1</v>
      </c>
    </row>
    <row r="1104" spans="1:53" x14ac:dyDescent="0.2">
      <c r="A1104" t="s">
        <v>51</v>
      </c>
      <c r="B1104" t="s">
        <v>6</v>
      </c>
      <c r="C1104">
        <v>9270</v>
      </c>
      <c r="D1104" t="s">
        <v>7</v>
      </c>
      <c r="E1104" t="s">
        <v>26</v>
      </c>
      <c r="F1104" t="s">
        <v>27</v>
      </c>
      <c r="G1104">
        <v>1</v>
      </c>
      <c r="O1104">
        <v>1</v>
      </c>
      <c r="Q1104">
        <v>1</v>
      </c>
      <c r="S1104">
        <v>1</v>
      </c>
      <c r="Z1104">
        <v>1</v>
      </c>
      <c r="AB1104">
        <v>1</v>
      </c>
      <c r="AE1104">
        <v>1</v>
      </c>
      <c r="AH1104">
        <v>1</v>
      </c>
      <c r="AL1104">
        <v>1</v>
      </c>
      <c r="AP1104">
        <v>1</v>
      </c>
      <c r="AU1104">
        <v>1</v>
      </c>
      <c r="AZ1104">
        <v>1</v>
      </c>
      <c r="BA1104">
        <f>SUM(Pre[[#This Row],[1]:[46]])</f>
        <v>12</v>
      </c>
    </row>
    <row r="1105" spans="1:53" x14ac:dyDescent="0.2">
      <c r="A1105" t="s">
        <v>51</v>
      </c>
      <c r="B1105" t="s">
        <v>6</v>
      </c>
      <c r="C1105">
        <v>9270</v>
      </c>
      <c r="D1105" t="s">
        <v>7</v>
      </c>
      <c r="E1105" t="s">
        <v>14</v>
      </c>
      <c r="F1105" t="s">
        <v>20</v>
      </c>
      <c r="G1105">
        <v>1</v>
      </c>
      <c r="O1105">
        <v>1</v>
      </c>
      <c r="Q1105">
        <v>1</v>
      </c>
      <c r="S1105">
        <v>1</v>
      </c>
      <c r="Z1105">
        <v>1</v>
      </c>
      <c r="AB1105">
        <v>1</v>
      </c>
      <c r="AE1105">
        <v>1</v>
      </c>
      <c r="AH1105">
        <v>1</v>
      </c>
      <c r="AL1105">
        <v>1</v>
      </c>
      <c r="AP1105">
        <v>2</v>
      </c>
      <c r="AU1105">
        <v>1</v>
      </c>
      <c r="AZ1105">
        <v>1</v>
      </c>
      <c r="BA1105">
        <f>SUM(Pre[[#This Row],[1]:[46]])</f>
        <v>13</v>
      </c>
    </row>
    <row r="1106" spans="1:53" x14ac:dyDescent="0.2">
      <c r="A1106" t="s">
        <v>51</v>
      </c>
      <c r="B1106" t="s">
        <v>6</v>
      </c>
      <c r="C1106">
        <v>9383</v>
      </c>
      <c r="D1106" t="s">
        <v>7</v>
      </c>
      <c r="E1106" t="s">
        <v>14</v>
      </c>
      <c r="F1106" t="s">
        <v>20</v>
      </c>
      <c r="M1106">
        <v>1</v>
      </c>
      <c r="Y1106">
        <v>1</v>
      </c>
      <c r="AL1106">
        <v>1</v>
      </c>
      <c r="AY1106">
        <v>1</v>
      </c>
      <c r="BA1106">
        <f>SUM(Pre[[#This Row],[1]:[46]])</f>
        <v>4</v>
      </c>
    </row>
    <row r="1107" spans="1:53" x14ac:dyDescent="0.2">
      <c r="A1107" t="s">
        <v>51</v>
      </c>
      <c r="B1107" t="s">
        <v>6</v>
      </c>
      <c r="C1107">
        <v>9434</v>
      </c>
      <c r="D1107" t="s">
        <v>7</v>
      </c>
      <c r="E1107" t="s">
        <v>26</v>
      </c>
      <c r="F1107" t="s">
        <v>27</v>
      </c>
      <c r="T1107">
        <v>1</v>
      </c>
      <c r="AL1107">
        <v>1</v>
      </c>
      <c r="BA1107">
        <f>SUM(Pre[[#This Row],[1]:[46]])</f>
        <v>2</v>
      </c>
    </row>
    <row r="1108" spans="1:53" x14ac:dyDescent="0.2">
      <c r="A1108" t="s">
        <v>51</v>
      </c>
      <c r="B1108" t="s">
        <v>6</v>
      </c>
      <c r="C1108">
        <v>9434</v>
      </c>
      <c r="D1108" t="s">
        <v>7</v>
      </c>
      <c r="E1108" t="s">
        <v>14</v>
      </c>
      <c r="F1108" t="s">
        <v>20</v>
      </c>
      <c r="R1108">
        <v>2</v>
      </c>
      <c r="AL1108">
        <v>1</v>
      </c>
      <c r="BA1108">
        <f>SUM(Pre[[#This Row],[1]:[46]])</f>
        <v>3</v>
      </c>
    </row>
    <row r="1109" spans="1:53" x14ac:dyDescent="0.2">
      <c r="A1109" t="s">
        <v>51</v>
      </c>
      <c r="B1109" t="s">
        <v>6</v>
      </c>
      <c r="C1109">
        <v>9455</v>
      </c>
      <c r="D1109" t="s">
        <v>7</v>
      </c>
      <c r="E1109" t="s">
        <v>10</v>
      </c>
      <c r="F1109" t="s">
        <v>11</v>
      </c>
      <c r="I1109">
        <v>1</v>
      </c>
      <c r="N1109">
        <v>1</v>
      </c>
      <c r="R1109">
        <v>1</v>
      </c>
      <c r="V1109">
        <v>1</v>
      </c>
      <c r="Z1109">
        <v>1</v>
      </c>
      <c r="AE1109">
        <v>1</v>
      </c>
      <c r="AI1109">
        <v>1</v>
      </c>
      <c r="AM1109">
        <v>1</v>
      </c>
      <c r="AQ1109">
        <v>1</v>
      </c>
      <c r="AU1109">
        <v>1</v>
      </c>
      <c r="AZ1109">
        <v>1</v>
      </c>
      <c r="BA1109">
        <f>SUM(Pre[[#This Row],[1]:[46]])</f>
        <v>11</v>
      </c>
    </row>
    <row r="1110" spans="1:53" x14ac:dyDescent="0.2">
      <c r="A1110" t="s">
        <v>51</v>
      </c>
      <c r="B1110" t="s">
        <v>6</v>
      </c>
      <c r="C1110">
        <v>11039</v>
      </c>
      <c r="D1110" t="s">
        <v>7</v>
      </c>
      <c r="E1110" t="s">
        <v>10</v>
      </c>
      <c r="F1110" t="s">
        <v>11</v>
      </c>
      <c r="BA1110">
        <f>SUM(Pre[[#This Row],[1]:[46]])</f>
        <v>0</v>
      </c>
    </row>
    <row r="1111" spans="1:53" x14ac:dyDescent="0.2">
      <c r="A1111" t="s">
        <v>51</v>
      </c>
      <c r="B1111" t="s">
        <v>6</v>
      </c>
      <c r="C1111">
        <v>11039</v>
      </c>
      <c r="D1111" t="s">
        <v>7</v>
      </c>
      <c r="E1111" t="s">
        <v>14</v>
      </c>
      <c r="F1111" t="s">
        <v>21</v>
      </c>
      <c r="H1111">
        <v>1</v>
      </c>
      <c r="Q1111">
        <v>2</v>
      </c>
      <c r="AH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X1111">
        <v>2</v>
      </c>
      <c r="AY1111">
        <v>1</v>
      </c>
      <c r="AZ1111">
        <v>1</v>
      </c>
      <c r="BA1111">
        <f>SUM(Pre[[#This Row],[1]:[46]])</f>
        <v>21</v>
      </c>
    </row>
    <row r="1112" spans="1:53" x14ac:dyDescent="0.2">
      <c r="A1112" t="s">
        <v>51</v>
      </c>
      <c r="B1112" t="s">
        <v>6</v>
      </c>
      <c r="C1112">
        <v>11258</v>
      </c>
      <c r="D1112" t="s">
        <v>7</v>
      </c>
      <c r="E1112" t="s">
        <v>14</v>
      </c>
      <c r="F1112" t="s">
        <v>19</v>
      </c>
      <c r="AY1112">
        <v>1</v>
      </c>
      <c r="BA1112">
        <f>SUM(Pre[[#This Row],[1]:[46]])</f>
        <v>1</v>
      </c>
    </row>
    <row r="1113" spans="1:53" x14ac:dyDescent="0.2">
      <c r="A1113" t="s">
        <v>51</v>
      </c>
      <c r="B1113" t="s">
        <v>6</v>
      </c>
      <c r="C1113">
        <v>14214</v>
      </c>
      <c r="D1113" t="s">
        <v>7</v>
      </c>
      <c r="E1113" t="s">
        <v>32</v>
      </c>
      <c r="F1113" t="s">
        <v>33</v>
      </c>
      <c r="N1113">
        <v>1</v>
      </c>
      <c r="BA1113">
        <f>SUM(Pre[[#This Row],[1]:[46]])</f>
        <v>1</v>
      </c>
    </row>
    <row r="1114" spans="1:53" x14ac:dyDescent="0.2">
      <c r="A1114" t="s">
        <v>51</v>
      </c>
      <c r="B1114" t="s">
        <v>6</v>
      </c>
      <c r="C1114">
        <v>14214</v>
      </c>
      <c r="D1114" t="s">
        <v>7</v>
      </c>
      <c r="E1114" t="s">
        <v>14</v>
      </c>
      <c r="F1114" t="s">
        <v>19</v>
      </c>
      <c r="Y1114">
        <v>1</v>
      </c>
      <c r="AU1114">
        <v>1</v>
      </c>
      <c r="BA1114">
        <f>SUM(Pre[[#This Row],[1]:[46]])</f>
        <v>2</v>
      </c>
    </row>
    <row r="1115" spans="1:53" x14ac:dyDescent="0.2">
      <c r="A1115" t="s">
        <v>51</v>
      </c>
      <c r="B1115" t="s">
        <v>6</v>
      </c>
      <c r="C1115">
        <v>14315</v>
      </c>
      <c r="D1115" t="s">
        <v>7</v>
      </c>
      <c r="E1115" t="s">
        <v>8</v>
      </c>
      <c r="F1115" t="s">
        <v>23</v>
      </c>
      <c r="M1115">
        <v>1</v>
      </c>
      <c r="Y1115">
        <v>1</v>
      </c>
      <c r="AL1115">
        <v>1</v>
      </c>
      <c r="AY1115">
        <v>1</v>
      </c>
      <c r="BA1115">
        <f>SUM(Pre[[#This Row],[1]:[46]])</f>
        <v>4</v>
      </c>
    </row>
    <row r="1116" spans="1:53" x14ac:dyDescent="0.2">
      <c r="A1116" t="s">
        <v>51</v>
      </c>
      <c r="B1116" t="s">
        <v>6</v>
      </c>
      <c r="C1116">
        <v>14920</v>
      </c>
      <c r="D1116" t="s">
        <v>7</v>
      </c>
      <c r="E1116" t="s">
        <v>10</v>
      </c>
      <c r="F1116" t="s">
        <v>11</v>
      </c>
      <c r="BA1116">
        <f>SUM(Pre[[#This Row],[1]:[46]])</f>
        <v>0</v>
      </c>
    </row>
    <row r="1117" spans="1:53" x14ac:dyDescent="0.2">
      <c r="A1117" t="s">
        <v>51</v>
      </c>
      <c r="B1117" t="s">
        <v>6</v>
      </c>
      <c r="C1117">
        <v>15243</v>
      </c>
      <c r="D1117" t="s">
        <v>7</v>
      </c>
      <c r="E1117" t="s">
        <v>14</v>
      </c>
      <c r="F1117" t="s">
        <v>28</v>
      </c>
      <c r="P1117">
        <v>1</v>
      </c>
      <c r="AN1117">
        <v>1</v>
      </c>
      <c r="AR1117">
        <v>1</v>
      </c>
      <c r="BA1117">
        <f>SUM(Pre[[#This Row],[1]:[46]])</f>
        <v>3</v>
      </c>
    </row>
    <row r="1118" spans="1:53" x14ac:dyDescent="0.2">
      <c r="A1118" t="s">
        <v>51</v>
      </c>
      <c r="B1118" t="s">
        <v>6</v>
      </c>
      <c r="C1118">
        <v>16823</v>
      </c>
      <c r="D1118" t="s">
        <v>7</v>
      </c>
      <c r="E1118" t="s">
        <v>14</v>
      </c>
      <c r="F1118" t="s">
        <v>35</v>
      </c>
      <c r="S1118">
        <v>2</v>
      </c>
      <c r="X1118">
        <v>1</v>
      </c>
      <c r="AC1118">
        <v>1</v>
      </c>
      <c r="AH1118">
        <v>1</v>
      </c>
      <c r="AL1118">
        <v>1</v>
      </c>
      <c r="AP1118">
        <v>1</v>
      </c>
      <c r="AU1118">
        <v>1</v>
      </c>
      <c r="AX1118">
        <v>1</v>
      </c>
      <c r="BA1118">
        <f>SUM(Pre[[#This Row],[1]:[46]])</f>
        <v>9</v>
      </c>
    </row>
    <row r="1119" spans="1:53" x14ac:dyDescent="0.2">
      <c r="A1119" t="s">
        <v>51</v>
      </c>
      <c r="B1119" t="s">
        <v>6</v>
      </c>
      <c r="C1119">
        <v>18028</v>
      </c>
      <c r="D1119" t="s">
        <v>7</v>
      </c>
      <c r="E1119" t="s">
        <v>14</v>
      </c>
      <c r="F1119" t="s">
        <v>20</v>
      </c>
      <c r="U1119">
        <v>1</v>
      </c>
      <c r="AJ1119">
        <v>1</v>
      </c>
      <c r="BA1119">
        <f>SUM(Pre[[#This Row],[1]:[46]])</f>
        <v>2</v>
      </c>
    </row>
    <row r="1120" spans="1:53" x14ac:dyDescent="0.2">
      <c r="A1120" t="s">
        <v>51</v>
      </c>
      <c r="B1120" t="s">
        <v>6</v>
      </c>
      <c r="C1120">
        <v>19579</v>
      </c>
      <c r="D1120" t="s">
        <v>7</v>
      </c>
      <c r="E1120" t="s">
        <v>32</v>
      </c>
      <c r="F1120" t="s">
        <v>33</v>
      </c>
      <c r="AO1120">
        <v>1</v>
      </c>
      <c r="AS1120">
        <v>1</v>
      </c>
      <c r="BA1120">
        <f>SUM(Pre[[#This Row],[1]:[46]])</f>
        <v>2</v>
      </c>
    </row>
    <row r="1121" spans="1:53" x14ac:dyDescent="0.2">
      <c r="A1121" t="s">
        <v>51</v>
      </c>
      <c r="B1121" t="s">
        <v>6</v>
      </c>
      <c r="C1121">
        <v>19579</v>
      </c>
      <c r="D1121" t="s">
        <v>7</v>
      </c>
      <c r="E1121" t="s">
        <v>14</v>
      </c>
      <c r="F1121" t="s">
        <v>20</v>
      </c>
      <c r="T1121">
        <v>1</v>
      </c>
      <c r="AB1121">
        <v>1</v>
      </c>
      <c r="AF1121">
        <v>2</v>
      </c>
      <c r="AH1121">
        <v>1</v>
      </c>
      <c r="AQ1121">
        <v>1</v>
      </c>
      <c r="AS1121">
        <v>1</v>
      </c>
      <c r="BA1121">
        <f>SUM(Pre[[#This Row],[1]:[46]])</f>
        <v>7</v>
      </c>
    </row>
    <row r="1122" spans="1:53" x14ac:dyDescent="0.2">
      <c r="A1122" t="s">
        <v>51</v>
      </c>
      <c r="B1122" t="s">
        <v>6</v>
      </c>
      <c r="C1122">
        <v>19847</v>
      </c>
      <c r="D1122" t="s">
        <v>7</v>
      </c>
      <c r="E1122" t="s">
        <v>8</v>
      </c>
      <c r="F1122" t="s">
        <v>23</v>
      </c>
      <c r="O1122">
        <v>1</v>
      </c>
      <c r="S1122">
        <v>1</v>
      </c>
      <c r="X1122">
        <v>1</v>
      </c>
      <c r="AF1122">
        <v>1</v>
      </c>
      <c r="AJ1122">
        <v>1</v>
      </c>
      <c r="AO1122">
        <v>1</v>
      </c>
      <c r="AS1122">
        <v>1</v>
      </c>
      <c r="BA1122">
        <f>SUM(Pre[[#This Row],[1]:[46]])</f>
        <v>7</v>
      </c>
    </row>
    <row r="1123" spans="1:53" x14ac:dyDescent="0.2">
      <c r="A1123" t="s">
        <v>51</v>
      </c>
      <c r="B1123" t="s">
        <v>6</v>
      </c>
      <c r="C1123">
        <v>20438</v>
      </c>
      <c r="D1123" t="s">
        <v>7</v>
      </c>
      <c r="E1123" t="s">
        <v>14</v>
      </c>
      <c r="F1123" t="s">
        <v>21</v>
      </c>
      <c r="L1123">
        <v>1</v>
      </c>
      <c r="BA1123">
        <f>SUM(Pre[[#This Row],[1]:[46]])</f>
        <v>1</v>
      </c>
    </row>
    <row r="1124" spans="1:53" x14ac:dyDescent="0.2">
      <c r="A1124" t="s">
        <v>51</v>
      </c>
      <c r="B1124" t="s">
        <v>6</v>
      </c>
      <c r="C1124">
        <v>21069</v>
      </c>
      <c r="D1124" t="s">
        <v>7</v>
      </c>
      <c r="E1124" t="s">
        <v>10</v>
      </c>
      <c r="F1124" t="s">
        <v>11</v>
      </c>
      <c r="BA1124">
        <f>SUM(Pre[[#This Row],[1]:[46]])</f>
        <v>0</v>
      </c>
    </row>
    <row r="1125" spans="1:53" x14ac:dyDescent="0.2">
      <c r="A1125" t="s">
        <v>51</v>
      </c>
      <c r="B1125" t="s">
        <v>6</v>
      </c>
      <c r="C1125">
        <v>21069</v>
      </c>
      <c r="D1125" t="s">
        <v>7</v>
      </c>
      <c r="E1125" t="s">
        <v>14</v>
      </c>
      <c r="F1125" t="s">
        <v>19</v>
      </c>
      <c r="BA1125">
        <f>SUM(Pre[[#This Row],[1]:[46]])</f>
        <v>0</v>
      </c>
    </row>
    <row r="1126" spans="1:53" x14ac:dyDescent="0.2">
      <c r="A1126" t="s">
        <v>51</v>
      </c>
      <c r="B1126" t="s">
        <v>6</v>
      </c>
      <c r="C1126">
        <v>26598</v>
      </c>
      <c r="D1126" t="s">
        <v>7</v>
      </c>
      <c r="E1126" t="s">
        <v>8</v>
      </c>
      <c r="F1126" t="s">
        <v>29</v>
      </c>
      <c r="U1126">
        <v>1</v>
      </c>
      <c r="BA1126">
        <f>SUM(Pre[[#This Row],[1]:[46]])</f>
        <v>1</v>
      </c>
    </row>
    <row r="1127" spans="1:53" x14ac:dyDescent="0.2">
      <c r="A1127" t="s">
        <v>51</v>
      </c>
      <c r="B1127" t="s">
        <v>6</v>
      </c>
      <c r="C1127">
        <v>27090</v>
      </c>
      <c r="D1127" t="s">
        <v>7</v>
      </c>
      <c r="E1127" t="s">
        <v>14</v>
      </c>
      <c r="F1127" t="s">
        <v>20</v>
      </c>
      <c r="R1127">
        <v>1</v>
      </c>
      <c r="AF1127">
        <v>1</v>
      </c>
      <c r="AG1127">
        <v>1</v>
      </c>
      <c r="AT1127">
        <v>1</v>
      </c>
      <c r="BA1127">
        <f>SUM(Pre[[#This Row],[1]:[46]])</f>
        <v>4</v>
      </c>
    </row>
    <row r="1128" spans="1:53" x14ac:dyDescent="0.2">
      <c r="A1128" t="s">
        <v>51</v>
      </c>
      <c r="B1128" t="s">
        <v>6</v>
      </c>
      <c r="C1128">
        <v>28441</v>
      </c>
      <c r="D1128" t="s">
        <v>7</v>
      </c>
      <c r="E1128" t="s">
        <v>14</v>
      </c>
      <c r="F1128" t="s">
        <v>20</v>
      </c>
      <c r="AC1128">
        <v>1</v>
      </c>
      <c r="AQ1128">
        <v>1</v>
      </c>
      <c r="BA1128">
        <f>SUM(Pre[[#This Row],[1]:[46]])</f>
        <v>2</v>
      </c>
    </row>
    <row r="1129" spans="1:53" x14ac:dyDescent="0.2">
      <c r="A1129" t="s">
        <v>51</v>
      </c>
      <c r="B1129" t="s">
        <v>6</v>
      </c>
      <c r="C1129">
        <v>29106</v>
      </c>
      <c r="D1129" t="s">
        <v>7</v>
      </c>
      <c r="E1129" t="s">
        <v>14</v>
      </c>
      <c r="F1129" t="s">
        <v>21</v>
      </c>
      <c r="J1129">
        <v>2</v>
      </c>
      <c r="BA1129">
        <f>SUM(Pre[[#This Row],[1]:[46]])</f>
        <v>2</v>
      </c>
    </row>
    <row r="1130" spans="1:53" x14ac:dyDescent="0.2">
      <c r="A1130" t="s">
        <v>51</v>
      </c>
      <c r="B1130" t="s">
        <v>6</v>
      </c>
      <c r="C1130">
        <v>29106</v>
      </c>
      <c r="D1130" t="s">
        <v>7</v>
      </c>
      <c r="E1130" t="s">
        <v>14</v>
      </c>
      <c r="F1130" t="s">
        <v>20</v>
      </c>
      <c r="W1130">
        <v>1</v>
      </c>
      <c r="AG1130">
        <v>1</v>
      </c>
      <c r="AI1130">
        <v>1</v>
      </c>
      <c r="AW1130">
        <v>1</v>
      </c>
      <c r="BA1130">
        <f>SUM(Pre[[#This Row],[1]:[46]])</f>
        <v>4</v>
      </c>
    </row>
    <row r="1131" spans="1:53" x14ac:dyDescent="0.2">
      <c r="A1131" t="s">
        <v>51</v>
      </c>
      <c r="B1131" t="s">
        <v>6</v>
      </c>
      <c r="C1131">
        <v>30165</v>
      </c>
      <c r="D1131" t="s">
        <v>7</v>
      </c>
      <c r="E1131" t="s">
        <v>14</v>
      </c>
      <c r="F1131" t="s">
        <v>35</v>
      </c>
      <c r="BA1131">
        <f>SUM(Pre[[#This Row],[1]:[46]])</f>
        <v>0</v>
      </c>
    </row>
    <row r="1132" spans="1:53" x14ac:dyDescent="0.2">
      <c r="A1132" t="s">
        <v>51</v>
      </c>
      <c r="B1132" t="s">
        <v>6</v>
      </c>
      <c r="C1132">
        <v>30527</v>
      </c>
      <c r="D1132" t="s">
        <v>7</v>
      </c>
      <c r="E1132" t="s">
        <v>14</v>
      </c>
      <c r="F1132" t="s">
        <v>35</v>
      </c>
      <c r="J1132">
        <v>1</v>
      </c>
      <c r="N1132">
        <v>1</v>
      </c>
      <c r="S1132">
        <v>1</v>
      </c>
      <c r="W1132">
        <v>1</v>
      </c>
      <c r="AA1132">
        <v>1</v>
      </c>
      <c r="AE1132">
        <v>1</v>
      </c>
      <c r="AJ1132">
        <v>1</v>
      </c>
      <c r="AO1132">
        <v>1</v>
      </c>
      <c r="AS1132">
        <v>1</v>
      </c>
      <c r="AW1132">
        <v>1</v>
      </c>
      <c r="BA1132">
        <f>SUM(Pre[[#This Row],[1]:[46]])</f>
        <v>10</v>
      </c>
    </row>
    <row r="1133" spans="1:53" x14ac:dyDescent="0.2">
      <c r="A1133" t="s">
        <v>51</v>
      </c>
      <c r="B1133" t="s">
        <v>6</v>
      </c>
      <c r="C1133">
        <v>31115</v>
      </c>
      <c r="D1133" t="s">
        <v>7</v>
      </c>
      <c r="E1133" t="s">
        <v>14</v>
      </c>
      <c r="F1133" t="s">
        <v>20</v>
      </c>
      <c r="M1133">
        <v>1</v>
      </c>
      <c r="N1133">
        <v>1</v>
      </c>
      <c r="P1133">
        <v>1</v>
      </c>
      <c r="AB1133">
        <v>1</v>
      </c>
      <c r="AQ1133">
        <v>1</v>
      </c>
      <c r="BA1133">
        <f>SUM(Pre[[#This Row],[1]:[46]])</f>
        <v>5</v>
      </c>
    </row>
    <row r="1134" spans="1:53" x14ac:dyDescent="0.2">
      <c r="A1134" t="s">
        <v>51</v>
      </c>
      <c r="B1134" t="s">
        <v>6</v>
      </c>
      <c r="C1134">
        <v>31335</v>
      </c>
      <c r="D1134" t="s">
        <v>7</v>
      </c>
      <c r="E1134" t="s">
        <v>10</v>
      </c>
      <c r="F1134" t="s">
        <v>11</v>
      </c>
      <c r="H1134">
        <v>1</v>
      </c>
      <c r="U1134">
        <v>1</v>
      </c>
      <c r="BA1134">
        <f>SUM(Pre[[#This Row],[1]:[46]])</f>
        <v>2</v>
      </c>
    </row>
    <row r="1135" spans="1:53" x14ac:dyDescent="0.2">
      <c r="A1135" t="s">
        <v>51</v>
      </c>
      <c r="B1135" t="s">
        <v>6</v>
      </c>
      <c r="C1135">
        <v>32417</v>
      </c>
      <c r="D1135" t="s">
        <v>7</v>
      </c>
      <c r="E1135" t="s">
        <v>14</v>
      </c>
      <c r="F1135" t="s">
        <v>35</v>
      </c>
      <c r="L1135">
        <v>1</v>
      </c>
      <c r="Q1135">
        <v>1</v>
      </c>
      <c r="Z1135">
        <v>1</v>
      </c>
      <c r="AG1135">
        <v>1</v>
      </c>
      <c r="AN1135">
        <v>1</v>
      </c>
      <c r="AR1135">
        <v>1</v>
      </c>
      <c r="AZ1135">
        <v>1</v>
      </c>
      <c r="BA1135">
        <f>SUM(Pre[[#This Row],[1]:[46]])</f>
        <v>7</v>
      </c>
    </row>
    <row r="1136" spans="1:53" x14ac:dyDescent="0.2">
      <c r="A1136" t="s">
        <v>51</v>
      </c>
      <c r="B1136" t="s">
        <v>6</v>
      </c>
      <c r="C1136">
        <v>33698</v>
      </c>
      <c r="D1136" t="s">
        <v>7</v>
      </c>
      <c r="E1136" t="s">
        <v>10</v>
      </c>
      <c r="F1136" t="s">
        <v>11</v>
      </c>
      <c r="BA1136">
        <f>SUM(Pre[[#This Row],[1]:[46]])</f>
        <v>0</v>
      </c>
    </row>
    <row r="1137" spans="1:53" x14ac:dyDescent="0.2">
      <c r="A1137" t="s">
        <v>51</v>
      </c>
      <c r="B1137" t="s">
        <v>6</v>
      </c>
      <c r="C1137">
        <v>711</v>
      </c>
      <c r="D1137" t="s">
        <v>22</v>
      </c>
      <c r="E1137" t="s">
        <v>14</v>
      </c>
      <c r="F1137" t="s">
        <v>15</v>
      </c>
      <c r="N1137">
        <v>1</v>
      </c>
      <c r="V1137">
        <v>1</v>
      </c>
      <c r="BA1137">
        <f>SUM(Pre[[#This Row],[1]:[46]])</f>
        <v>2</v>
      </c>
    </row>
    <row r="1138" spans="1:53" x14ac:dyDescent="0.2">
      <c r="A1138" t="s">
        <v>51</v>
      </c>
      <c r="B1138" t="s">
        <v>6</v>
      </c>
      <c r="C1138">
        <v>814</v>
      </c>
      <c r="D1138" t="s">
        <v>22</v>
      </c>
      <c r="E1138" t="s">
        <v>10</v>
      </c>
      <c r="F1138" t="s">
        <v>11</v>
      </c>
      <c r="BA1138">
        <f>SUM(Pre[[#This Row],[1]:[46]])</f>
        <v>0</v>
      </c>
    </row>
    <row r="1139" spans="1:53" x14ac:dyDescent="0.2">
      <c r="A1139" t="s">
        <v>51</v>
      </c>
      <c r="B1139" t="s">
        <v>6</v>
      </c>
      <c r="C1139">
        <v>814</v>
      </c>
      <c r="D1139" t="s">
        <v>22</v>
      </c>
      <c r="E1139" t="s">
        <v>14</v>
      </c>
      <c r="F1139" t="s">
        <v>20</v>
      </c>
      <c r="T1139">
        <v>1</v>
      </c>
      <c r="AI1139">
        <v>1</v>
      </c>
      <c r="AV1139">
        <v>1</v>
      </c>
      <c r="BA1139">
        <f>SUM(Pre[[#This Row],[1]:[46]])</f>
        <v>3</v>
      </c>
    </row>
    <row r="1140" spans="1:53" x14ac:dyDescent="0.2">
      <c r="A1140" t="s">
        <v>51</v>
      </c>
      <c r="B1140" t="s">
        <v>6</v>
      </c>
      <c r="C1140">
        <v>882</v>
      </c>
      <c r="D1140" t="s">
        <v>22</v>
      </c>
      <c r="E1140" t="s">
        <v>8</v>
      </c>
      <c r="F1140" t="s">
        <v>23</v>
      </c>
      <c r="J1140">
        <v>1</v>
      </c>
      <c r="V1140">
        <v>1</v>
      </c>
      <c r="AL1140">
        <v>1</v>
      </c>
      <c r="BA1140">
        <f>SUM(Pre[[#This Row],[1]:[46]])</f>
        <v>3</v>
      </c>
    </row>
    <row r="1141" spans="1:53" x14ac:dyDescent="0.2">
      <c r="A1141" t="s">
        <v>51</v>
      </c>
      <c r="B1141" t="s">
        <v>6</v>
      </c>
      <c r="C1141">
        <v>1456</v>
      </c>
      <c r="D1141" t="s">
        <v>22</v>
      </c>
      <c r="E1141" t="s">
        <v>10</v>
      </c>
      <c r="F1141" t="s">
        <v>11</v>
      </c>
      <c r="BA1141">
        <f>SUM(Pre[[#This Row],[1]:[46]])</f>
        <v>0</v>
      </c>
    </row>
    <row r="1142" spans="1:53" x14ac:dyDescent="0.2">
      <c r="A1142" t="s">
        <v>51</v>
      </c>
      <c r="B1142" t="s">
        <v>6</v>
      </c>
      <c r="C1142">
        <v>1456</v>
      </c>
      <c r="D1142" t="s">
        <v>22</v>
      </c>
      <c r="E1142" t="s">
        <v>14</v>
      </c>
      <c r="F1142" t="s">
        <v>20</v>
      </c>
      <c r="K1142">
        <v>1</v>
      </c>
      <c r="X1142">
        <v>1</v>
      </c>
      <c r="AM1142">
        <v>1</v>
      </c>
      <c r="BA1142">
        <f>SUM(Pre[[#This Row],[1]:[46]])</f>
        <v>3</v>
      </c>
    </row>
    <row r="1143" spans="1:53" x14ac:dyDescent="0.2">
      <c r="A1143" t="s">
        <v>51</v>
      </c>
      <c r="B1143" t="s">
        <v>6</v>
      </c>
      <c r="C1143">
        <v>1653</v>
      </c>
      <c r="D1143" t="s">
        <v>22</v>
      </c>
      <c r="E1143" t="s">
        <v>8</v>
      </c>
      <c r="F1143" t="s">
        <v>9</v>
      </c>
      <c r="M1143">
        <v>2</v>
      </c>
      <c r="AD1143">
        <v>1</v>
      </c>
      <c r="BA1143">
        <f>SUM(Pre[[#This Row],[1]:[46]])</f>
        <v>3</v>
      </c>
    </row>
    <row r="1144" spans="1:53" x14ac:dyDescent="0.2">
      <c r="A1144" t="s">
        <v>51</v>
      </c>
      <c r="B1144" t="s">
        <v>6</v>
      </c>
      <c r="C1144">
        <v>1898</v>
      </c>
      <c r="D1144" t="s">
        <v>22</v>
      </c>
      <c r="E1144" t="s">
        <v>8</v>
      </c>
      <c r="F1144" t="s">
        <v>23</v>
      </c>
      <c r="S1144">
        <v>1</v>
      </c>
      <c r="AK1144">
        <v>1</v>
      </c>
      <c r="BA1144">
        <f>SUM(Pre[[#This Row],[1]:[46]])</f>
        <v>2</v>
      </c>
    </row>
    <row r="1145" spans="1:53" x14ac:dyDescent="0.2">
      <c r="A1145" t="s">
        <v>51</v>
      </c>
      <c r="B1145" t="s">
        <v>6</v>
      </c>
      <c r="C1145">
        <v>1898</v>
      </c>
      <c r="D1145" t="s">
        <v>22</v>
      </c>
      <c r="E1145" t="s">
        <v>14</v>
      </c>
      <c r="F1145" t="s">
        <v>20</v>
      </c>
      <c r="AH1145">
        <v>1</v>
      </c>
      <c r="BA1145">
        <f>SUM(Pre[[#This Row],[1]:[46]])</f>
        <v>1</v>
      </c>
    </row>
    <row r="1146" spans="1:53" x14ac:dyDescent="0.2">
      <c r="A1146" t="s">
        <v>51</v>
      </c>
      <c r="B1146" t="s">
        <v>6</v>
      </c>
      <c r="C1146">
        <v>2696</v>
      </c>
      <c r="D1146" t="s">
        <v>22</v>
      </c>
      <c r="E1146" t="s">
        <v>14</v>
      </c>
      <c r="F1146" t="s">
        <v>20</v>
      </c>
      <c r="G1146">
        <v>1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T1146">
        <v>1</v>
      </c>
      <c r="U1146">
        <v>1</v>
      </c>
      <c r="V1146">
        <v>1</v>
      </c>
      <c r="W1146">
        <v>1</v>
      </c>
      <c r="X1146">
        <v>3</v>
      </c>
      <c r="Y1146">
        <v>2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2</v>
      </c>
      <c r="AO1146">
        <v>1</v>
      </c>
      <c r="AP1146">
        <v>1</v>
      </c>
      <c r="AQ1146">
        <v>1</v>
      </c>
      <c r="AT1146">
        <v>2</v>
      </c>
      <c r="AU1146">
        <v>2</v>
      </c>
      <c r="AV1146">
        <v>1</v>
      </c>
      <c r="AW1146">
        <v>1</v>
      </c>
      <c r="AX1146">
        <v>1</v>
      </c>
      <c r="AZ1146">
        <v>2</v>
      </c>
      <c r="BA1146">
        <f>SUM(Pre[[#This Row],[1]:[46]])</f>
        <v>51</v>
      </c>
    </row>
    <row r="1147" spans="1:53" x14ac:dyDescent="0.2">
      <c r="A1147" t="s">
        <v>51</v>
      </c>
      <c r="B1147" t="s">
        <v>6</v>
      </c>
      <c r="C1147">
        <v>3806</v>
      </c>
      <c r="D1147" t="s">
        <v>22</v>
      </c>
      <c r="E1147" t="s">
        <v>14</v>
      </c>
      <c r="F1147" t="s">
        <v>20</v>
      </c>
      <c r="L1147">
        <v>1</v>
      </c>
      <c r="T1147">
        <v>1</v>
      </c>
      <c r="Y1147">
        <v>1</v>
      </c>
      <c r="AD1147">
        <v>1</v>
      </c>
      <c r="AM1147">
        <v>1</v>
      </c>
      <c r="AU1147">
        <v>1</v>
      </c>
      <c r="AZ1147">
        <v>1</v>
      </c>
      <c r="BA1147">
        <f>SUM(Pre[[#This Row],[1]:[46]])</f>
        <v>7</v>
      </c>
    </row>
    <row r="1148" spans="1:53" x14ac:dyDescent="0.2">
      <c r="A1148" t="s">
        <v>51</v>
      </c>
      <c r="B1148" t="s">
        <v>6</v>
      </c>
      <c r="C1148">
        <v>4250</v>
      </c>
      <c r="D1148" t="s">
        <v>22</v>
      </c>
      <c r="E1148" t="s">
        <v>8</v>
      </c>
      <c r="F1148" t="s">
        <v>23</v>
      </c>
      <c r="J1148">
        <v>1</v>
      </c>
      <c r="S1148">
        <v>1</v>
      </c>
      <c r="AI1148">
        <v>1</v>
      </c>
      <c r="AR1148">
        <v>1</v>
      </c>
      <c r="AX1148">
        <v>1</v>
      </c>
      <c r="BA1148">
        <f>SUM(Pre[[#This Row],[1]:[46]])</f>
        <v>5</v>
      </c>
    </row>
    <row r="1149" spans="1:53" x14ac:dyDescent="0.2">
      <c r="A1149" t="s">
        <v>51</v>
      </c>
      <c r="B1149" t="s">
        <v>6</v>
      </c>
      <c r="C1149">
        <v>4466</v>
      </c>
      <c r="D1149" t="s">
        <v>22</v>
      </c>
      <c r="E1149" t="s">
        <v>14</v>
      </c>
      <c r="F1149" t="s">
        <v>20</v>
      </c>
      <c r="O1149">
        <v>2</v>
      </c>
      <c r="Y1149">
        <v>1</v>
      </c>
      <c r="AO1149">
        <v>1</v>
      </c>
      <c r="BA1149">
        <f>SUM(Pre[[#This Row],[1]:[46]])</f>
        <v>4</v>
      </c>
    </row>
    <row r="1150" spans="1:53" x14ac:dyDescent="0.2">
      <c r="A1150" t="s">
        <v>51</v>
      </c>
      <c r="B1150" t="s">
        <v>6</v>
      </c>
      <c r="C1150">
        <v>4564</v>
      </c>
      <c r="D1150" t="s">
        <v>22</v>
      </c>
      <c r="E1150" t="s">
        <v>8</v>
      </c>
      <c r="F1150" t="s">
        <v>29</v>
      </c>
      <c r="T1150">
        <v>1</v>
      </c>
      <c r="AG1150">
        <v>1</v>
      </c>
      <c r="AT1150">
        <v>1</v>
      </c>
      <c r="BA1150">
        <f>SUM(Pre[[#This Row],[1]:[46]])</f>
        <v>3</v>
      </c>
    </row>
    <row r="1151" spans="1:53" x14ac:dyDescent="0.2">
      <c r="A1151" t="s">
        <v>51</v>
      </c>
      <c r="B1151" t="s">
        <v>6</v>
      </c>
      <c r="C1151">
        <v>5232</v>
      </c>
      <c r="D1151" t="s">
        <v>22</v>
      </c>
      <c r="E1151" t="s">
        <v>14</v>
      </c>
      <c r="F1151" t="s">
        <v>35</v>
      </c>
      <c r="K1151">
        <v>1</v>
      </c>
      <c r="W1151">
        <v>1</v>
      </c>
      <c r="AK1151">
        <v>2</v>
      </c>
      <c r="AV1151">
        <v>3</v>
      </c>
      <c r="BA1151">
        <f>SUM(Pre[[#This Row],[1]:[46]])</f>
        <v>7</v>
      </c>
    </row>
    <row r="1152" spans="1:53" x14ac:dyDescent="0.2">
      <c r="A1152" t="s">
        <v>51</v>
      </c>
      <c r="B1152" t="s">
        <v>6</v>
      </c>
      <c r="C1152">
        <v>6098</v>
      </c>
      <c r="D1152" t="s">
        <v>22</v>
      </c>
      <c r="E1152" t="s">
        <v>8</v>
      </c>
      <c r="F1152" t="s">
        <v>29</v>
      </c>
      <c r="U1152">
        <v>1</v>
      </c>
      <c r="AH1152">
        <v>1</v>
      </c>
      <c r="AU1152">
        <v>1</v>
      </c>
      <c r="BA1152">
        <f>SUM(Pre[[#This Row],[1]:[46]])</f>
        <v>3</v>
      </c>
    </row>
    <row r="1153" spans="1:53" x14ac:dyDescent="0.2">
      <c r="A1153" t="s">
        <v>51</v>
      </c>
      <c r="B1153" t="s">
        <v>6</v>
      </c>
      <c r="C1153">
        <v>6098</v>
      </c>
      <c r="D1153" t="s">
        <v>22</v>
      </c>
      <c r="E1153" t="s">
        <v>14</v>
      </c>
      <c r="F1153" t="s">
        <v>20</v>
      </c>
      <c r="BA1153">
        <f>SUM(Pre[[#This Row],[1]:[46]])</f>
        <v>0</v>
      </c>
    </row>
    <row r="1154" spans="1:53" x14ac:dyDescent="0.2">
      <c r="A1154" t="s">
        <v>51</v>
      </c>
      <c r="B1154" t="s">
        <v>6</v>
      </c>
      <c r="C1154">
        <v>6159</v>
      </c>
      <c r="D1154" t="s">
        <v>22</v>
      </c>
      <c r="E1154" t="s">
        <v>14</v>
      </c>
      <c r="F1154" t="s">
        <v>20</v>
      </c>
      <c r="M1154">
        <v>1</v>
      </c>
      <c r="BA1154">
        <f>SUM(Pre[[#This Row],[1]:[46]])</f>
        <v>1</v>
      </c>
    </row>
    <row r="1155" spans="1:53" x14ac:dyDescent="0.2">
      <c r="A1155" t="s">
        <v>51</v>
      </c>
      <c r="B1155" t="s">
        <v>6</v>
      </c>
      <c r="C1155">
        <v>6160</v>
      </c>
      <c r="D1155" t="s">
        <v>22</v>
      </c>
      <c r="E1155" t="s">
        <v>8</v>
      </c>
      <c r="F1155" t="s">
        <v>9</v>
      </c>
      <c r="BA1155">
        <f>SUM(Pre[[#This Row],[1]:[46]])</f>
        <v>0</v>
      </c>
    </row>
    <row r="1156" spans="1:53" x14ac:dyDescent="0.2">
      <c r="A1156" t="s">
        <v>51</v>
      </c>
      <c r="B1156" t="s">
        <v>6</v>
      </c>
      <c r="C1156">
        <v>6230</v>
      </c>
      <c r="D1156" t="s">
        <v>22</v>
      </c>
      <c r="E1156" t="s">
        <v>14</v>
      </c>
      <c r="F1156" t="s">
        <v>20</v>
      </c>
      <c r="H1156">
        <v>1</v>
      </c>
      <c r="AH1156">
        <v>1</v>
      </c>
      <c r="BA1156">
        <f>SUM(Pre[[#This Row],[1]:[46]])</f>
        <v>2</v>
      </c>
    </row>
    <row r="1157" spans="1:53" x14ac:dyDescent="0.2">
      <c r="A1157" t="s">
        <v>51</v>
      </c>
      <c r="B1157" t="s">
        <v>6</v>
      </c>
      <c r="C1157">
        <v>6399</v>
      </c>
      <c r="D1157" t="s">
        <v>22</v>
      </c>
      <c r="E1157" t="s">
        <v>14</v>
      </c>
      <c r="F1157" t="s">
        <v>31</v>
      </c>
      <c r="L1157">
        <v>1</v>
      </c>
      <c r="AB1157">
        <v>1</v>
      </c>
      <c r="AO1157">
        <v>1</v>
      </c>
      <c r="BA1157">
        <f>SUM(Pre[[#This Row],[1]:[46]])</f>
        <v>3</v>
      </c>
    </row>
    <row r="1158" spans="1:53" x14ac:dyDescent="0.2">
      <c r="A1158" t="s">
        <v>51</v>
      </c>
      <c r="B1158" t="s">
        <v>6</v>
      </c>
      <c r="C1158">
        <v>6514</v>
      </c>
      <c r="D1158" t="s">
        <v>22</v>
      </c>
      <c r="E1158" t="s">
        <v>10</v>
      </c>
      <c r="F1158" t="s">
        <v>11</v>
      </c>
      <c r="J1158">
        <v>1</v>
      </c>
      <c r="Q1158">
        <v>1</v>
      </c>
      <c r="X1158">
        <v>1</v>
      </c>
      <c r="AG1158">
        <v>1</v>
      </c>
      <c r="AK1158">
        <v>1</v>
      </c>
      <c r="AX1158">
        <v>1</v>
      </c>
      <c r="BA1158">
        <f>SUM(Pre[[#This Row],[1]:[46]])</f>
        <v>6</v>
      </c>
    </row>
    <row r="1159" spans="1:53" x14ac:dyDescent="0.2">
      <c r="A1159" t="s">
        <v>51</v>
      </c>
      <c r="B1159" t="s">
        <v>6</v>
      </c>
      <c r="C1159">
        <v>6643</v>
      </c>
      <c r="D1159" t="s">
        <v>22</v>
      </c>
      <c r="E1159" t="s">
        <v>8</v>
      </c>
      <c r="F1159" t="s">
        <v>23</v>
      </c>
      <c r="T1159">
        <v>1</v>
      </c>
      <c r="AB1159">
        <v>1</v>
      </c>
      <c r="AU1159">
        <v>1</v>
      </c>
      <c r="BA1159">
        <f>SUM(Pre[[#This Row],[1]:[46]])</f>
        <v>3</v>
      </c>
    </row>
    <row r="1160" spans="1:53" x14ac:dyDescent="0.2">
      <c r="A1160" t="s">
        <v>51</v>
      </c>
      <c r="B1160" t="s">
        <v>6</v>
      </c>
      <c r="C1160">
        <v>7344</v>
      </c>
      <c r="D1160" t="s">
        <v>22</v>
      </c>
      <c r="E1160" t="s">
        <v>14</v>
      </c>
      <c r="F1160" t="s">
        <v>20</v>
      </c>
      <c r="I1160">
        <v>1</v>
      </c>
      <c r="V1160">
        <v>1</v>
      </c>
      <c r="X1160">
        <v>1</v>
      </c>
      <c r="AM1160">
        <v>1</v>
      </c>
      <c r="BA1160">
        <f>SUM(Pre[[#This Row],[1]:[46]])</f>
        <v>4</v>
      </c>
    </row>
    <row r="1161" spans="1:53" x14ac:dyDescent="0.2">
      <c r="A1161" t="s">
        <v>51</v>
      </c>
      <c r="B1161" t="s">
        <v>6</v>
      </c>
      <c r="C1161">
        <v>7655</v>
      </c>
      <c r="D1161" t="s">
        <v>22</v>
      </c>
      <c r="E1161" t="s">
        <v>37</v>
      </c>
      <c r="F1161" t="s">
        <v>39</v>
      </c>
      <c r="T1161">
        <v>1</v>
      </c>
      <c r="AH1161">
        <v>1</v>
      </c>
      <c r="AV1161">
        <v>1</v>
      </c>
      <c r="BA1161">
        <f>SUM(Pre[[#This Row],[1]:[46]])</f>
        <v>3</v>
      </c>
    </row>
    <row r="1162" spans="1:53" x14ac:dyDescent="0.2">
      <c r="A1162" t="s">
        <v>51</v>
      </c>
      <c r="B1162" t="s">
        <v>6</v>
      </c>
      <c r="C1162">
        <v>7751</v>
      </c>
      <c r="D1162" t="s">
        <v>22</v>
      </c>
      <c r="E1162" t="s">
        <v>14</v>
      </c>
      <c r="F1162" t="s">
        <v>28</v>
      </c>
      <c r="P1162">
        <v>4</v>
      </c>
      <c r="AD1162">
        <v>3</v>
      </c>
      <c r="AQ1162">
        <v>1</v>
      </c>
      <c r="BA1162">
        <f>SUM(Pre[[#This Row],[1]:[46]])</f>
        <v>8</v>
      </c>
    </row>
    <row r="1163" spans="1:53" x14ac:dyDescent="0.2">
      <c r="A1163" t="s">
        <v>51</v>
      </c>
      <c r="B1163" t="s">
        <v>6</v>
      </c>
      <c r="C1163">
        <v>7909</v>
      </c>
      <c r="D1163" t="s">
        <v>22</v>
      </c>
      <c r="E1163" t="s">
        <v>8</v>
      </c>
      <c r="F1163" t="s">
        <v>23</v>
      </c>
      <c r="H1163">
        <v>1</v>
      </c>
      <c r="L1163">
        <v>1</v>
      </c>
      <c r="P1163">
        <v>1</v>
      </c>
      <c r="T1163">
        <v>1</v>
      </c>
      <c r="X1163">
        <v>1</v>
      </c>
      <c r="AB1163">
        <v>1</v>
      </c>
      <c r="AF1163">
        <v>1</v>
      </c>
      <c r="AJ1163">
        <v>1</v>
      </c>
      <c r="AN1163">
        <v>1</v>
      </c>
      <c r="AR1163">
        <v>1</v>
      </c>
      <c r="AU1163">
        <v>1</v>
      </c>
      <c r="AY1163">
        <v>1</v>
      </c>
      <c r="BA1163">
        <f>SUM(Pre[[#This Row],[1]:[46]])</f>
        <v>12</v>
      </c>
    </row>
    <row r="1164" spans="1:53" x14ac:dyDescent="0.2">
      <c r="A1164" t="s">
        <v>51</v>
      </c>
      <c r="B1164" t="s">
        <v>6</v>
      </c>
      <c r="C1164">
        <v>8087</v>
      </c>
      <c r="D1164" t="s">
        <v>22</v>
      </c>
      <c r="E1164" t="s">
        <v>8</v>
      </c>
      <c r="F1164" t="s">
        <v>23</v>
      </c>
      <c r="R1164">
        <v>1</v>
      </c>
      <c r="AF1164">
        <v>1</v>
      </c>
      <c r="AU1164">
        <v>1</v>
      </c>
      <c r="BA1164">
        <f>SUM(Pre[[#This Row],[1]:[46]])</f>
        <v>3</v>
      </c>
    </row>
    <row r="1165" spans="1:53" x14ac:dyDescent="0.2">
      <c r="A1165" t="s">
        <v>51</v>
      </c>
      <c r="B1165" t="s">
        <v>6</v>
      </c>
      <c r="C1165">
        <v>8409</v>
      </c>
      <c r="D1165" t="s">
        <v>22</v>
      </c>
      <c r="E1165" t="s">
        <v>14</v>
      </c>
      <c r="F1165" t="s">
        <v>20</v>
      </c>
      <c r="N1165">
        <v>1</v>
      </c>
      <c r="AG1165">
        <v>1</v>
      </c>
      <c r="AT1165">
        <v>1</v>
      </c>
      <c r="BA1165">
        <f>SUM(Pre[[#This Row],[1]:[46]])</f>
        <v>3</v>
      </c>
    </row>
    <row r="1166" spans="1:53" x14ac:dyDescent="0.2">
      <c r="A1166" t="s">
        <v>51</v>
      </c>
      <c r="B1166" t="s">
        <v>6</v>
      </c>
      <c r="C1166">
        <v>8653</v>
      </c>
      <c r="D1166" t="s">
        <v>22</v>
      </c>
      <c r="E1166" t="s">
        <v>8</v>
      </c>
      <c r="F1166" t="s">
        <v>23</v>
      </c>
      <c r="G1166">
        <v>1</v>
      </c>
      <c r="S1166">
        <v>1</v>
      </c>
      <c r="AF1166">
        <v>1</v>
      </c>
      <c r="AR1166">
        <v>1</v>
      </c>
      <c r="AS1166">
        <v>1</v>
      </c>
      <c r="BA1166">
        <f>SUM(Pre[[#This Row],[1]:[46]])</f>
        <v>5</v>
      </c>
    </row>
    <row r="1167" spans="1:53" x14ac:dyDescent="0.2">
      <c r="A1167" t="s">
        <v>51</v>
      </c>
      <c r="B1167" t="s">
        <v>6</v>
      </c>
      <c r="C1167">
        <v>8653</v>
      </c>
      <c r="D1167" t="s">
        <v>22</v>
      </c>
      <c r="E1167" t="s">
        <v>8</v>
      </c>
      <c r="F1167" t="s">
        <v>9</v>
      </c>
      <c r="AY1167">
        <v>1</v>
      </c>
      <c r="BA1167">
        <f>SUM(Pre[[#This Row],[1]:[46]])</f>
        <v>1</v>
      </c>
    </row>
    <row r="1168" spans="1:53" x14ac:dyDescent="0.2">
      <c r="A1168" t="s">
        <v>51</v>
      </c>
      <c r="B1168" t="s">
        <v>6</v>
      </c>
      <c r="C1168">
        <v>9491</v>
      </c>
      <c r="D1168" t="s">
        <v>22</v>
      </c>
      <c r="E1168" t="s">
        <v>10</v>
      </c>
      <c r="F1168" t="s">
        <v>11</v>
      </c>
      <c r="AO1168">
        <v>1</v>
      </c>
      <c r="BA1168">
        <f>SUM(Pre[[#This Row],[1]:[46]])</f>
        <v>1</v>
      </c>
    </row>
    <row r="1169" spans="1:53" x14ac:dyDescent="0.2">
      <c r="A1169" t="s">
        <v>51</v>
      </c>
      <c r="B1169" t="s">
        <v>6</v>
      </c>
      <c r="C1169">
        <v>9869</v>
      </c>
      <c r="D1169" t="s">
        <v>22</v>
      </c>
      <c r="E1169" t="s">
        <v>37</v>
      </c>
      <c r="F1169" t="s">
        <v>39</v>
      </c>
      <c r="H1169">
        <v>1</v>
      </c>
      <c r="Z1169">
        <v>1</v>
      </c>
      <c r="AM1169">
        <v>1</v>
      </c>
      <c r="AU1169">
        <v>2</v>
      </c>
      <c r="BA1169">
        <f>SUM(Pre[[#This Row],[1]:[46]])</f>
        <v>5</v>
      </c>
    </row>
    <row r="1170" spans="1:53" x14ac:dyDescent="0.2">
      <c r="A1170" t="s">
        <v>51</v>
      </c>
      <c r="B1170" t="s">
        <v>6</v>
      </c>
      <c r="C1170">
        <v>9869</v>
      </c>
      <c r="D1170" t="s">
        <v>22</v>
      </c>
      <c r="E1170" t="s">
        <v>14</v>
      </c>
      <c r="F1170" t="s">
        <v>35</v>
      </c>
      <c r="H1170">
        <v>1</v>
      </c>
      <c r="Z1170">
        <v>1</v>
      </c>
      <c r="AM1170">
        <v>1</v>
      </c>
      <c r="AU1170">
        <v>2</v>
      </c>
      <c r="BA1170">
        <f>SUM(Pre[[#This Row],[1]:[46]])</f>
        <v>5</v>
      </c>
    </row>
    <row r="1171" spans="1:53" x14ac:dyDescent="0.2">
      <c r="A1171" t="s">
        <v>51</v>
      </c>
      <c r="B1171" t="s">
        <v>6</v>
      </c>
      <c r="C1171">
        <v>11081</v>
      </c>
      <c r="D1171" t="s">
        <v>22</v>
      </c>
      <c r="E1171" t="s">
        <v>10</v>
      </c>
      <c r="F1171" t="s">
        <v>11</v>
      </c>
      <c r="P1171">
        <v>1</v>
      </c>
      <c r="AB1171">
        <v>1</v>
      </c>
      <c r="AU1171">
        <v>1</v>
      </c>
      <c r="AY1171">
        <v>1</v>
      </c>
      <c r="BA1171">
        <f>SUM(Pre[[#This Row],[1]:[46]])</f>
        <v>4</v>
      </c>
    </row>
    <row r="1172" spans="1:53" x14ac:dyDescent="0.2">
      <c r="A1172" t="s">
        <v>51</v>
      </c>
      <c r="B1172" t="s">
        <v>6</v>
      </c>
      <c r="C1172">
        <v>11117</v>
      </c>
      <c r="D1172" t="s">
        <v>22</v>
      </c>
      <c r="E1172" t="s">
        <v>14</v>
      </c>
      <c r="F1172" t="s">
        <v>20</v>
      </c>
      <c r="G1172">
        <v>2</v>
      </c>
      <c r="K1172">
        <v>1</v>
      </c>
      <c r="P1172">
        <v>1</v>
      </c>
      <c r="U1172">
        <v>1</v>
      </c>
      <c r="AH1172">
        <v>1</v>
      </c>
      <c r="AI1172">
        <v>1</v>
      </c>
      <c r="AM1172">
        <v>1</v>
      </c>
      <c r="AP1172">
        <v>1</v>
      </c>
      <c r="AV1172">
        <v>1</v>
      </c>
      <c r="AZ1172">
        <v>1</v>
      </c>
      <c r="BA1172">
        <f>SUM(Pre[[#This Row],[1]:[46]])</f>
        <v>11</v>
      </c>
    </row>
    <row r="1173" spans="1:53" x14ac:dyDescent="0.2">
      <c r="A1173" t="s">
        <v>51</v>
      </c>
      <c r="B1173" t="s">
        <v>6</v>
      </c>
      <c r="C1173">
        <v>12632</v>
      </c>
      <c r="D1173" t="s">
        <v>22</v>
      </c>
      <c r="E1173" t="s">
        <v>14</v>
      </c>
      <c r="F1173" t="s">
        <v>35</v>
      </c>
      <c r="I1173">
        <v>1</v>
      </c>
      <c r="AB1173">
        <v>1</v>
      </c>
      <c r="BA1173">
        <f>SUM(Pre[[#This Row],[1]:[46]])</f>
        <v>2</v>
      </c>
    </row>
    <row r="1174" spans="1:53" x14ac:dyDescent="0.2">
      <c r="A1174" t="s">
        <v>51</v>
      </c>
      <c r="B1174" t="s">
        <v>6</v>
      </c>
      <c r="C1174">
        <v>13565</v>
      </c>
      <c r="D1174" t="s">
        <v>22</v>
      </c>
      <c r="E1174" t="s">
        <v>10</v>
      </c>
      <c r="F1174" t="s">
        <v>11</v>
      </c>
      <c r="H1174">
        <v>1</v>
      </c>
      <c r="U1174">
        <v>1</v>
      </c>
      <c r="AI1174">
        <v>1</v>
      </c>
      <c r="AX1174">
        <v>1</v>
      </c>
      <c r="BA1174">
        <f>SUM(Pre[[#This Row],[1]:[46]])</f>
        <v>4</v>
      </c>
    </row>
    <row r="1175" spans="1:53" x14ac:dyDescent="0.2">
      <c r="A1175" t="s">
        <v>51</v>
      </c>
      <c r="B1175" t="s">
        <v>6</v>
      </c>
      <c r="C1175">
        <v>14316</v>
      </c>
      <c r="D1175" t="s">
        <v>22</v>
      </c>
      <c r="E1175" t="s">
        <v>14</v>
      </c>
      <c r="F1175" t="s">
        <v>21</v>
      </c>
      <c r="Y1175">
        <v>1</v>
      </c>
      <c r="AY1175">
        <v>2</v>
      </c>
      <c r="AZ1175">
        <v>1</v>
      </c>
      <c r="BA1175">
        <f>SUM(Pre[[#This Row],[1]:[46]])</f>
        <v>4</v>
      </c>
    </row>
    <row r="1176" spans="1:53" x14ac:dyDescent="0.2">
      <c r="A1176" t="s">
        <v>51</v>
      </c>
      <c r="B1176" t="s">
        <v>6</v>
      </c>
      <c r="C1176">
        <v>16909</v>
      </c>
      <c r="D1176" t="s">
        <v>22</v>
      </c>
      <c r="E1176" t="s">
        <v>10</v>
      </c>
      <c r="F1176" t="s">
        <v>11</v>
      </c>
      <c r="BA1176">
        <f>SUM(Pre[[#This Row],[1]:[46]])</f>
        <v>0</v>
      </c>
    </row>
    <row r="1177" spans="1:53" x14ac:dyDescent="0.2">
      <c r="A1177" t="s">
        <v>51</v>
      </c>
      <c r="B1177" t="s">
        <v>6</v>
      </c>
      <c r="C1177">
        <v>17209</v>
      </c>
      <c r="D1177" t="s">
        <v>22</v>
      </c>
      <c r="E1177" t="s">
        <v>14</v>
      </c>
      <c r="F1177" t="s">
        <v>21</v>
      </c>
      <c r="K1177">
        <v>1</v>
      </c>
      <c r="X1177">
        <v>1</v>
      </c>
      <c r="AL1177">
        <v>1</v>
      </c>
      <c r="AX1177">
        <v>1</v>
      </c>
      <c r="BA1177">
        <f>SUM(Pre[[#This Row],[1]:[46]])</f>
        <v>4</v>
      </c>
    </row>
    <row r="1178" spans="1:53" x14ac:dyDescent="0.2">
      <c r="A1178" t="s">
        <v>51</v>
      </c>
      <c r="B1178" t="s">
        <v>6</v>
      </c>
      <c r="C1178">
        <v>17400</v>
      </c>
      <c r="D1178" t="s">
        <v>22</v>
      </c>
      <c r="E1178" t="s">
        <v>37</v>
      </c>
      <c r="F1178" t="s">
        <v>39</v>
      </c>
      <c r="L1178">
        <v>1</v>
      </c>
      <c r="N1178">
        <v>1</v>
      </c>
      <c r="R1178">
        <v>1</v>
      </c>
      <c r="W1178">
        <v>1</v>
      </c>
      <c r="AA1178">
        <v>1</v>
      </c>
      <c r="AF1178">
        <v>2</v>
      </c>
      <c r="AJ1178">
        <v>1</v>
      </c>
      <c r="AM1178">
        <v>1</v>
      </c>
      <c r="AQ1178">
        <v>1</v>
      </c>
      <c r="AS1178">
        <v>1</v>
      </c>
      <c r="AW1178">
        <v>1</v>
      </c>
      <c r="BA1178">
        <f>SUM(Pre[[#This Row],[1]:[46]])</f>
        <v>12</v>
      </c>
    </row>
    <row r="1179" spans="1:53" x14ac:dyDescent="0.2">
      <c r="A1179" t="s">
        <v>51</v>
      </c>
      <c r="B1179" t="s">
        <v>6</v>
      </c>
      <c r="C1179">
        <v>18165</v>
      </c>
      <c r="D1179" t="s">
        <v>22</v>
      </c>
      <c r="E1179" t="s">
        <v>10</v>
      </c>
      <c r="F1179" t="s">
        <v>11</v>
      </c>
      <c r="BA1179">
        <f>SUM(Pre[[#This Row],[1]:[46]])</f>
        <v>0</v>
      </c>
    </row>
    <row r="1180" spans="1:53" x14ac:dyDescent="0.2">
      <c r="A1180" t="s">
        <v>51</v>
      </c>
      <c r="B1180" t="s">
        <v>6</v>
      </c>
      <c r="C1180">
        <v>18165</v>
      </c>
      <c r="D1180" t="s">
        <v>22</v>
      </c>
      <c r="E1180" t="s">
        <v>14</v>
      </c>
      <c r="F1180" t="s">
        <v>20</v>
      </c>
      <c r="J1180">
        <v>1</v>
      </c>
      <c r="P1180">
        <v>1</v>
      </c>
      <c r="S1180">
        <v>1</v>
      </c>
      <c r="U1180">
        <v>1</v>
      </c>
      <c r="Y1180">
        <v>1</v>
      </c>
      <c r="AB1180">
        <v>1</v>
      </c>
      <c r="AI1180">
        <v>1</v>
      </c>
      <c r="AK1180">
        <v>2</v>
      </c>
      <c r="AM1180">
        <v>1</v>
      </c>
      <c r="AP1180">
        <v>2</v>
      </c>
      <c r="AV1180">
        <v>1</v>
      </c>
      <c r="AW1180">
        <v>1</v>
      </c>
      <c r="AZ1180">
        <v>1</v>
      </c>
      <c r="BA1180">
        <f>SUM(Pre[[#This Row],[1]:[46]])</f>
        <v>15</v>
      </c>
    </row>
    <row r="1181" spans="1:53" x14ac:dyDescent="0.2">
      <c r="A1181" t="s">
        <v>51</v>
      </c>
      <c r="B1181" t="s">
        <v>6</v>
      </c>
      <c r="C1181">
        <v>18430</v>
      </c>
      <c r="D1181" t="s">
        <v>22</v>
      </c>
      <c r="E1181" t="s">
        <v>8</v>
      </c>
      <c r="F1181" t="s">
        <v>29</v>
      </c>
      <c r="I1181">
        <v>1</v>
      </c>
      <c r="W1181">
        <v>1</v>
      </c>
      <c r="AI1181">
        <v>1</v>
      </c>
      <c r="AW1181">
        <v>1</v>
      </c>
      <c r="BA1181">
        <f>SUM(Pre[[#This Row],[1]:[46]])</f>
        <v>4</v>
      </c>
    </row>
    <row r="1182" spans="1:53" x14ac:dyDescent="0.2">
      <c r="A1182" t="s">
        <v>51</v>
      </c>
      <c r="B1182" t="s">
        <v>6</v>
      </c>
      <c r="C1182">
        <v>20521</v>
      </c>
      <c r="D1182" t="s">
        <v>22</v>
      </c>
      <c r="E1182" t="s">
        <v>14</v>
      </c>
      <c r="F1182" t="s">
        <v>35</v>
      </c>
      <c r="G1182">
        <v>1</v>
      </c>
      <c r="O1182">
        <v>1</v>
      </c>
      <c r="V1182">
        <v>1</v>
      </c>
      <c r="AE1182">
        <v>2</v>
      </c>
      <c r="AF1182">
        <v>2</v>
      </c>
      <c r="AP1182">
        <v>1</v>
      </c>
      <c r="AY1182">
        <v>1</v>
      </c>
      <c r="BA1182">
        <f>SUM(Pre[[#This Row],[1]:[46]])</f>
        <v>9</v>
      </c>
    </row>
    <row r="1183" spans="1:53" x14ac:dyDescent="0.2">
      <c r="A1183" t="s">
        <v>51</v>
      </c>
      <c r="B1183" t="s">
        <v>6</v>
      </c>
      <c r="C1183">
        <v>27184</v>
      </c>
      <c r="D1183" t="s">
        <v>22</v>
      </c>
      <c r="E1183" t="s">
        <v>37</v>
      </c>
      <c r="F1183" t="s">
        <v>39</v>
      </c>
      <c r="U1183">
        <v>2</v>
      </c>
      <c r="AI1183">
        <v>1</v>
      </c>
      <c r="AV1183">
        <v>1</v>
      </c>
      <c r="BA1183">
        <f>SUM(Pre[[#This Row],[1]:[46]])</f>
        <v>4</v>
      </c>
    </row>
    <row r="1184" spans="1:53" x14ac:dyDescent="0.2">
      <c r="A1184" t="s">
        <v>51</v>
      </c>
      <c r="B1184" t="s">
        <v>6</v>
      </c>
      <c r="C1184">
        <v>27184</v>
      </c>
      <c r="D1184" t="s">
        <v>22</v>
      </c>
      <c r="E1184" t="s">
        <v>14</v>
      </c>
      <c r="F1184" t="s">
        <v>20</v>
      </c>
      <c r="AT1184">
        <v>1</v>
      </c>
      <c r="AV1184">
        <v>1</v>
      </c>
      <c r="BA1184">
        <f>SUM(Pre[[#This Row],[1]:[46]])</f>
        <v>2</v>
      </c>
    </row>
    <row r="1185" spans="1:53" x14ac:dyDescent="0.2">
      <c r="A1185" t="s">
        <v>51</v>
      </c>
      <c r="B1185" t="s">
        <v>6</v>
      </c>
      <c r="C1185">
        <v>27987</v>
      </c>
      <c r="D1185" t="s">
        <v>22</v>
      </c>
      <c r="E1185" t="s">
        <v>14</v>
      </c>
      <c r="F1185" t="s">
        <v>19</v>
      </c>
      <c r="I1185">
        <v>1</v>
      </c>
      <c r="BA1185">
        <f>SUM(Pre[[#This Row],[1]:[46]])</f>
        <v>1</v>
      </c>
    </row>
    <row r="1186" spans="1:53" x14ac:dyDescent="0.2">
      <c r="A1186" t="s">
        <v>51</v>
      </c>
      <c r="B1186" t="s">
        <v>6</v>
      </c>
      <c r="C1186">
        <v>205</v>
      </c>
      <c r="D1186" t="s">
        <v>7</v>
      </c>
      <c r="E1186" t="s">
        <v>14</v>
      </c>
      <c r="F1186" t="s">
        <v>20</v>
      </c>
      <c r="P1186">
        <v>1</v>
      </c>
      <c r="AQ1186">
        <v>1</v>
      </c>
      <c r="BA1186">
        <f>SUM(Pre[[#This Row],[1]:[46]])</f>
        <v>2</v>
      </c>
    </row>
    <row r="1187" spans="1:53" x14ac:dyDescent="0.2">
      <c r="A1187" t="s">
        <v>51</v>
      </c>
      <c r="B1187" t="s">
        <v>6</v>
      </c>
      <c r="C1187">
        <v>4076</v>
      </c>
      <c r="D1187" t="s">
        <v>7</v>
      </c>
      <c r="E1187" t="s">
        <v>10</v>
      </c>
      <c r="F1187" t="s">
        <v>11</v>
      </c>
      <c r="BA1187">
        <f>SUM(Pre[[#This Row],[1]:[46]])</f>
        <v>0</v>
      </c>
    </row>
    <row r="1188" spans="1:53" x14ac:dyDescent="0.2">
      <c r="A1188" t="s">
        <v>51</v>
      </c>
      <c r="B1188" t="s">
        <v>6</v>
      </c>
      <c r="C1188">
        <v>4076</v>
      </c>
      <c r="D1188" t="s">
        <v>7</v>
      </c>
      <c r="E1188" t="s">
        <v>12</v>
      </c>
      <c r="F1188" t="s">
        <v>13</v>
      </c>
      <c r="V1188">
        <v>1</v>
      </c>
      <c r="AI1188">
        <v>1</v>
      </c>
      <c r="AW1188">
        <v>2</v>
      </c>
      <c r="BA1188">
        <f>SUM(Pre[[#This Row],[1]:[46]])</f>
        <v>4</v>
      </c>
    </row>
    <row r="1189" spans="1:53" x14ac:dyDescent="0.2">
      <c r="A1189" t="s">
        <v>51</v>
      </c>
      <c r="B1189" t="s">
        <v>6</v>
      </c>
      <c r="C1189">
        <v>5233</v>
      </c>
      <c r="D1189" t="s">
        <v>7</v>
      </c>
      <c r="E1189" t="s">
        <v>10</v>
      </c>
      <c r="F1189" t="s">
        <v>11</v>
      </c>
      <c r="BA1189">
        <f>SUM(Pre[[#This Row],[1]:[46]])</f>
        <v>0</v>
      </c>
    </row>
    <row r="1190" spans="1:53" x14ac:dyDescent="0.2">
      <c r="A1190" t="s">
        <v>51</v>
      </c>
      <c r="B1190" t="s">
        <v>6</v>
      </c>
      <c r="C1190">
        <v>5233</v>
      </c>
      <c r="D1190" t="s">
        <v>7</v>
      </c>
      <c r="E1190" t="s">
        <v>14</v>
      </c>
      <c r="F1190" t="s">
        <v>20</v>
      </c>
      <c r="J1190">
        <v>1</v>
      </c>
      <c r="S1190">
        <v>1</v>
      </c>
      <c r="AD1190">
        <v>1</v>
      </c>
      <c r="AQ1190">
        <v>1</v>
      </c>
      <c r="BA1190">
        <f>SUM(Pre[[#This Row],[1]:[46]])</f>
        <v>4</v>
      </c>
    </row>
    <row r="1191" spans="1:53" x14ac:dyDescent="0.2">
      <c r="A1191" t="s">
        <v>51</v>
      </c>
      <c r="B1191" t="s">
        <v>6</v>
      </c>
      <c r="C1191">
        <v>5270</v>
      </c>
      <c r="D1191" t="s">
        <v>7</v>
      </c>
      <c r="E1191" t="s">
        <v>10</v>
      </c>
      <c r="F1191" t="s">
        <v>11</v>
      </c>
      <c r="Q1191">
        <v>1</v>
      </c>
      <c r="Y1191">
        <v>1</v>
      </c>
      <c r="AR1191">
        <v>1</v>
      </c>
      <c r="BA1191">
        <f>SUM(Pre[[#This Row],[1]:[46]])</f>
        <v>3</v>
      </c>
    </row>
    <row r="1192" spans="1:53" x14ac:dyDescent="0.2">
      <c r="A1192" t="s">
        <v>51</v>
      </c>
      <c r="B1192" t="s">
        <v>6</v>
      </c>
      <c r="C1192">
        <v>5270</v>
      </c>
      <c r="D1192" t="s">
        <v>7</v>
      </c>
      <c r="E1192" t="s">
        <v>32</v>
      </c>
      <c r="F1192" t="s">
        <v>33</v>
      </c>
      <c r="N1192">
        <v>1</v>
      </c>
      <c r="Y1192">
        <v>1</v>
      </c>
      <c r="AR1192">
        <v>2</v>
      </c>
      <c r="BA1192">
        <f>SUM(Pre[[#This Row],[1]:[46]])</f>
        <v>4</v>
      </c>
    </row>
    <row r="1193" spans="1:53" x14ac:dyDescent="0.2">
      <c r="A1193" t="s">
        <v>51</v>
      </c>
      <c r="B1193" t="s">
        <v>6</v>
      </c>
      <c r="C1193">
        <v>5295</v>
      </c>
      <c r="D1193" t="s">
        <v>7</v>
      </c>
      <c r="E1193" t="s">
        <v>14</v>
      </c>
      <c r="F1193" t="s">
        <v>31</v>
      </c>
      <c r="BA1193">
        <f>SUM(Pre[[#This Row],[1]:[46]])</f>
        <v>0</v>
      </c>
    </row>
    <row r="1194" spans="1:53" x14ac:dyDescent="0.2">
      <c r="A1194" t="s">
        <v>51</v>
      </c>
      <c r="B1194" t="s">
        <v>6</v>
      </c>
      <c r="C1194">
        <v>5295</v>
      </c>
      <c r="D1194" t="s">
        <v>7</v>
      </c>
      <c r="E1194" t="s">
        <v>14</v>
      </c>
      <c r="F1194" t="s">
        <v>28</v>
      </c>
      <c r="BA1194">
        <f>SUM(Pre[[#This Row],[1]:[46]])</f>
        <v>0</v>
      </c>
    </row>
    <row r="1195" spans="1:53" x14ac:dyDescent="0.2">
      <c r="A1195" t="s">
        <v>51</v>
      </c>
      <c r="B1195" t="s">
        <v>6</v>
      </c>
      <c r="C1195">
        <v>7345</v>
      </c>
      <c r="D1195" t="s">
        <v>7</v>
      </c>
      <c r="E1195" t="s">
        <v>10</v>
      </c>
      <c r="F1195" t="s">
        <v>11</v>
      </c>
      <c r="G1195">
        <v>1</v>
      </c>
      <c r="M1195">
        <v>1</v>
      </c>
      <c r="AA1195">
        <v>2</v>
      </c>
      <c r="AF1195">
        <v>1</v>
      </c>
      <c r="BA1195">
        <f>SUM(Pre[[#This Row],[1]:[46]])</f>
        <v>5</v>
      </c>
    </row>
    <row r="1196" spans="1:53" x14ac:dyDescent="0.2">
      <c r="A1196" t="s">
        <v>51</v>
      </c>
      <c r="B1196" t="s">
        <v>6</v>
      </c>
      <c r="C1196">
        <v>7345</v>
      </c>
      <c r="D1196" t="s">
        <v>7</v>
      </c>
      <c r="E1196" t="s">
        <v>14</v>
      </c>
      <c r="F1196" t="s">
        <v>20</v>
      </c>
      <c r="AJ1196">
        <v>1</v>
      </c>
      <c r="BA1196">
        <f>SUM(Pre[[#This Row],[1]:[46]])</f>
        <v>1</v>
      </c>
    </row>
    <row r="1197" spans="1:53" x14ac:dyDescent="0.2">
      <c r="A1197" t="s">
        <v>51</v>
      </c>
      <c r="B1197" t="s">
        <v>6</v>
      </c>
      <c r="C1197">
        <v>7379</v>
      </c>
      <c r="D1197" t="s">
        <v>7</v>
      </c>
      <c r="E1197" t="s">
        <v>10</v>
      </c>
      <c r="F1197" t="s">
        <v>11</v>
      </c>
      <c r="AL1197">
        <v>1</v>
      </c>
      <c r="AU1197">
        <v>1</v>
      </c>
      <c r="BA1197">
        <f>SUM(Pre[[#This Row],[1]:[46]])</f>
        <v>2</v>
      </c>
    </row>
    <row r="1198" spans="1:53" x14ac:dyDescent="0.2">
      <c r="A1198" t="s">
        <v>51</v>
      </c>
      <c r="B1198" t="s">
        <v>6</v>
      </c>
      <c r="C1198">
        <v>8737</v>
      </c>
      <c r="D1198" t="s">
        <v>7</v>
      </c>
      <c r="E1198" t="s">
        <v>14</v>
      </c>
      <c r="F1198" t="s">
        <v>20</v>
      </c>
      <c r="T1198">
        <v>1</v>
      </c>
      <c r="AG1198">
        <v>1</v>
      </c>
      <c r="AU1198">
        <v>1</v>
      </c>
      <c r="BA1198">
        <f>SUM(Pre[[#This Row],[1]:[46]])</f>
        <v>3</v>
      </c>
    </row>
    <row r="1199" spans="1:53" x14ac:dyDescent="0.2">
      <c r="A1199" t="s">
        <v>51</v>
      </c>
      <c r="B1199" t="s">
        <v>6</v>
      </c>
      <c r="C1199">
        <v>8804</v>
      </c>
      <c r="D1199" t="s">
        <v>7</v>
      </c>
      <c r="E1199" t="s">
        <v>14</v>
      </c>
      <c r="F1199" t="s">
        <v>20</v>
      </c>
      <c r="K1199">
        <v>1</v>
      </c>
      <c r="X1199">
        <v>1</v>
      </c>
      <c r="AU1199">
        <v>1</v>
      </c>
      <c r="BA1199">
        <f>SUM(Pre[[#This Row],[1]:[46]])</f>
        <v>3</v>
      </c>
    </row>
    <row r="1200" spans="1:53" x14ac:dyDescent="0.2">
      <c r="A1200" t="s">
        <v>51</v>
      </c>
      <c r="B1200" t="s">
        <v>6</v>
      </c>
      <c r="C1200">
        <v>8836</v>
      </c>
      <c r="D1200" t="s">
        <v>7</v>
      </c>
      <c r="E1200" t="s">
        <v>17</v>
      </c>
      <c r="F1200" t="s">
        <v>18</v>
      </c>
      <c r="I1200">
        <v>1</v>
      </c>
      <c r="N1200">
        <v>1</v>
      </c>
      <c r="R1200">
        <v>1</v>
      </c>
      <c r="V1200">
        <v>1</v>
      </c>
      <c r="Z1200">
        <v>1</v>
      </c>
      <c r="AD1200">
        <v>1</v>
      </c>
      <c r="AH1200">
        <v>1</v>
      </c>
      <c r="AK1200">
        <v>2</v>
      </c>
      <c r="AL1200">
        <v>1</v>
      </c>
      <c r="AP1200">
        <v>1</v>
      </c>
      <c r="AT1200">
        <v>1</v>
      </c>
      <c r="AX1200">
        <v>1</v>
      </c>
      <c r="BA1200">
        <f>SUM(Pre[[#This Row],[1]:[46]])</f>
        <v>13</v>
      </c>
    </row>
    <row r="1201" spans="1:53" x14ac:dyDescent="0.2">
      <c r="A1201" t="s">
        <v>51</v>
      </c>
      <c r="B1201" t="s">
        <v>6</v>
      </c>
      <c r="C1201">
        <v>8836</v>
      </c>
      <c r="D1201" t="s">
        <v>7</v>
      </c>
      <c r="E1201" t="s">
        <v>14</v>
      </c>
      <c r="F1201" t="s">
        <v>35</v>
      </c>
      <c r="I1201">
        <v>1</v>
      </c>
      <c r="N1201">
        <v>1</v>
      </c>
      <c r="R1201">
        <v>1</v>
      </c>
      <c r="V1201">
        <v>1</v>
      </c>
      <c r="Z1201">
        <v>1</v>
      </c>
      <c r="AD1201">
        <v>1</v>
      </c>
      <c r="AH1201">
        <v>1</v>
      </c>
      <c r="AL1201">
        <v>1</v>
      </c>
      <c r="AP1201">
        <v>1</v>
      </c>
      <c r="AT1201">
        <v>1</v>
      </c>
      <c r="AX1201">
        <v>1</v>
      </c>
      <c r="AY1201">
        <v>1</v>
      </c>
      <c r="BA1201">
        <f>SUM(Pre[[#This Row],[1]:[46]])</f>
        <v>12</v>
      </c>
    </row>
    <row r="1202" spans="1:53" x14ac:dyDescent="0.2">
      <c r="A1202" t="s">
        <v>51</v>
      </c>
      <c r="B1202" t="s">
        <v>6</v>
      </c>
      <c r="C1202">
        <v>11264</v>
      </c>
      <c r="D1202" t="s">
        <v>7</v>
      </c>
      <c r="E1202" t="s">
        <v>14</v>
      </c>
      <c r="F1202" t="s">
        <v>19</v>
      </c>
      <c r="AX1202">
        <v>1</v>
      </c>
      <c r="BA1202">
        <f>SUM(Pre[[#This Row],[1]:[46]])</f>
        <v>1</v>
      </c>
    </row>
    <row r="1203" spans="1:53" x14ac:dyDescent="0.2">
      <c r="A1203" t="s">
        <v>51</v>
      </c>
      <c r="B1203" t="s">
        <v>6</v>
      </c>
      <c r="C1203">
        <v>5916</v>
      </c>
      <c r="D1203" t="s">
        <v>22</v>
      </c>
      <c r="E1203" t="s">
        <v>14</v>
      </c>
      <c r="F1203" t="s">
        <v>20</v>
      </c>
      <c r="H1203">
        <v>1</v>
      </c>
      <c r="T1203">
        <v>1</v>
      </c>
      <c r="AE1203">
        <v>1</v>
      </c>
      <c r="AX1203">
        <v>1</v>
      </c>
      <c r="BA1203">
        <f>SUM(Pre[[#This Row],[1]:[46]])</f>
        <v>4</v>
      </c>
    </row>
    <row r="1204" spans="1:53" x14ac:dyDescent="0.2">
      <c r="A1204" t="s">
        <v>51</v>
      </c>
      <c r="B1204" t="s">
        <v>6</v>
      </c>
      <c r="C1204">
        <v>7510</v>
      </c>
      <c r="D1204" t="s">
        <v>22</v>
      </c>
      <c r="E1204" t="s">
        <v>14</v>
      </c>
      <c r="F1204" t="s">
        <v>20</v>
      </c>
      <c r="R1204">
        <v>1</v>
      </c>
      <c r="AE1204">
        <v>1</v>
      </c>
      <c r="AR1204">
        <v>1</v>
      </c>
      <c r="AZ1204">
        <v>1</v>
      </c>
      <c r="BA1204">
        <f>SUM(Pre[[#This Row],[1]:[46]])</f>
        <v>4</v>
      </c>
    </row>
    <row r="1205" spans="1:53" x14ac:dyDescent="0.2">
      <c r="A1205" t="s">
        <v>51</v>
      </c>
      <c r="B1205" t="s">
        <v>6</v>
      </c>
      <c r="C1205">
        <v>21257</v>
      </c>
      <c r="D1205" t="s">
        <v>22</v>
      </c>
      <c r="E1205" t="s">
        <v>14</v>
      </c>
      <c r="F1205" t="s">
        <v>20</v>
      </c>
      <c r="Q1205">
        <v>1</v>
      </c>
      <c r="AB1205">
        <v>1</v>
      </c>
      <c r="AP1205">
        <v>1</v>
      </c>
      <c r="BA1205">
        <f>SUM(Pre[[#This Row],[1]:[46]])</f>
        <v>3</v>
      </c>
    </row>
    <row r="1206" spans="1:53" x14ac:dyDescent="0.2">
      <c r="A1206" t="s">
        <v>51</v>
      </c>
      <c r="B1206" t="s">
        <v>6</v>
      </c>
      <c r="C1206">
        <v>30286</v>
      </c>
      <c r="D1206" t="s">
        <v>22</v>
      </c>
      <c r="E1206" t="s">
        <v>14</v>
      </c>
      <c r="F1206" t="s">
        <v>20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2</v>
      </c>
      <c r="S1206">
        <v>1</v>
      </c>
      <c r="U1206">
        <v>2</v>
      </c>
      <c r="V1206">
        <v>1</v>
      </c>
      <c r="W1206">
        <v>2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2</v>
      </c>
      <c r="AP1206">
        <v>1</v>
      </c>
      <c r="AQ1206">
        <v>1</v>
      </c>
      <c r="AR1206">
        <v>1</v>
      </c>
      <c r="AS1206">
        <v>1</v>
      </c>
      <c r="AT1206">
        <v>2</v>
      </c>
      <c r="AU1206">
        <v>2</v>
      </c>
      <c r="AV1206">
        <v>2</v>
      </c>
      <c r="AW1206">
        <v>1</v>
      </c>
      <c r="AX1206">
        <v>1</v>
      </c>
      <c r="AZ1206">
        <v>2</v>
      </c>
      <c r="BA1206">
        <f>SUM(Pre[[#This Row],[1]:[46]])</f>
        <v>51</v>
      </c>
    </row>
    <row r="1207" spans="1:53" x14ac:dyDescent="0.2">
      <c r="A1207" t="s">
        <v>51</v>
      </c>
      <c r="B1207" t="s">
        <v>6</v>
      </c>
      <c r="C1207">
        <v>1242</v>
      </c>
      <c r="D1207" t="s">
        <v>7</v>
      </c>
      <c r="E1207" t="s">
        <v>10</v>
      </c>
      <c r="F1207" t="s">
        <v>11</v>
      </c>
      <c r="AF1207">
        <v>1</v>
      </c>
      <c r="BA1207">
        <f>SUM(Pre[[#This Row],[1]:[46]])</f>
        <v>1</v>
      </c>
    </row>
    <row r="1208" spans="1:53" x14ac:dyDescent="0.2">
      <c r="A1208" t="s">
        <v>51</v>
      </c>
      <c r="B1208" t="s">
        <v>6</v>
      </c>
      <c r="C1208">
        <v>1242</v>
      </c>
      <c r="D1208" t="s">
        <v>7</v>
      </c>
      <c r="E1208" t="s">
        <v>32</v>
      </c>
      <c r="F1208" t="s">
        <v>33</v>
      </c>
      <c r="AG1208">
        <v>1</v>
      </c>
      <c r="BA1208">
        <f>SUM(Pre[[#This Row],[1]:[46]])</f>
        <v>1</v>
      </c>
    </row>
    <row r="1209" spans="1:53" x14ac:dyDescent="0.2">
      <c r="A1209" t="s">
        <v>51</v>
      </c>
      <c r="B1209" t="s">
        <v>6</v>
      </c>
      <c r="C1209">
        <v>1242</v>
      </c>
      <c r="D1209" t="s">
        <v>7</v>
      </c>
      <c r="E1209" t="s">
        <v>14</v>
      </c>
      <c r="F1209" t="s">
        <v>20</v>
      </c>
      <c r="AI1209">
        <v>1</v>
      </c>
      <c r="BA1209">
        <f>SUM(Pre[[#This Row],[1]:[46]])</f>
        <v>1</v>
      </c>
    </row>
    <row r="1210" spans="1:53" x14ac:dyDescent="0.2">
      <c r="A1210" t="s">
        <v>51</v>
      </c>
      <c r="B1210" t="s">
        <v>6</v>
      </c>
      <c r="C1210">
        <v>1922</v>
      </c>
      <c r="D1210" t="s">
        <v>7</v>
      </c>
      <c r="E1210" t="s">
        <v>14</v>
      </c>
      <c r="F1210" t="s">
        <v>20</v>
      </c>
      <c r="AK1210">
        <v>1</v>
      </c>
      <c r="BA1210">
        <f>SUM(Pre[[#This Row],[1]:[46]])</f>
        <v>1</v>
      </c>
    </row>
    <row r="1211" spans="1:53" x14ac:dyDescent="0.2">
      <c r="A1211" t="s">
        <v>51</v>
      </c>
      <c r="B1211" t="s">
        <v>6</v>
      </c>
      <c r="C1211">
        <v>2511</v>
      </c>
      <c r="D1211" t="s">
        <v>7</v>
      </c>
      <c r="E1211" t="s">
        <v>10</v>
      </c>
      <c r="F1211" t="s">
        <v>11</v>
      </c>
      <c r="AG1211">
        <v>1</v>
      </c>
      <c r="AJ1211">
        <v>1</v>
      </c>
      <c r="AO1211">
        <v>1</v>
      </c>
      <c r="AS1211">
        <v>1</v>
      </c>
      <c r="BA1211">
        <f>SUM(Pre[[#This Row],[1]:[46]])</f>
        <v>4</v>
      </c>
    </row>
    <row r="1212" spans="1:53" x14ac:dyDescent="0.2">
      <c r="A1212" t="s">
        <v>51</v>
      </c>
      <c r="B1212" t="s">
        <v>6</v>
      </c>
      <c r="C1212">
        <v>2511</v>
      </c>
      <c r="D1212" t="s">
        <v>7</v>
      </c>
      <c r="E1212" t="s">
        <v>14</v>
      </c>
      <c r="F1212" t="s">
        <v>15</v>
      </c>
      <c r="AV1212">
        <v>1</v>
      </c>
      <c r="AW1212">
        <v>1</v>
      </c>
      <c r="BA1212">
        <f>SUM(Pre[[#This Row],[1]:[46]])</f>
        <v>2</v>
      </c>
    </row>
    <row r="1213" spans="1:53" x14ac:dyDescent="0.2">
      <c r="A1213" t="s">
        <v>51</v>
      </c>
      <c r="B1213" t="s">
        <v>6</v>
      </c>
      <c r="C1213">
        <v>8317</v>
      </c>
      <c r="D1213" t="s">
        <v>7</v>
      </c>
      <c r="E1213" t="s">
        <v>14</v>
      </c>
      <c r="F1213" t="s">
        <v>28</v>
      </c>
      <c r="J1213">
        <v>1</v>
      </c>
      <c r="X1213">
        <v>1</v>
      </c>
      <c r="AC1213">
        <v>1</v>
      </c>
      <c r="AG1213">
        <v>1</v>
      </c>
      <c r="AL1213">
        <v>1</v>
      </c>
      <c r="AP1213">
        <v>1</v>
      </c>
      <c r="AU1213">
        <v>1</v>
      </c>
      <c r="AY1213">
        <v>1</v>
      </c>
      <c r="BA1213">
        <f>SUM(Pre[[#This Row],[1]:[46]])</f>
        <v>8</v>
      </c>
    </row>
    <row r="1214" spans="1:53" x14ac:dyDescent="0.2">
      <c r="A1214" t="s">
        <v>51</v>
      </c>
      <c r="B1214" t="s">
        <v>6</v>
      </c>
      <c r="C1214">
        <v>33418</v>
      </c>
      <c r="D1214" t="s">
        <v>7</v>
      </c>
      <c r="E1214" t="s">
        <v>14</v>
      </c>
      <c r="F1214" t="s">
        <v>20</v>
      </c>
      <c r="G1214">
        <v>1</v>
      </c>
      <c r="J1214">
        <v>1</v>
      </c>
      <c r="L1214">
        <v>1</v>
      </c>
      <c r="Q1214">
        <v>1</v>
      </c>
      <c r="S1214">
        <v>1</v>
      </c>
      <c r="Y1214">
        <v>1</v>
      </c>
      <c r="BA1214">
        <f>SUM(Pre[[#This Row],[1]:[46]])</f>
        <v>6</v>
      </c>
    </row>
    <row r="1215" spans="1:53" x14ac:dyDescent="0.2">
      <c r="A1215" t="s">
        <v>51</v>
      </c>
      <c r="B1215" t="s">
        <v>6</v>
      </c>
      <c r="C1215">
        <v>1601</v>
      </c>
      <c r="D1215" t="s">
        <v>22</v>
      </c>
      <c r="E1215" t="s">
        <v>10</v>
      </c>
      <c r="F1215" t="s">
        <v>11</v>
      </c>
      <c r="AC1215">
        <v>1</v>
      </c>
      <c r="AI1215">
        <v>1</v>
      </c>
      <c r="BA1215">
        <f>SUM(Pre[[#This Row],[1]:[46]])</f>
        <v>2</v>
      </c>
    </row>
    <row r="1216" spans="1:53" x14ac:dyDescent="0.2">
      <c r="A1216" t="s">
        <v>51</v>
      </c>
      <c r="B1216" t="s">
        <v>6</v>
      </c>
      <c r="C1216">
        <v>226</v>
      </c>
      <c r="D1216" t="s">
        <v>7</v>
      </c>
      <c r="E1216" t="s">
        <v>14</v>
      </c>
      <c r="F1216" t="s">
        <v>35</v>
      </c>
      <c r="K1216">
        <v>1</v>
      </c>
      <c r="X1216">
        <v>1</v>
      </c>
      <c r="AK1216">
        <v>1</v>
      </c>
      <c r="AW1216">
        <v>2</v>
      </c>
      <c r="BA1216">
        <f>SUM(Pre[[#This Row],[1]:[46]])</f>
        <v>5</v>
      </c>
    </row>
    <row r="1217" spans="1:53" x14ac:dyDescent="0.2">
      <c r="A1217" t="s">
        <v>51</v>
      </c>
      <c r="B1217" t="s">
        <v>6</v>
      </c>
      <c r="C1217">
        <v>1336</v>
      </c>
      <c r="D1217" t="s">
        <v>7</v>
      </c>
      <c r="E1217" t="s">
        <v>14</v>
      </c>
      <c r="F1217" t="s">
        <v>20</v>
      </c>
      <c r="K1217">
        <v>1</v>
      </c>
      <c r="Q1217">
        <v>1</v>
      </c>
      <c r="U1217">
        <v>1</v>
      </c>
      <c r="Z1217">
        <v>1</v>
      </c>
      <c r="AE1217">
        <v>1</v>
      </c>
      <c r="AF1217">
        <v>1</v>
      </c>
      <c r="AJ1217">
        <v>1</v>
      </c>
      <c r="AN1217">
        <v>1</v>
      </c>
      <c r="AR1217">
        <v>1</v>
      </c>
      <c r="AV1217">
        <v>1</v>
      </c>
      <c r="BA1217">
        <f>SUM(Pre[[#This Row],[1]:[46]])</f>
        <v>10</v>
      </c>
    </row>
    <row r="1218" spans="1:53" x14ac:dyDescent="0.2">
      <c r="A1218" t="s">
        <v>51</v>
      </c>
      <c r="B1218" t="s">
        <v>6</v>
      </c>
      <c r="C1218">
        <v>4254</v>
      </c>
      <c r="D1218" t="s">
        <v>7</v>
      </c>
      <c r="E1218" t="s">
        <v>14</v>
      </c>
      <c r="F1218" t="s">
        <v>20</v>
      </c>
      <c r="H1218">
        <v>1</v>
      </c>
      <c r="Q1218">
        <v>2</v>
      </c>
      <c r="AC1218">
        <v>1</v>
      </c>
      <c r="AQ1218">
        <v>2</v>
      </c>
      <c r="BA1218">
        <f>SUM(Pre[[#This Row],[1]:[46]])</f>
        <v>6</v>
      </c>
    </row>
    <row r="1219" spans="1:53" x14ac:dyDescent="0.2">
      <c r="A1219" t="s">
        <v>51</v>
      </c>
      <c r="B1219" t="s">
        <v>6</v>
      </c>
      <c r="C1219">
        <v>6231</v>
      </c>
      <c r="D1219" t="s">
        <v>7</v>
      </c>
      <c r="E1219" t="s">
        <v>14</v>
      </c>
      <c r="F1219" t="s">
        <v>20</v>
      </c>
      <c r="AV1219">
        <v>1</v>
      </c>
      <c r="BA1219">
        <f>SUM(Pre[[#This Row],[1]:[46]])</f>
        <v>1</v>
      </c>
    </row>
    <row r="1220" spans="1:53" x14ac:dyDescent="0.2">
      <c r="A1220" t="s">
        <v>51</v>
      </c>
      <c r="B1220" t="s">
        <v>6</v>
      </c>
      <c r="C1220">
        <v>7493</v>
      </c>
      <c r="D1220" t="s">
        <v>7</v>
      </c>
      <c r="E1220" t="s">
        <v>14</v>
      </c>
      <c r="F1220" t="s">
        <v>20</v>
      </c>
      <c r="L1220">
        <v>1</v>
      </c>
      <c r="Y1220">
        <v>1</v>
      </c>
      <c r="AY1220">
        <v>1</v>
      </c>
      <c r="BA1220">
        <f>SUM(Pre[[#This Row],[1]:[46]])</f>
        <v>3</v>
      </c>
    </row>
    <row r="1221" spans="1:53" x14ac:dyDescent="0.2">
      <c r="A1221" t="s">
        <v>51</v>
      </c>
      <c r="B1221" t="s">
        <v>6</v>
      </c>
      <c r="C1221">
        <v>7511</v>
      </c>
      <c r="D1221" t="s">
        <v>7</v>
      </c>
      <c r="E1221" t="s">
        <v>10</v>
      </c>
      <c r="F1221" t="s">
        <v>11</v>
      </c>
      <c r="BA1221">
        <f>SUM(Pre[[#This Row],[1]:[46]])</f>
        <v>0</v>
      </c>
    </row>
    <row r="1222" spans="1:53" x14ac:dyDescent="0.2">
      <c r="A1222" t="s">
        <v>51</v>
      </c>
      <c r="B1222" t="s">
        <v>6</v>
      </c>
      <c r="C1222">
        <v>7511</v>
      </c>
      <c r="D1222" t="s">
        <v>7</v>
      </c>
      <c r="E1222" t="s">
        <v>14</v>
      </c>
      <c r="F1222" t="s">
        <v>35</v>
      </c>
      <c r="V1222">
        <v>1</v>
      </c>
      <c r="AJ1222">
        <v>1</v>
      </c>
      <c r="AV1222">
        <v>1</v>
      </c>
      <c r="BA1222">
        <f>SUM(Pre[[#This Row],[1]:[46]])</f>
        <v>3</v>
      </c>
    </row>
    <row r="1223" spans="1:53" x14ac:dyDescent="0.2">
      <c r="A1223" t="s">
        <v>51</v>
      </c>
      <c r="B1223" t="s">
        <v>6</v>
      </c>
      <c r="C1223">
        <v>8093</v>
      </c>
      <c r="D1223" t="s">
        <v>7</v>
      </c>
      <c r="E1223" t="s">
        <v>14</v>
      </c>
      <c r="F1223" t="s">
        <v>21</v>
      </c>
      <c r="BA1223">
        <f>SUM(Pre[[#This Row],[1]:[46]])</f>
        <v>0</v>
      </c>
    </row>
    <row r="1224" spans="1:53" x14ac:dyDescent="0.2">
      <c r="A1224" t="s">
        <v>51</v>
      </c>
      <c r="B1224" t="s">
        <v>6</v>
      </c>
      <c r="C1224">
        <v>8093</v>
      </c>
      <c r="D1224" t="s">
        <v>7</v>
      </c>
      <c r="E1224" t="s">
        <v>14</v>
      </c>
      <c r="F1224" t="s">
        <v>20</v>
      </c>
      <c r="AD1224">
        <v>1</v>
      </c>
      <c r="AJ1224">
        <v>2</v>
      </c>
      <c r="AN1224">
        <v>1</v>
      </c>
      <c r="AR1224">
        <v>1</v>
      </c>
      <c r="AX1224">
        <v>1</v>
      </c>
      <c r="BA1224">
        <f>SUM(Pre[[#This Row],[1]:[46]])</f>
        <v>6</v>
      </c>
    </row>
    <row r="1225" spans="1:53" x14ac:dyDescent="0.2">
      <c r="A1225" t="s">
        <v>51</v>
      </c>
      <c r="B1225" t="s">
        <v>6</v>
      </c>
      <c r="C1225">
        <v>8357</v>
      </c>
      <c r="D1225" t="s">
        <v>7</v>
      </c>
      <c r="E1225" t="s">
        <v>14</v>
      </c>
      <c r="F1225" t="s">
        <v>20</v>
      </c>
      <c r="H1225">
        <v>1</v>
      </c>
      <c r="L1225">
        <v>1</v>
      </c>
      <c r="Q1225">
        <v>2</v>
      </c>
      <c r="S1225">
        <v>1</v>
      </c>
      <c r="T1225">
        <v>1</v>
      </c>
      <c r="W1225">
        <v>1</v>
      </c>
      <c r="AB1225">
        <v>1</v>
      </c>
      <c r="AE1225">
        <v>1</v>
      </c>
      <c r="AI1225">
        <v>1</v>
      </c>
      <c r="AM1225">
        <v>1</v>
      </c>
      <c r="AQ1225">
        <v>1</v>
      </c>
      <c r="AU1225">
        <v>1</v>
      </c>
      <c r="BA1225">
        <f>SUM(Pre[[#This Row],[1]:[46]])</f>
        <v>13</v>
      </c>
    </row>
    <row r="1226" spans="1:53" x14ac:dyDescent="0.2">
      <c r="A1226" t="s">
        <v>51</v>
      </c>
      <c r="B1226" t="s">
        <v>6</v>
      </c>
      <c r="C1226">
        <v>9430</v>
      </c>
      <c r="D1226" t="s">
        <v>7</v>
      </c>
      <c r="E1226" t="s">
        <v>14</v>
      </c>
      <c r="F1226" t="s">
        <v>31</v>
      </c>
      <c r="AA1226">
        <v>1</v>
      </c>
      <c r="AU1226">
        <v>1</v>
      </c>
      <c r="AV1226">
        <v>3</v>
      </c>
      <c r="BA1226">
        <f>SUM(Pre[[#This Row],[1]:[46]])</f>
        <v>5</v>
      </c>
    </row>
    <row r="1227" spans="1:53" x14ac:dyDescent="0.2">
      <c r="A1227" t="s">
        <v>51</v>
      </c>
      <c r="B1227" t="s">
        <v>6</v>
      </c>
      <c r="C1227">
        <v>10390</v>
      </c>
      <c r="D1227" t="s">
        <v>7</v>
      </c>
      <c r="E1227" t="s">
        <v>10</v>
      </c>
      <c r="F1227" t="s">
        <v>16</v>
      </c>
      <c r="AY1227">
        <v>2</v>
      </c>
      <c r="AZ1227">
        <v>1</v>
      </c>
      <c r="BA1227">
        <f>SUM(Pre[[#This Row],[1]:[46]])</f>
        <v>3</v>
      </c>
    </row>
    <row r="1228" spans="1:53" x14ac:dyDescent="0.2">
      <c r="A1228" t="s">
        <v>51</v>
      </c>
      <c r="B1228" t="s">
        <v>6</v>
      </c>
      <c r="C1228">
        <v>14315</v>
      </c>
      <c r="D1228" t="s">
        <v>7</v>
      </c>
      <c r="E1228" t="s">
        <v>14</v>
      </c>
      <c r="F1228" t="s">
        <v>20</v>
      </c>
      <c r="M1228">
        <v>1</v>
      </c>
      <c r="Y1228">
        <v>1</v>
      </c>
      <c r="AL1228">
        <v>1</v>
      </c>
      <c r="AY1228">
        <v>1</v>
      </c>
      <c r="BA1228">
        <f>SUM(Pre[[#This Row],[1]:[46]])</f>
        <v>4</v>
      </c>
    </row>
    <row r="1229" spans="1:53" x14ac:dyDescent="0.2">
      <c r="A1229" t="s">
        <v>51</v>
      </c>
      <c r="B1229" t="s">
        <v>6</v>
      </c>
      <c r="C1229">
        <v>3649</v>
      </c>
      <c r="D1229" t="s">
        <v>22</v>
      </c>
      <c r="E1229" t="s">
        <v>14</v>
      </c>
      <c r="F1229" t="s">
        <v>21</v>
      </c>
      <c r="BA1229">
        <f>SUM(Pre[[#This Row],[1]:[46]])</f>
        <v>0</v>
      </c>
    </row>
    <row r="1230" spans="1:53" x14ac:dyDescent="0.2">
      <c r="A1230" t="s">
        <v>51</v>
      </c>
      <c r="B1230" t="s">
        <v>6</v>
      </c>
      <c r="C1230">
        <v>4250</v>
      </c>
      <c r="D1230" t="s">
        <v>22</v>
      </c>
      <c r="E1230" t="s">
        <v>14</v>
      </c>
      <c r="F1230" t="s">
        <v>21</v>
      </c>
      <c r="BA1230">
        <f>SUM(Pre[[#This Row],[1]:[46]])</f>
        <v>0</v>
      </c>
    </row>
    <row r="1231" spans="1:53" x14ac:dyDescent="0.2">
      <c r="A1231" t="s">
        <v>51</v>
      </c>
      <c r="B1231" t="s">
        <v>6</v>
      </c>
      <c r="C1231">
        <v>4250</v>
      </c>
      <c r="D1231" t="s">
        <v>22</v>
      </c>
      <c r="E1231" t="s">
        <v>14</v>
      </c>
      <c r="F1231" t="s">
        <v>20</v>
      </c>
      <c r="J1231">
        <v>1</v>
      </c>
      <c r="O1231">
        <v>1</v>
      </c>
      <c r="AE1231">
        <v>1</v>
      </c>
      <c r="AR1231">
        <v>1</v>
      </c>
      <c r="BA1231">
        <f>SUM(Pre[[#This Row],[1]:[46]])</f>
        <v>4</v>
      </c>
    </row>
    <row r="1232" spans="1:53" x14ac:dyDescent="0.2">
      <c r="A1232" t="s">
        <v>51</v>
      </c>
      <c r="B1232" t="s">
        <v>6</v>
      </c>
      <c r="C1232">
        <v>4564</v>
      </c>
      <c r="D1232" t="s">
        <v>22</v>
      </c>
      <c r="E1232" t="s">
        <v>14</v>
      </c>
      <c r="F1232" t="s">
        <v>20</v>
      </c>
      <c r="T1232">
        <v>1</v>
      </c>
      <c r="AG1232">
        <v>1</v>
      </c>
      <c r="AT1232">
        <v>1</v>
      </c>
      <c r="BA1232">
        <f>SUM(Pre[[#This Row],[1]:[46]])</f>
        <v>3</v>
      </c>
    </row>
    <row r="1233" spans="1:53" x14ac:dyDescent="0.2">
      <c r="A1233" t="s">
        <v>51</v>
      </c>
      <c r="B1233" t="s">
        <v>6</v>
      </c>
      <c r="C1233">
        <v>7288</v>
      </c>
      <c r="D1233" t="s">
        <v>22</v>
      </c>
      <c r="E1233" t="s">
        <v>14</v>
      </c>
      <c r="F1233" t="s">
        <v>20</v>
      </c>
      <c r="H1233">
        <v>1</v>
      </c>
      <c r="V1233">
        <v>1</v>
      </c>
      <c r="AL1233">
        <v>1</v>
      </c>
      <c r="BA1233">
        <f>SUM(Pre[[#This Row],[1]:[46]])</f>
        <v>3</v>
      </c>
    </row>
    <row r="1234" spans="1:53" x14ac:dyDescent="0.2">
      <c r="A1234" t="s">
        <v>51</v>
      </c>
      <c r="B1234" t="s">
        <v>6</v>
      </c>
      <c r="C1234">
        <v>7292</v>
      </c>
      <c r="D1234" t="s">
        <v>22</v>
      </c>
      <c r="E1234" t="s">
        <v>10</v>
      </c>
      <c r="F1234" t="s">
        <v>11</v>
      </c>
      <c r="BA1234">
        <f>SUM(Pre[[#This Row],[1]:[46]])</f>
        <v>0</v>
      </c>
    </row>
    <row r="1235" spans="1:53" x14ac:dyDescent="0.2">
      <c r="A1235" t="s">
        <v>51</v>
      </c>
      <c r="B1235" t="s">
        <v>6</v>
      </c>
      <c r="C1235">
        <v>8653</v>
      </c>
      <c r="D1235" t="s">
        <v>22</v>
      </c>
      <c r="E1235" t="s">
        <v>14</v>
      </c>
      <c r="F1235" t="s">
        <v>19</v>
      </c>
      <c r="L1235">
        <v>1</v>
      </c>
      <c r="Y1235">
        <v>1</v>
      </c>
      <c r="AL1235">
        <v>1</v>
      </c>
      <c r="AY1235">
        <v>1</v>
      </c>
      <c r="BA1235">
        <f>SUM(Pre[[#This Row],[1]:[46]])</f>
        <v>4</v>
      </c>
    </row>
    <row r="1236" spans="1:53" x14ac:dyDescent="0.2">
      <c r="A1236" t="s">
        <v>51</v>
      </c>
      <c r="B1236" t="s">
        <v>6</v>
      </c>
      <c r="C1236">
        <v>18430</v>
      </c>
      <c r="D1236" t="s">
        <v>22</v>
      </c>
      <c r="E1236" t="s">
        <v>14</v>
      </c>
      <c r="F1236" t="s">
        <v>35</v>
      </c>
      <c r="I1236">
        <v>1</v>
      </c>
      <c r="W1236">
        <v>1</v>
      </c>
      <c r="AI1236">
        <v>1</v>
      </c>
      <c r="AW1236">
        <v>1</v>
      </c>
      <c r="BA1236">
        <f>SUM(Pre[[#This Row],[1]:[46]])</f>
        <v>4</v>
      </c>
    </row>
    <row r="1237" spans="1:53" x14ac:dyDescent="0.2">
      <c r="A1237" t="s">
        <v>51</v>
      </c>
      <c r="B1237" t="s">
        <v>6</v>
      </c>
      <c r="C1237">
        <v>55</v>
      </c>
      <c r="D1237" t="s">
        <v>7</v>
      </c>
      <c r="E1237" t="s">
        <v>10</v>
      </c>
      <c r="F1237" t="s">
        <v>11</v>
      </c>
      <c r="J1237">
        <v>1</v>
      </c>
      <c r="N1237">
        <v>1</v>
      </c>
      <c r="P1237">
        <v>1</v>
      </c>
      <c r="Q1237">
        <v>1</v>
      </c>
      <c r="U1237">
        <v>1</v>
      </c>
      <c r="Y1237">
        <v>1</v>
      </c>
      <c r="AC1237">
        <v>1</v>
      </c>
      <c r="AG1237">
        <v>1</v>
      </c>
      <c r="AK1237">
        <v>1</v>
      </c>
      <c r="AO1237">
        <v>1</v>
      </c>
      <c r="AS1237">
        <v>1</v>
      </c>
      <c r="AW1237">
        <v>1</v>
      </c>
      <c r="BA1237">
        <f>SUM(Pre[[#This Row],[1]:[46]])</f>
        <v>12</v>
      </c>
    </row>
    <row r="1238" spans="1:53" x14ac:dyDescent="0.2">
      <c r="A1238" t="s">
        <v>51</v>
      </c>
      <c r="B1238" t="s">
        <v>6</v>
      </c>
      <c r="C1238">
        <v>55</v>
      </c>
      <c r="D1238" t="s">
        <v>7</v>
      </c>
      <c r="E1238" t="s">
        <v>14</v>
      </c>
      <c r="F1238" t="s">
        <v>21</v>
      </c>
      <c r="BA1238">
        <f>SUM(Pre[[#This Row],[1]:[46]])</f>
        <v>0</v>
      </c>
    </row>
    <row r="1239" spans="1:53" x14ac:dyDescent="0.2">
      <c r="A1239" t="s">
        <v>51</v>
      </c>
      <c r="B1239" t="s">
        <v>6</v>
      </c>
      <c r="C1239">
        <v>687</v>
      </c>
      <c r="D1239" t="s">
        <v>7</v>
      </c>
      <c r="E1239" t="s">
        <v>14</v>
      </c>
      <c r="F1239" t="s">
        <v>20</v>
      </c>
      <c r="H1239">
        <v>1</v>
      </c>
      <c r="J1239">
        <v>1</v>
      </c>
      <c r="L1239">
        <v>1</v>
      </c>
      <c r="N1239">
        <v>1</v>
      </c>
      <c r="P1239">
        <v>1</v>
      </c>
      <c r="R1239">
        <v>1</v>
      </c>
      <c r="T1239">
        <v>1</v>
      </c>
      <c r="U1239">
        <v>1</v>
      </c>
      <c r="W1239">
        <v>1</v>
      </c>
      <c r="Y1239">
        <v>1</v>
      </c>
      <c r="AA1239">
        <v>1</v>
      </c>
      <c r="AD1239">
        <v>3</v>
      </c>
      <c r="AF1239">
        <v>1</v>
      </c>
      <c r="AG1239">
        <v>1</v>
      </c>
      <c r="AH1239">
        <v>1</v>
      </c>
      <c r="BA1239">
        <f>SUM(Pre[[#This Row],[1]:[46]])</f>
        <v>17</v>
      </c>
    </row>
    <row r="1240" spans="1:53" x14ac:dyDescent="0.2">
      <c r="A1240" t="s">
        <v>51</v>
      </c>
      <c r="B1240" t="s">
        <v>6</v>
      </c>
      <c r="C1240">
        <v>1311</v>
      </c>
      <c r="D1240" t="s">
        <v>7</v>
      </c>
      <c r="E1240" t="s">
        <v>10</v>
      </c>
      <c r="F1240" t="s">
        <v>11</v>
      </c>
      <c r="S1240">
        <v>1</v>
      </c>
      <c r="AK1240">
        <v>1</v>
      </c>
      <c r="AY1240">
        <v>1</v>
      </c>
      <c r="BA1240">
        <f>SUM(Pre[[#This Row],[1]:[46]])</f>
        <v>3</v>
      </c>
    </row>
    <row r="1241" spans="1:53" x14ac:dyDescent="0.2">
      <c r="A1241" t="s">
        <v>51</v>
      </c>
      <c r="B1241" t="s">
        <v>6</v>
      </c>
      <c r="C1241">
        <v>1899</v>
      </c>
      <c r="D1241" t="s">
        <v>7</v>
      </c>
      <c r="E1241" t="s">
        <v>14</v>
      </c>
      <c r="F1241" t="s">
        <v>20</v>
      </c>
      <c r="P1241">
        <v>1</v>
      </c>
      <c r="BA1241">
        <f>SUM(Pre[[#This Row],[1]:[46]])</f>
        <v>1</v>
      </c>
    </row>
    <row r="1242" spans="1:53" x14ac:dyDescent="0.2">
      <c r="A1242" t="s">
        <v>51</v>
      </c>
      <c r="B1242" t="s">
        <v>6</v>
      </c>
      <c r="C1242">
        <v>5917</v>
      </c>
      <c r="D1242" t="s">
        <v>7</v>
      </c>
      <c r="E1242" t="s">
        <v>10</v>
      </c>
      <c r="F1242" t="s">
        <v>11</v>
      </c>
      <c r="BA1242">
        <f>SUM(Pre[[#This Row],[1]:[46]])</f>
        <v>0</v>
      </c>
    </row>
    <row r="1243" spans="1:53" x14ac:dyDescent="0.2">
      <c r="A1243" t="s">
        <v>51</v>
      </c>
      <c r="B1243" t="s">
        <v>6</v>
      </c>
      <c r="C1243">
        <v>6661</v>
      </c>
      <c r="D1243" t="s">
        <v>7</v>
      </c>
      <c r="E1243" t="s">
        <v>14</v>
      </c>
      <c r="F1243" t="s">
        <v>35</v>
      </c>
      <c r="Y1243">
        <v>1</v>
      </c>
      <c r="Z1243">
        <v>1</v>
      </c>
      <c r="AC1243">
        <v>1</v>
      </c>
      <c r="AE1243">
        <v>1</v>
      </c>
      <c r="AG1243">
        <v>1</v>
      </c>
      <c r="AI1243">
        <v>2</v>
      </c>
      <c r="AN1243">
        <v>1</v>
      </c>
      <c r="AR1243">
        <v>1</v>
      </c>
      <c r="AV1243">
        <v>1</v>
      </c>
      <c r="AZ1243">
        <v>1</v>
      </c>
      <c r="BA1243">
        <f>SUM(Pre[[#This Row],[1]:[46]])</f>
        <v>11</v>
      </c>
    </row>
    <row r="1244" spans="1:53" x14ac:dyDescent="0.2">
      <c r="A1244" t="s">
        <v>51</v>
      </c>
      <c r="B1244" t="s">
        <v>6</v>
      </c>
      <c r="C1244">
        <v>6661</v>
      </c>
      <c r="D1244" t="s">
        <v>7</v>
      </c>
      <c r="E1244" t="s">
        <v>14</v>
      </c>
      <c r="F1244" t="s">
        <v>28</v>
      </c>
      <c r="J1244">
        <v>1</v>
      </c>
      <c r="N1244">
        <v>1</v>
      </c>
      <c r="R1244">
        <v>1</v>
      </c>
      <c r="W1244">
        <v>1</v>
      </c>
      <c r="BA1244">
        <f>SUM(Pre[[#This Row],[1]:[46]])</f>
        <v>4</v>
      </c>
    </row>
    <row r="1245" spans="1:53" x14ac:dyDescent="0.2">
      <c r="A1245" t="s">
        <v>51</v>
      </c>
      <c r="B1245" t="s">
        <v>6</v>
      </c>
      <c r="C1245">
        <v>6643</v>
      </c>
      <c r="D1245" t="s">
        <v>22</v>
      </c>
      <c r="E1245" t="s">
        <v>14</v>
      </c>
      <c r="F1245" t="s">
        <v>35</v>
      </c>
      <c r="AG1245">
        <v>1</v>
      </c>
      <c r="AK1245">
        <v>1</v>
      </c>
      <c r="BA1245">
        <f>SUM(Pre[[#This Row],[1]:[46]])</f>
        <v>2</v>
      </c>
    </row>
    <row r="1246" spans="1:53" x14ac:dyDescent="0.2">
      <c r="A1246" t="s">
        <v>51</v>
      </c>
      <c r="B1246" t="s">
        <v>6</v>
      </c>
      <c r="C1246">
        <v>6643</v>
      </c>
      <c r="D1246" t="s">
        <v>22</v>
      </c>
      <c r="E1246" t="s">
        <v>14</v>
      </c>
      <c r="F1246" t="s">
        <v>20</v>
      </c>
      <c r="AF1246">
        <v>1</v>
      </c>
      <c r="BA1246">
        <f>SUM(Pre[[#This Row],[1]:[46]])</f>
        <v>1</v>
      </c>
    </row>
    <row r="1247" spans="1:53" x14ac:dyDescent="0.2">
      <c r="A1247" t="s">
        <v>51</v>
      </c>
      <c r="B1247" t="s">
        <v>6</v>
      </c>
      <c r="C1247">
        <v>8316</v>
      </c>
      <c r="D1247" t="s">
        <v>22</v>
      </c>
      <c r="E1247" t="s">
        <v>14</v>
      </c>
      <c r="F1247" t="s">
        <v>20</v>
      </c>
      <c r="I1247">
        <v>1</v>
      </c>
      <c r="M1247">
        <v>1</v>
      </c>
      <c r="Q1247">
        <v>1</v>
      </c>
      <c r="V1247">
        <v>1</v>
      </c>
      <c r="Y1247">
        <v>1</v>
      </c>
      <c r="AC1247">
        <v>1</v>
      </c>
      <c r="AG1247">
        <v>1</v>
      </c>
      <c r="AK1247">
        <v>1</v>
      </c>
      <c r="AO1247">
        <v>1</v>
      </c>
      <c r="AS1247">
        <v>1</v>
      </c>
      <c r="AX1247">
        <v>1</v>
      </c>
      <c r="BA1247">
        <f>SUM(Pre[[#This Row],[1]:[46]])</f>
        <v>11</v>
      </c>
    </row>
    <row r="1248" spans="1:53" x14ac:dyDescent="0.2">
      <c r="A1248" t="s">
        <v>51</v>
      </c>
      <c r="B1248" t="s">
        <v>6</v>
      </c>
      <c r="C1248">
        <v>19133</v>
      </c>
      <c r="D1248" t="s">
        <v>22</v>
      </c>
      <c r="E1248" t="s">
        <v>14</v>
      </c>
      <c r="F1248" t="s">
        <v>21</v>
      </c>
      <c r="Q1248">
        <v>1</v>
      </c>
      <c r="AG1248">
        <v>1</v>
      </c>
      <c r="AR1248">
        <v>1</v>
      </c>
      <c r="BA1248">
        <f>SUM(Pre[[#This Row],[1]:[46]])</f>
        <v>3</v>
      </c>
    </row>
    <row r="1249" spans="1:53" x14ac:dyDescent="0.2">
      <c r="A1249" t="s">
        <v>51</v>
      </c>
      <c r="B1249" t="s">
        <v>6</v>
      </c>
      <c r="C1249">
        <v>39</v>
      </c>
      <c r="D1249" t="s">
        <v>7</v>
      </c>
      <c r="E1249" t="s">
        <v>8</v>
      </c>
      <c r="F1249" t="s">
        <v>23</v>
      </c>
      <c r="N1249">
        <v>1</v>
      </c>
      <c r="AC1249">
        <v>1</v>
      </c>
      <c r="AP1249">
        <v>1</v>
      </c>
      <c r="BA1249">
        <f>SUM(Pre[[#This Row],[1]:[46]])</f>
        <v>3</v>
      </c>
    </row>
    <row r="1250" spans="1:53" x14ac:dyDescent="0.2">
      <c r="A1250" t="s">
        <v>51</v>
      </c>
      <c r="B1250" t="s">
        <v>6</v>
      </c>
      <c r="C1250">
        <v>1832</v>
      </c>
      <c r="D1250" t="s">
        <v>7</v>
      </c>
      <c r="E1250" t="s">
        <v>8</v>
      </c>
      <c r="F1250" t="s">
        <v>30</v>
      </c>
      <c r="G1250">
        <v>2</v>
      </c>
      <c r="T1250">
        <v>1</v>
      </c>
      <c r="AG1250">
        <v>1</v>
      </c>
      <c r="AT1250">
        <v>1</v>
      </c>
      <c r="BA1250">
        <f>SUM(Pre[[#This Row],[1]:[46]])</f>
        <v>5</v>
      </c>
    </row>
    <row r="1251" spans="1:53" x14ac:dyDescent="0.2">
      <c r="A1251" t="s">
        <v>51</v>
      </c>
      <c r="B1251" t="s">
        <v>6</v>
      </c>
      <c r="C1251">
        <v>2103</v>
      </c>
      <c r="D1251" t="s">
        <v>7</v>
      </c>
      <c r="E1251" t="s">
        <v>8</v>
      </c>
      <c r="F1251" t="s">
        <v>30</v>
      </c>
      <c r="BA1251">
        <f>SUM(Pre[[#This Row],[1]:[46]])</f>
        <v>0</v>
      </c>
    </row>
    <row r="1252" spans="1:53" x14ac:dyDescent="0.2">
      <c r="A1252" t="s">
        <v>51</v>
      </c>
      <c r="B1252" t="s">
        <v>6</v>
      </c>
      <c r="C1252">
        <v>2725</v>
      </c>
      <c r="D1252" t="s">
        <v>7</v>
      </c>
      <c r="E1252" t="s">
        <v>8</v>
      </c>
      <c r="F1252" t="s">
        <v>9</v>
      </c>
      <c r="M1252">
        <v>1</v>
      </c>
      <c r="X1252">
        <v>1</v>
      </c>
      <c r="AJ1252">
        <v>1</v>
      </c>
      <c r="AW1252">
        <v>1</v>
      </c>
      <c r="BA1252">
        <f>SUM(Pre[[#This Row],[1]:[46]])</f>
        <v>4</v>
      </c>
    </row>
    <row r="1253" spans="1:53" x14ac:dyDescent="0.2">
      <c r="A1253" t="s">
        <v>51</v>
      </c>
      <c r="B1253" t="s">
        <v>6</v>
      </c>
      <c r="C1253">
        <v>3581</v>
      </c>
      <c r="D1253" t="s">
        <v>7</v>
      </c>
      <c r="E1253" t="s">
        <v>8</v>
      </c>
      <c r="F1253" t="s">
        <v>30</v>
      </c>
      <c r="Q1253">
        <v>1</v>
      </c>
      <c r="AC1253">
        <v>1</v>
      </c>
      <c r="AT1253">
        <v>1</v>
      </c>
      <c r="BA1253">
        <f>SUM(Pre[[#This Row],[1]:[46]])</f>
        <v>3</v>
      </c>
    </row>
    <row r="1254" spans="1:53" x14ac:dyDescent="0.2">
      <c r="A1254" t="s">
        <v>51</v>
      </c>
      <c r="B1254" t="s">
        <v>6</v>
      </c>
      <c r="C1254">
        <v>3605</v>
      </c>
      <c r="D1254" t="s">
        <v>7</v>
      </c>
      <c r="E1254" t="s">
        <v>8</v>
      </c>
      <c r="F1254" t="s">
        <v>23</v>
      </c>
      <c r="P1254">
        <v>2</v>
      </c>
      <c r="AD1254">
        <v>1</v>
      </c>
      <c r="AQ1254">
        <v>1</v>
      </c>
      <c r="BA1254">
        <f>SUM(Pre[[#This Row],[1]:[46]])</f>
        <v>4</v>
      </c>
    </row>
    <row r="1255" spans="1:53" x14ac:dyDescent="0.2">
      <c r="A1255" t="s">
        <v>51</v>
      </c>
      <c r="B1255" t="s">
        <v>6</v>
      </c>
      <c r="C1255">
        <v>5214</v>
      </c>
      <c r="D1255" t="s">
        <v>7</v>
      </c>
      <c r="E1255" t="s">
        <v>8</v>
      </c>
      <c r="F1255" t="s">
        <v>23</v>
      </c>
      <c r="K1255">
        <v>1</v>
      </c>
      <c r="X1255">
        <v>1</v>
      </c>
      <c r="AK1255">
        <v>1</v>
      </c>
      <c r="AX1255">
        <v>1</v>
      </c>
      <c r="BA1255">
        <f>SUM(Pre[[#This Row],[1]:[46]])</f>
        <v>4</v>
      </c>
    </row>
    <row r="1256" spans="1:53" x14ac:dyDescent="0.2">
      <c r="A1256" t="s">
        <v>51</v>
      </c>
      <c r="B1256" t="s">
        <v>6</v>
      </c>
      <c r="C1256">
        <v>5289</v>
      </c>
      <c r="D1256" t="s">
        <v>7</v>
      </c>
      <c r="E1256" t="s">
        <v>8</v>
      </c>
      <c r="F1256" t="s">
        <v>29</v>
      </c>
      <c r="M1256">
        <v>1</v>
      </c>
      <c r="AA1256">
        <v>1</v>
      </c>
      <c r="AQ1256">
        <v>1</v>
      </c>
      <c r="BA1256">
        <f>SUM(Pre[[#This Row],[1]:[46]])</f>
        <v>3</v>
      </c>
    </row>
    <row r="1257" spans="1:53" x14ac:dyDescent="0.2">
      <c r="A1257" t="s">
        <v>51</v>
      </c>
      <c r="B1257" t="s">
        <v>6</v>
      </c>
      <c r="C1257">
        <v>7290</v>
      </c>
      <c r="D1257" t="s">
        <v>7</v>
      </c>
      <c r="E1257" t="s">
        <v>8</v>
      </c>
      <c r="F1257" t="s">
        <v>30</v>
      </c>
      <c r="O1257">
        <v>2</v>
      </c>
      <c r="U1257">
        <v>1</v>
      </c>
      <c r="Y1257">
        <v>1</v>
      </c>
      <c r="AD1257">
        <v>1</v>
      </c>
      <c r="AH1257">
        <v>2</v>
      </c>
      <c r="AM1257">
        <v>1</v>
      </c>
      <c r="BA1257">
        <f>SUM(Pre[[#This Row],[1]:[46]])</f>
        <v>8</v>
      </c>
    </row>
    <row r="1258" spans="1:53" x14ac:dyDescent="0.2">
      <c r="A1258" t="s">
        <v>51</v>
      </c>
      <c r="B1258" t="s">
        <v>6</v>
      </c>
      <c r="C1258">
        <v>7296</v>
      </c>
      <c r="D1258" t="s">
        <v>7</v>
      </c>
      <c r="E1258" t="s">
        <v>8</v>
      </c>
      <c r="F1258" t="s">
        <v>23</v>
      </c>
      <c r="AM1258">
        <v>1</v>
      </c>
      <c r="AQ1258">
        <v>2</v>
      </c>
      <c r="AS1258">
        <v>1</v>
      </c>
      <c r="AW1258">
        <v>1</v>
      </c>
      <c r="BA1258">
        <f>SUM(Pre[[#This Row],[1]:[46]])</f>
        <v>5</v>
      </c>
    </row>
    <row r="1259" spans="1:53" x14ac:dyDescent="0.2">
      <c r="A1259" t="s">
        <v>51</v>
      </c>
      <c r="B1259" t="s">
        <v>6</v>
      </c>
      <c r="C1259">
        <v>7573</v>
      </c>
      <c r="D1259" t="s">
        <v>7</v>
      </c>
      <c r="E1259" t="s">
        <v>8</v>
      </c>
      <c r="F1259" t="s">
        <v>30</v>
      </c>
      <c r="P1259">
        <v>1</v>
      </c>
      <c r="Z1259">
        <v>2</v>
      </c>
      <c r="AD1259">
        <v>1</v>
      </c>
      <c r="AH1259">
        <v>1</v>
      </c>
      <c r="AL1259">
        <v>1</v>
      </c>
      <c r="AP1259">
        <v>1</v>
      </c>
      <c r="AT1259">
        <v>1</v>
      </c>
      <c r="AX1259">
        <v>1</v>
      </c>
      <c r="BA1259">
        <f>SUM(Pre[[#This Row],[1]:[46]])</f>
        <v>9</v>
      </c>
    </row>
    <row r="1260" spans="1:53" x14ac:dyDescent="0.2">
      <c r="A1260" t="s">
        <v>51</v>
      </c>
      <c r="B1260" t="s">
        <v>6</v>
      </c>
      <c r="C1260">
        <v>9436</v>
      </c>
      <c r="D1260" t="s">
        <v>7</v>
      </c>
      <c r="E1260" t="s">
        <v>8</v>
      </c>
      <c r="F1260" t="s">
        <v>23</v>
      </c>
      <c r="R1260">
        <v>1</v>
      </c>
      <c r="AG1260">
        <v>1</v>
      </c>
      <c r="AZ1260">
        <v>1</v>
      </c>
      <c r="BA1260">
        <f>SUM(Pre[[#This Row],[1]:[46]])</f>
        <v>3</v>
      </c>
    </row>
    <row r="1261" spans="1:53" x14ac:dyDescent="0.2">
      <c r="A1261" t="s">
        <v>51</v>
      </c>
      <c r="B1261" t="s">
        <v>6</v>
      </c>
      <c r="C1261">
        <v>10644</v>
      </c>
      <c r="D1261" t="s">
        <v>7</v>
      </c>
      <c r="E1261" t="s">
        <v>8</v>
      </c>
      <c r="F1261" t="s">
        <v>9</v>
      </c>
      <c r="L1261">
        <v>1</v>
      </c>
      <c r="Y1261">
        <v>1</v>
      </c>
      <c r="AK1261">
        <v>1</v>
      </c>
      <c r="AY1261">
        <v>1</v>
      </c>
      <c r="BA1261">
        <f>SUM(Pre[[#This Row],[1]:[46]])</f>
        <v>4</v>
      </c>
    </row>
    <row r="1262" spans="1:53" x14ac:dyDescent="0.2">
      <c r="A1262" t="s">
        <v>51</v>
      </c>
      <c r="B1262" t="s">
        <v>6</v>
      </c>
      <c r="C1262">
        <v>15143</v>
      </c>
      <c r="D1262" t="s">
        <v>7</v>
      </c>
      <c r="E1262" t="s">
        <v>8</v>
      </c>
      <c r="F1262" t="s">
        <v>30</v>
      </c>
      <c r="R1262">
        <v>1</v>
      </c>
      <c r="W1262">
        <v>2</v>
      </c>
      <c r="AA1262">
        <v>1</v>
      </c>
      <c r="AE1262">
        <v>1</v>
      </c>
      <c r="AI1262">
        <v>1</v>
      </c>
      <c r="AM1262">
        <v>1</v>
      </c>
      <c r="AP1262">
        <v>1</v>
      </c>
      <c r="AV1262">
        <v>1</v>
      </c>
      <c r="AY1262">
        <v>1</v>
      </c>
      <c r="BA1262">
        <f>SUM(Pre[[#This Row],[1]:[46]])</f>
        <v>10</v>
      </c>
    </row>
    <row r="1263" spans="1:53" x14ac:dyDescent="0.2">
      <c r="A1263" t="s">
        <v>51</v>
      </c>
      <c r="B1263" t="s">
        <v>6</v>
      </c>
      <c r="C1263">
        <v>19250</v>
      </c>
      <c r="D1263" t="s">
        <v>7</v>
      </c>
      <c r="E1263" t="s">
        <v>37</v>
      </c>
      <c r="F1263" t="s">
        <v>38</v>
      </c>
      <c r="T1263">
        <v>1</v>
      </c>
      <c r="AH1263">
        <v>1</v>
      </c>
      <c r="AU1263">
        <v>1</v>
      </c>
      <c r="BA1263">
        <f>SUM(Pre[[#This Row],[1]:[46]])</f>
        <v>3</v>
      </c>
    </row>
    <row r="1264" spans="1:53" x14ac:dyDescent="0.2">
      <c r="A1264" t="s">
        <v>51</v>
      </c>
      <c r="B1264" t="s">
        <v>6</v>
      </c>
      <c r="C1264">
        <v>22058</v>
      </c>
      <c r="D1264" t="s">
        <v>7</v>
      </c>
      <c r="E1264" t="s">
        <v>8</v>
      </c>
      <c r="F1264" t="s">
        <v>23</v>
      </c>
      <c r="O1264">
        <v>1</v>
      </c>
      <c r="R1264">
        <v>1</v>
      </c>
      <c r="V1264">
        <v>1</v>
      </c>
      <c r="Y1264">
        <v>1</v>
      </c>
      <c r="Z1264">
        <v>1</v>
      </c>
      <c r="AD1264">
        <v>1</v>
      </c>
      <c r="AH1264">
        <v>1</v>
      </c>
      <c r="AO1264">
        <v>1</v>
      </c>
      <c r="BA1264">
        <f>SUM(Pre[[#This Row],[1]:[46]])</f>
        <v>8</v>
      </c>
    </row>
    <row r="1265" spans="1:53" x14ac:dyDescent="0.2">
      <c r="A1265" t="s">
        <v>51</v>
      </c>
      <c r="B1265" t="s">
        <v>6</v>
      </c>
      <c r="C1265">
        <v>3138</v>
      </c>
      <c r="D1265" t="s">
        <v>22</v>
      </c>
      <c r="E1265" t="s">
        <v>8</v>
      </c>
      <c r="F1265" t="s">
        <v>9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2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f>SUM(Pre[[#This Row],[1]:[46]])</f>
        <v>46</v>
      </c>
    </row>
    <row r="1266" spans="1:53" x14ac:dyDescent="0.2">
      <c r="A1266" t="s">
        <v>51</v>
      </c>
      <c r="B1266" t="s">
        <v>6</v>
      </c>
      <c r="C1266">
        <v>6213</v>
      </c>
      <c r="D1266" t="s">
        <v>22</v>
      </c>
      <c r="E1266" t="s">
        <v>8</v>
      </c>
      <c r="F1266" t="s">
        <v>23</v>
      </c>
      <c r="O1266">
        <v>1</v>
      </c>
      <c r="AD1266">
        <v>1</v>
      </c>
      <c r="BA1266">
        <f>SUM(Pre[[#This Row],[1]:[46]])</f>
        <v>2</v>
      </c>
    </row>
    <row r="1267" spans="1:53" x14ac:dyDescent="0.2">
      <c r="A1267" t="s">
        <v>51</v>
      </c>
      <c r="B1267" t="s">
        <v>6</v>
      </c>
      <c r="C1267">
        <v>7110</v>
      </c>
      <c r="D1267" t="s">
        <v>22</v>
      </c>
      <c r="E1267" t="s">
        <v>37</v>
      </c>
      <c r="F1267" t="s">
        <v>39</v>
      </c>
      <c r="M1267">
        <v>1</v>
      </c>
      <c r="AE1267">
        <v>1</v>
      </c>
      <c r="AR1267">
        <v>1</v>
      </c>
      <c r="BA1267">
        <f>SUM(Pre[[#This Row],[1]:[46]])</f>
        <v>3</v>
      </c>
    </row>
    <row r="1268" spans="1:53" x14ac:dyDescent="0.2">
      <c r="A1268" t="s">
        <v>51</v>
      </c>
      <c r="B1268" t="s">
        <v>6</v>
      </c>
      <c r="C1268">
        <v>7618</v>
      </c>
      <c r="D1268" t="s">
        <v>22</v>
      </c>
      <c r="E1268" t="s">
        <v>8</v>
      </c>
      <c r="F1268" t="s">
        <v>23</v>
      </c>
      <c r="K1268">
        <v>1</v>
      </c>
      <c r="X1268">
        <v>1</v>
      </c>
      <c r="AI1268">
        <v>1</v>
      </c>
      <c r="AT1268">
        <v>1</v>
      </c>
      <c r="AW1268">
        <v>1</v>
      </c>
      <c r="BA1268">
        <f>SUM(Pre[[#This Row],[1]:[46]])</f>
        <v>5</v>
      </c>
    </row>
    <row r="1269" spans="1:53" x14ac:dyDescent="0.2">
      <c r="A1269" t="s">
        <v>51</v>
      </c>
      <c r="B1269" t="s">
        <v>6</v>
      </c>
      <c r="C1269">
        <v>7865</v>
      </c>
      <c r="D1269" t="s">
        <v>22</v>
      </c>
      <c r="E1269" t="s">
        <v>8</v>
      </c>
      <c r="F1269" t="s">
        <v>23</v>
      </c>
      <c r="X1269">
        <v>1</v>
      </c>
      <c r="BA1269">
        <f>SUM(Pre[[#This Row],[1]:[46]])</f>
        <v>1</v>
      </c>
    </row>
    <row r="1270" spans="1:53" x14ac:dyDescent="0.2">
      <c r="A1270" t="s">
        <v>51</v>
      </c>
      <c r="B1270" t="s">
        <v>6</v>
      </c>
      <c r="C1270">
        <v>7963</v>
      </c>
      <c r="D1270" t="s">
        <v>22</v>
      </c>
      <c r="E1270" t="s">
        <v>8</v>
      </c>
      <c r="F1270" t="s">
        <v>9</v>
      </c>
      <c r="BA1270">
        <f>SUM(Pre[[#This Row],[1]:[46]])</f>
        <v>0</v>
      </c>
    </row>
    <row r="1271" spans="1:53" x14ac:dyDescent="0.2">
      <c r="A1271" t="s">
        <v>51</v>
      </c>
      <c r="B1271" t="s">
        <v>6</v>
      </c>
      <c r="C1271">
        <v>8980</v>
      </c>
      <c r="D1271" t="s">
        <v>22</v>
      </c>
      <c r="E1271" t="s">
        <v>8</v>
      </c>
      <c r="F1271" t="s">
        <v>9</v>
      </c>
      <c r="K1271">
        <v>1</v>
      </c>
      <c r="O1271">
        <v>1</v>
      </c>
      <c r="T1271">
        <v>1</v>
      </c>
      <c r="X1271">
        <v>1</v>
      </c>
      <c r="AB1271">
        <v>1</v>
      </c>
      <c r="AF1271">
        <v>1</v>
      </c>
      <c r="AK1271">
        <v>1</v>
      </c>
      <c r="AO1271">
        <v>1</v>
      </c>
      <c r="AT1271">
        <v>1</v>
      </c>
      <c r="AX1271">
        <v>1</v>
      </c>
      <c r="BA1271">
        <f>SUM(Pre[[#This Row],[1]:[46]])</f>
        <v>10</v>
      </c>
    </row>
    <row r="1272" spans="1:53" x14ac:dyDescent="0.2">
      <c r="A1272" t="s">
        <v>51</v>
      </c>
      <c r="B1272" t="s">
        <v>6</v>
      </c>
      <c r="C1272">
        <v>9931</v>
      </c>
      <c r="D1272" t="s">
        <v>22</v>
      </c>
      <c r="E1272" t="s">
        <v>8</v>
      </c>
      <c r="F1272" t="s">
        <v>23</v>
      </c>
      <c r="U1272">
        <v>2</v>
      </c>
      <c r="AA1272">
        <v>1</v>
      </c>
      <c r="AK1272">
        <v>1</v>
      </c>
      <c r="AU1272">
        <v>1</v>
      </c>
      <c r="BA1272">
        <f>SUM(Pre[[#This Row],[1]:[46]])</f>
        <v>5</v>
      </c>
    </row>
    <row r="1273" spans="1:53" x14ac:dyDescent="0.2">
      <c r="A1273" t="s">
        <v>51</v>
      </c>
      <c r="B1273" t="s">
        <v>6</v>
      </c>
      <c r="C1273">
        <v>11742</v>
      </c>
      <c r="D1273" t="s">
        <v>22</v>
      </c>
      <c r="E1273" t="s">
        <v>8</v>
      </c>
      <c r="F1273" t="s">
        <v>9</v>
      </c>
      <c r="U1273">
        <v>1</v>
      </c>
      <c r="AH1273">
        <v>1</v>
      </c>
      <c r="BA1273">
        <f>SUM(Pre[[#This Row],[1]:[46]])</f>
        <v>2</v>
      </c>
    </row>
    <row r="1274" spans="1:53" x14ac:dyDescent="0.2">
      <c r="A1274" t="s">
        <v>51</v>
      </c>
      <c r="B1274" t="s">
        <v>6</v>
      </c>
      <c r="C1274">
        <v>14719</v>
      </c>
      <c r="D1274" t="s">
        <v>22</v>
      </c>
      <c r="E1274" t="s">
        <v>8</v>
      </c>
      <c r="F1274" t="s">
        <v>23</v>
      </c>
      <c r="T1274">
        <v>2</v>
      </c>
      <c r="AC1274">
        <v>1</v>
      </c>
      <c r="AK1274">
        <v>1</v>
      </c>
      <c r="AS1274">
        <v>1</v>
      </c>
      <c r="BA1274">
        <f>SUM(Pre[[#This Row],[1]:[46]])</f>
        <v>5</v>
      </c>
    </row>
    <row r="1275" spans="1:53" x14ac:dyDescent="0.2">
      <c r="A1275" t="s">
        <v>51</v>
      </c>
      <c r="B1275" t="s">
        <v>6</v>
      </c>
      <c r="C1275">
        <v>28322</v>
      </c>
      <c r="D1275" t="s">
        <v>22</v>
      </c>
      <c r="E1275" t="s">
        <v>8</v>
      </c>
      <c r="F1275" t="s">
        <v>9</v>
      </c>
      <c r="U1275">
        <v>1</v>
      </c>
      <c r="AC1275">
        <v>1</v>
      </c>
      <c r="AJ1275">
        <v>1</v>
      </c>
      <c r="AW1275">
        <v>1</v>
      </c>
      <c r="BA1275">
        <f>SUM(Pre[[#This Row],[1]:[46]])</f>
        <v>4</v>
      </c>
    </row>
    <row r="1276" spans="1:53" x14ac:dyDescent="0.2">
      <c r="A1276" t="s">
        <v>51</v>
      </c>
      <c r="B1276" t="s">
        <v>6</v>
      </c>
      <c r="C1276">
        <v>29107</v>
      </c>
      <c r="D1276" t="s">
        <v>22</v>
      </c>
      <c r="E1276" t="s">
        <v>8</v>
      </c>
      <c r="F1276" t="s">
        <v>23</v>
      </c>
      <c r="N1276">
        <v>1</v>
      </c>
      <c r="Z1276">
        <v>3</v>
      </c>
      <c r="AL1276">
        <v>1</v>
      </c>
      <c r="AY1276">
        <v>1</v>
      </c>
      <c r="BA1276">
        <f>SUM(Pre[[#This Row],[1]:[46]])</f>
        <v>6</v>
      </c>
    </row>
    <row r="1277" spans="1:53" x14ac:dyDescent="0.2">
      <c r="A1277" t="s">
        <v>51</v>
      </c>
      <c r="B1277" t="s">
        <v>6</v>
      </c>
      <c r="C1277">
        <v>32354</v>
      </c>
      <c r="D1277" t="s">
        <v>22</v>
      </c>
      <c r="E1277" t="s">
        <v>8</v>
      </c>
      <c r="F1277" t="s">
        <v>23</v>
      </c>
      <c r="L1277">
        <v>1</v>
      </c>
      <c r="Z1277">
        <v>1</v>
      </c>
      <c r="AO1277">
        <v>1</v>
      </c>
      <c r="BA1277">
        <f>SUM(Pre[[#This Row],[1]:[46]])</f>
        <v>3</v>
      </c>
    </row>
    <row r="1278" spans="1:53" x14ac:dyDescent="0.2">
      <c r="A1278" t="s">
        <v>51</v>
      </c>
      <c r="B1278" t="s">
        <v>6</v>
      </c>
      <c r="C1278">
        <v>3559</v>
      </c>
      <c r="D1278" t="s">
        <v>7</v>
      </c>
      <c r="E1278" t="s">
        <v>8</v>
      </c>
      <c r="F1278" t="s">
        <v>23</v>
      </c>
      <c r="M1278">
        <v>1</v>
      </c>
      <c r="AE1278">
        <v>1</v>
      </c>
      <c r="AV1278">
        <v>1</v>
      </c>
      <c r="BA1278">
        <f>SUM(Pre[[#This Row],[1]:[46]])</f>
        <v>3</v>
      </c>
    </row>
    <row r="1279" spans="1:53" x14ac:dyDescent="0.2">
      <c r="A1279" t="s">
        <v>51</v>
      </c>
      <c r="B1279" t="s">
        <v>6</v>
      </c>
      <c r="C1279">
        <v>3794</v>
      </c>
      <c r="D1279" t="s">
        <v>7</v>
      </c>
      <c r="E1279" t="s">
        <v>8</v>
      </c>
      <c r="F1279" t="s">
        <v>23</v>
      </c>
      <c r="I1279">
        <v>1</v>
      </c>
      <c r="T1279">
        <v>1</v>
      </c>
      <c r="AQ1279">
        <v>1</v>
      </c>
      <c r="BA1279">
        <f>SUM(Pre[[#This Row],[1]:[46]])</f>
        <v>3</v>
      </c>
    </row>
    <row r="1280" spans="1:53" x14ac:dyDescent="0.2">
      <c r="A1280" t="s">
        <v>51</v>
      </c>
      <c r="B1280" t="s">
        <v>6</v>
      </c>
      <c r="C1280">
        <v>5216</v>
      </c>
      <c r="D1280" t="s">
        <v>7</v>
      </c>
      <c r="E1280" t="s">
        <v>8</v>
      </c>
      <c r="F1280" t="s">
        <v>9</v>
      </c>
      <c r="J1280">
        <v>1</v>
      </c>
      <c r="Q1280">
        <v>1</v>
      </c>
      <c r="U1280">
        <v>1</v>
      </c>
      <c r="W1280">
        <v>1</v>
      </c>
      <c r="Z1280">
        <v>1</v>
      </c>
      <c r="AE1280">
        <v>1</v>
      </c>
      <c r="AI1280">
        <v>1</v>
      </c>
      <c r="AM1280">
        <v>1</v>
      </c>
      <c r="AR1280">
        <v>1</v>
      </c>
      <c r="AV1280">
        <v>1</v>
      </c>
      <c r="BA1280">
        <f>SUM(Pre[[#This Row],[1]:[46]])</f>
        <v>10</v>
      </c>
    </row>
    <row r="1281" spans="1:53" x14ac:dyDescent="0.2">
      <c r="A1281" t="s">
        <v>51</v>
      </c>
      <c r="B1281" t="s">
        <v>6</v>
      </c>
      <c r="C1281">
        <v>5233</v>
      </c>
      <c r="D1281" t="s">
        <v>7</v>
      </c>
      <c r="E1281" t="s">
        <v>37</v>
      </c>
      <c r="F1281" t="s">
        <v>38</v>
      </c>
      <c r="BA1281">
        <f>SUM(Pre[[#This Row],[1]:[46]])</f>
        <v>0</v>
      </c>
    </row>
    <row r="1282" spans="1:53" x14ac:dyDescent="0.2">
      <c r="A1282" t="s">
        <v>51</v>
      </c>
      <c r="B1282" t="s">
        <v>6</v>
      </c>
      <c r="C1282">
        <v>5233</v>
      </c>
      <c r="D1282" t="s">
        <v>7</v>
      </c>
      <c r="E1282" t="s">
        <v>8</v>
      </c>
      <c r="F1282" t="s">
        <v>30</v>
      </c>
      <c r="U1282">
        <v>2</v>
      </c>
      <c r="AD1282">
        <v>1</v>
      </c>
      <c r="AQ1282">
        <v>1</v>
      </c>
      <c r="BA1282">
        <f>SUM(Pre[[#This Row],[1]:[46]])</f>
        <v>4</v>
      </c>
    </row>
    <row r="1283" spans="1:53" x14ac:dyDescent="0.2">
      <c r="A1283" t="s">
        <v>51</v>
      </c>
      <c r="B1283" t="s">
        <v>6</v>
      </c>
      <c r="C1283">
        <v>6630</v>
      </c>
      <c r="D1283" t="s">
        <v>7</v>
      </c>
      <c r="E1283" t="s">
        <v>8</v>
      </c>
      <c r="F1283" t="s">
        <v>9</v>
      </c>
      <c r="I1283">
        <v>1</v>
      </c>
      <c r="AA1283">
        <v>1</v>
      </c>
      <c r="AQ1283">
        <v>1</v>
      </c>
      <c r="BA1283">
        <f>SUM(Pre[[#This Row],[1]:[46]])</f>
        <v>3</v>
      </c>
    </row>
    <row r="1284" spans="1:53" x14ac:dyDescent="0.2">
      <c r="A1284" t="s">
        <v>51</v>
      </c>
      <c r="B1284" t="s">
        <v>6</v>
      </c>
      <c r="C1284">
        <v>7379</v>
      </c>
      <c r="D1284" t="s">
        <v>7</v>
      </c>
      <c r="E1284" t="s">
        <v>8</v>
      </c>
      <c r="F1284" t="s">
        <v>23</v>
      </c>
      <c r="I1284">
        <v>1</v>
      </c>
      <c r="S1284">
        <v>1</v>
      </c>
      <c r="T1284">
        <v>1</v>
      </c>
      <c r="AJ1284">
        <v>1</v>
      </c>
      <c r="AV1284">
        <v>1</v>
      </c>
      <c r="BA1284">
        <f>SUM(Pre[[#This Row],[1]:[46]])</f>
        <v>5</v>
      </c>
    </row>
    <row r="1285" spans="1:53" x14ac:dyDescent="0.2">
      <c r="A1285" t="s">
        <v>51</v>
      </c>
      <c r="B1285" t="s">
        <v>6</v>
      </c>
      <c r="C1285">
        <v>8318</v>
      </c>
      <c r="D1285" t="s">
        <v>7</v>
      </c>
      <c r="E1285" t="s">
        <v>8</v>
      </c>
      <c r="F1285" t="s">
        <v>34</v>
      </c>
      <c r="H1285">
        <v>1</v>
      </c>
      <c r="T1285">
        <v>1</v>
      </c>
      <c r="AH1285">
        <v>1</v>
      </c>
      <c r="AT1285">
        <v>1</v>
      </c>
      <c r="BA1285">
        <f>SUM(Pre[[#This Row],[1]:[46]])</f>
        <v>4</v>
      </c>
    </row>
    <row r="1286" spans="1:53" x14ac:dyDescent="0.2">
      <c r="A1286" t="s">
        <v>51</v>
      </c>
      <c r="B1286" t="s">
        <v>6</v>
      </c>
      <c r="C1286">
        <v>8737</v>
      </c>
      <c r="D1286" t="s">
        <v>7</v>
      </c>
      <c r="E1286" t="s">
        <v>8</v>
      </c>
      <c r="F1286" t="s">
        <v>23</v>
      </c>
      <c r="T1286">
        <v>1</v>
      </c>
      <c r="AG1286">
        <v>1</v>
      </c>
      <c r="AU1286">
        <v>1</v>
      </c>
      <c r="BA1286">
        <f>SUM(Pre[[#This Row],[1]:[46]])</f>
        <v>3</v>
      </c>
    </row>
    <row r="1287" spans="1:53" x14ac:dyDescent="0.2">
      <c r="A1287" t="s">
        <v>51</v>
      </c>
      <c r="B1287" t="s">
        <v>6</v>
      </c>
      <c r="C1287">
        <v>9383</v>
      </c>
      <c r="D1287" t="s">
        <v>7</v>
      </c>
      <c r="E1287" t="s">
        <v>8</v>
      </c>
      <c r="F1287" t="s">
        <v>34</v>
      </c>
      <c r="G1287">
        <v>1</v>
      </c>
      <c r="T1287">
        <v>1</v>
      </c>
      <c r="AF1287">
        <v>1</v>
      </c>
      <c r="AT1287">
        <v>1</v>
      </c>
      <c r="BA1287">
        <f>SUM(Pre[[#This Row],[1]:[46]])</f>
        <v>4</v>
      </c>
    </row>
    <row r="1288" spans="1:53" x14ac:dyDescent="0.2">
      <c r="A1288" t="s">
        <v>51</v>
      </c>
      <c r="B1288" t="s">
        <v>6</v>
      </c>
      <c r="C1288">
        <v>10364</v>
      </c>
      <c r="D1288" t="s">
        <v>7</v>
      </c>
      <c r="E1288" t="s">
        <v>8</v>
      </c>
      <c r="F1288" t="s">
        <v>9</v>
      </c>
      <c r="K1288">
        <v>1</v>
      </c>
      <c r="L1288">
        <v>1</v>
      </c>
      <c r="O1288">
        <v>2</v>
      </c>
      <c r="S1288">
        <v>1</v>
      </c>
      <c r="W1288">
        <v>1</v>
      </c>
      <c r="Z1288">
        <v>1</v>
      </c>
      <c r="AD1288">
        <v>1</v>
      </c>
      <c r="AI1288">
        <v>1</v>
      </c>
      <c r="AL1288">
        <v>1</v>
      </c>
      <c r="AP1288">
        <v>1</v>
      </c>
      <c r="AU1288">
        <v>1</v>
      </c>
      <c r="AX1288">
        <v>1</v>
      </c>
      <c r="BA1288">
        <f>SUM(Pre[[#This Row],[1]:[46]])</f>
        <v>13</v>
      </c>
    </row>
    <row r="1289" spans="1:53" x14ac:dyDescent="0.2">
      <c r="A1289" t="s">
        <v>51</v>
      </c>
      <c r="B1289" t="s">
        <v>6</v>
      </c>
      <c r="C1289">
        <v>11039</v>
      </c>
      <c r="D1289" t="s">
        <v>7</v>
      </c>
      <c r="E1289" t="s">
        <v>8</v>
      </c>
      <c r="F1289" t="s">
        <v>23</v>
      </c>
      <c r="H1289">
        <v>1</v>
      </c>
      <c r="R1289">
        <v>1</v>
      </c>
      <c r="BA1289">
        <f>SUM(Pre[[#This Row],[1]:[46]])</f>
        <v>2</v>
      </c>
    </row>
    <row r="1290" spans="1:53" x14ac:dyDescent="0.2">
      <c r="A1290" t="s">
        <v>51</v>
      </c>
      <c r="B1290" t="s">
        <v>6</v>
      </c>
      <c r="C1290">
        <v>11545</v>
      </c>
      <c r="D1290" t="s">
        <v>7</v>
      </c>
      <c r="E1290" t="s">
        <v>8</v>
      </c>
      <c r="F1290" t="s">
        <v>23</v>
      </c>
      <c r="L1290">
        <v>1</v>
      </c>
      <c r="X1290">
        <v>1</v>
      </c>
      <c r="AL1290">
        <v>1</v>
      </c>
      <c r="AY1290">
        <v>1</v>
      </c>
      <c r="BA1290">
        <f>SUM(Pre[[#This Row],[1]:[46]])</f>
        <v>4</v>
      </c>
    </row>
    <row r="1291" spans="1:53" x14ac:dyDescent="0.2">
      <c r="A1291" t="s">
        <v>51</v>
      </c>
      <c r="B1291" t="s">
        <v>6</v>
      </c>
      <c r="C1291">
        <v>13566</v>
      </c>
      <c r="D1291" t="s">
        <v>7</v>
      </c>
      <c r="E1291" t="s">
        <v>8</v>
      </c>
      <c r="F1291" t="s">
        <v>23</v>
      </c>
      <c r="H1291">
        <v>1</v>
      </c>
      <c r="U1291">
        <v>1</v>
      </c>
      <c r="AI1291">
        <v>1</v>
      </c>
      <c r="AX1291">
        <v>1</v>
      </c>
      <c r="BA1291">
        <f>SUM(Pre[[#This Row],[1]:[46]])</f>
        <v>4</v>
      </c>
    </row>
    <row r="1292" spans="1:53" x14ac:dyDescent="0.2">
      <c r="A1292" t="s">
        <v>51</v>
      </c>
      <c r="B1292" t="s">
        <v>6</v>
      </c>
      <c r="C1292">
        <v>14806</v>
      </c>
      <c r="D1292" t="s">
        <v>7</v>
      </c>
      <c r="E1292" t="s">
        <v>8</v>
      </c>
      <c r="F1292" t="s">
        <v>29</v>
      </c>
      <c r="H1292">
        <v>1</v>
      </c>
      <c r="L1292">
        <v>1</v>
      </c>
      <c r="Q1292">
        <v>1</v>
      </c>
      <c r="U1292">
        <v>1</v>
      </c>
      <c r="Y1292">
        <v>2</v>
      </c>
      <c r="AD1292">
        <v>1</v>
      </c>
      <c r="AH1292">
        <v>1</v>
      </c>
      <c r="AL1292">
        <v>1</v>
      </c>
      <c r="AQ1292">
        <v>1</v>
      </c>
      <c r="AU1292">
        <v>1</v>
      </c>
      <c r="AY1292">
        <v>1</v>
      </c>
      <c r="BA1292">
        <f>SUM(Pre[[#This Row],[1]:[46]])</f>
        <v>12</v>
      </c>
    </row>
    <row r="1293" spans="1:53" x14ac:dyDescent="0.2">
      <c r="A1293" t="s">
        <v>51</v>
      </c>
      <c r="B1293" t="s">
        <v>6</v>
      </c>
      <c r="C1293">
        <v>19579</v>
      </c>
      <c r="D1293" t="s">
        <v>7</v>
      </c>
      <c r="E1293" t="s">
        <v>8</v>
      </c>
      <c r="F1293" t="s">
        <v>23</v>
      </c>
      <c r="T1293">
        <v>1</v>
      </c>
      <c r="X1293">
        <v>1</v>
      </c>
      <c r="AC1293">
        <v>1</v>
      </c>
      <c r="AF1293">
        <v>1</v>
      </c>
      <c r="AS1293">
        <v>1</v>
      </c>
      <c r="BA1293">
        <f>SUM(Pre[[#This Row],[1]:[46]])</f>
        <v>5</v>
      </c>
    </row>
    <row r="1294" spans="1:53" x14ac:dyDescent="0.2">
      <c r="A1294" t="s">
        <v>51</v>
      </c>
      <c r="B1294" t="s">
        <v>6</v>
      </c>
      <c r="C1294">
        <v>27090</v>
      </c>
      <c r="D1294" t="s">
        <v>7</v>
      </c>
      <c r="E1294" t="s">
        <v>8</v>
      </c>
      <c r="F1294" t="s">
        <v>23</v>
      </c>
      <c r="R1294">
        <v>1</v>
      </c>
      <c r="AG1294">
        <v>1</v>
      </c>
      <c r="AT1294">
        <v>1</v>
      </c>
      <c r="BA1294">
        <f>SUM(Pre[[#This Row],[1]:[46]])</f>
        <v>3</v>
      </c>
    </row>
    <row r="1295" spans="1:53" x14ac:dyDescent="0.2">
      <c r="A1295" t="s">
        <v>51</v>
      </c>
      <c r="B1295" t="s">
        <v>6</v>
      </c>
      <c r="C1295">
        <v>28382</v>
      </c>
      <c r="D1295" t="s">
        <v>7</v>
      </c>
      <c r="E1295" t="s">
        <v>8</v>
      </c>
      <c r="F1295" t="s">
        <v>9</v>
      </c>
      <c r="L1295">
        <v>1</v>
      </c>
      <c r="AR1295">
        <v>1</v>
      </c>
      <c r="BA1295">
        <f>SUM(Pre[[#This Row],[1]:[46]])</f>
        <v>2</v>
      </c>
    </row>
    <row r="1296" spans="1:53" x14ac:dyDescent="0.2">
      <c r="A1296" t="s">
        <v>51</v>
      </c>
      <c r="B1296" t="s">
        <v>6</v>
      </c>
      <c r="C1296">
        <v>814</v>
      </c>
      <c r="D1296" t="s">
        <v>22</v>
      </c>
      <c r="E1296" t="s">
        <v>8</v>
      </c>
      <c r="F1296" t="s">
        <v>23</v>
      </c>
      <c r="T1296">
        <v>1</v>
      </c>
      <c r="AD1296">
        <v>1</v>
      </c>
      <c r="AI1296">
        <v>1</v>
      </c>
      <c r="AV1296">
        <v>1</v>
      </c>
      <c r="BA1296">
        <f>SUM(Pre[[#This Row],[1]:[46]])</f>
        <v>4</v>
      </c>
    </row>
    <row r="1297" spans="1:53" x14ac:dyDescent="0.2">
      <c r="A1297" t="s">
        <v>51</v>
      </c>
      <c r="B1297" t="s">
        <v>6</v>
      </c>
      <c r="C1297">
        <v>1456</v>
      </c>
      <c r="D1297" t="s">
        <v>22</v>
      </c>
      <c r="E1297" t="s">
        <v>8</v>
      </c>
      <c r="F1297" t="s">
        <v>29</v>
      </c>
      <c r="K1297">
        <v>1</v>
      </c>
      <c r="X1297">
        <v>1</v>
      </c>
      <c r="AM1297">
        <v>1</v>
      </c>
      <c r="BA1297">
        <f>SUM(Pre[[#This Row],[1]:[46]])</f>
        <v>3</v>
      </c>
    </row>
    <row r="1298" spans="1:53" x14ac:dyDescent="0.2">
      <c r="A1298" t="s">
        <v>51</v>
      </c>
      <c r="B1298" t="s">
        <v>6</v>
      </c>
      <c r="C1298">
        <v>6514</v>
      </c>
      <c r="D1298" t="s">
        <v>22</v>
      </c>
      <c r="E1298" t="s">
        <v>8</v>
      </c>
      <c r="F1298" t="s">
        <v>9</v>
      </c>
      <c r="G1298">
        <v>3</v>
      </c>
      <c r="T1298">
        <v>1</v>
      </c>
      <c r="AG1298">
        <v>1</v>
      </c>
      <c r="AS1298">
        <v>1</v>
      </c>
      <c r="BA1298">
        <f>SUM(Pre[[#This Row],[1]:[46]])</f>
        <v>6</v>
      </c>
    </row>
    <row r="1299" spans="1:53" x14ac:dyDescent="0.2">
      <c r="A1299" t="s">
        <v>51</v>
      </c>
      <c r="B1299" t="s">
        <v>6</v>
      </c>
      <c r="C1299">
        <v>6604</v>
      </c>
      <c r="D1299" t="s">
        <v>22</v>
      </c>
      <c r="E1299" t="s">
        <v>37</v>
      </c>
      <c r="F1299" t="s">
        <v>39</v>
      </c>
      <c r="N1299">
        <v>1</v>
      </c>
      <c r="AB1299">
        <v>1</v>
      </c>
      <c r="AR1299">
        <v>1</v>
      </c>
      <c r="BA1299">
        <f>SUM(Pre[[#This Row],[1]:[46]])</f>
        <v>3</v>
      </c>
    </row>
    <row r="1300" spans="1:53" x14ac:dyDescent="0.2">
      <c r="A1300" t="s">
        <v>51</v>
      </c>
      <c r="B1300" t="s">
        <v>6</v>
      </c>
      <c r="C1300">
        <v>6604</v>
      </c>
      <c r="D1300" t="s">
        <v>22</v>
      </c>
      <c r="E1300" t="s">
        <v>37</v>
      </c>
      <c r="F1300" t="s">
        <v>38</v>
      </c>
      <c r="BA1300">
        <f>SUM(Pre[[#This Row],[1]:[46]])</f>
        <v>0</v>
      </c>
    </row>
    <row r="1301" spans="1:53" x14ac:dyDescent="0.2">
      <c r="A1301" t="s">
        <v>51</v>
      </c>
      <c r="B1301" t="s">
        <v>6</v>
      </c>
      <c r="C1301">
        <v>7344</v>
      </c>
      <c r="D1301" t="s">
        <v>22</v>
      </c>
      <c r="E1301" t="s">
        <v>8</v>
      </c>
      <c r="F1301" t="s">
        <v>23</v>
      </c>
      <c r="AJ1301">
        <v>1</v>
      </c>
      <c r="BA1301">
        <f>SUM(Pre[[#This Row],[1]:[46]])</f>
        <v>1</v>
      </c>
    </row>
    <row r="1302" spans="1:53" x14ac:dyDescent="0.2">
      <c r="A1302" t="s">
        <v>51</v>
      </c>
      <c r="B1302" t="s">
        <v>6</v>
      </c>
      <c r="C1302">
        <v>7510</v>
      </c>
      <c r="D1302" t="s">
        <v>22</v>
      </c>
      <c r="E1302" t="s">
        <v>8</v>
      </c>
      <c r="F1302" t="s">
        <v>23</v>
      </c>
      <c r="BA1302">
        <f>SUM(Pre[[#This Row],[1]:[46]])</f>
        <v>0</v>
      </c>
    </row>
    <row r="1303" spans="1:53" x14ac:dyDescent="0.2">
      <c r="A1303" t="s">
        <v>51</v>
      </c>
      <c r="B1303" t="s">
        <v>6</v>
      </c>
      <c r="C1303">
        <v>9491</v>
      </c>
      <c r="D1303" t="s">
        <v>22</v>
      </c>
      <c r="E1303" t="s">
        <v>8</v>
      </c>
      <c r="F1303" t="s">
        <v>23</v>
      </c>
      <c r="O1303">
        <v>1</v>
      </c>
      <c r="AB1303">
        <v>1</v>
      </c>
      <c r="AO1303">
        <v>1</v>
      </c>
      <c r="BA1303">
        <f>SUM(Pre[[#This Row],[1]:[46]])</f>
        <v>3</v>
      </c>
    </row>
    <row r="1304" spans="1:53" x14ac:dyDescent="0.2">
      <c r="A1304" t="s">
        <v>51</v>
      </c>
      <c r="B1304" t="s">
        <v>6</v>
      </c>
      <c r="C1304">
        <v>9678</v>
      </c>
      <c r="D1304" t="s">
        <v>22</v>
      </c>
      <c r="E1304" t="s">
        <v>8</v>
      </c>
      <c r="F1304" t="s">
        <v>9</v>
      </c>
      <c r="R1304">
        <v>1</v>
      </c>
      <c r="AF1304">
        <v>1</v>
      </c>
      <c r="AT1304">
        <v>1</v>
      </c>
      <c r="BA1304">
        <f>SUM(Pre[[#This Row],[1]:[46]])</f>
        <v>3</v>
      </c>
    </row>
    <row r="1305" spans="1:53" x14ac:dyDescent="0.2">
      <c r="A1305" t="s">
        <v>51</v>
      </c>
      <c r="B1305" t="s">
        <v>6</v>
      </c>
      <c r="C1305">
        <v>11117</v>
      </c>
      <c r="D1305" t="s">
        <v>22</v>
      </c>
      <c r="E1305" t="s">
        <v>8</v>
      </c>
      <c r="F1305" t="s">
        <v>9</v>
      </c>
      <c r="G1305">
        <v>1</v>
      </c>
      <c r="K1305">
        <v>1</v>
      </c>
      <c r="P1305">
        <v>1</v>
      </c>
      <c r="U1305">
        <v>1</v>
      </c>
      <c r="AH1305">
        <v>1</v>
      </c>
      <c r="AI1305">
        <v>1</v>
      </c>
      <c r="AM1305">
        <v>1</v>
      </c>
      <c r="AP1305">
        <v>1</v>
      </c>
      <c r="AV1305">
        <v>1</v>
      </c>
      <c r="AZ1305">
        <v>1</v>
      </c>
      <c r="BA1305">
        <f>SUM(Pre[[#This Row],[1]:[46]])</f>
        <v>10</v>
      </c>
    </row>
    <row r="1306" spans="1:53" x14ac:dyDescent="0.2">
      <c r="A1306" t="s">
        <v>51</v>
      </c>
      <c r="B1306" t="s">
        <v>6</v>
      </c>
      <c r="C1306">
        <v>13565</v>
      </c>
      <c r="D1306" t="s">
        <v>22</v>
      </c>
      <c r="E1306" t="s">
        <v>8</v>
      </c>
      <c r="F1306" t="s">
        <v>9</v>
      </c>
      <c r="H1306">
        <v>1</v>
      </c>
      <c r="U1306">
        <v>1</v>
      </c>
      <c r="AI1306">
        <v>1</v>
      </c>
      <c r="AX1306">
        <v>1</v>
      </c>
      <c r="BA1306">
        <f>SUM(Pre[[#This Row],[1]:[46]])</f>
        <v>4</v>
      </c>
    </row>
    <row r="1307" spans="1:53" x14ac:dyDescent="0.2">
      <c r="A1307" t="s">
        <v>51</v>
      </c>
      <c r="B1307" t="s">
        <v>6</v>
      </c>
      <c r="C1307">
        <v>20364</v>
      </c>
      <c r="D1307" t="s">
        <v>22</v>
      </c>
      <c r="E1307" t="s">
        <v>8</v>
      </c>
      <c r="F1307" t="s">
        <v>23</v>
      </c>
      <c r="J1307">
        <v>1</v>
      </c>
      <c r="T1307">
        <v>1</v>
      </c>
      <c r="AC1307">
        <v>1</v>
      </c>
      <c r="AG1307">
        <v>1</v>
      </c>
      <c r="BA1307">
        <f>SUM(Pre[[#This Row],[1]:[46]])</f>
        <v>4</v>
      </c>
    </row>
    <row r="1308" spans="1:53" x14ac:dyDescent="0.2">
      <c r="A1308" t="s">
        <v>51</v>
      </c>
      <c r="B1308" t="s">
        <v>6</v>
      </c>
      <c r="C1308">
        <v>30286</v>
      </c>
      <c r="D1308" t="s">
        <v>22</v>
      </c>
      <c r="E1308" t="s">
        <v>8</v>
      </c>
      <c r="F1308" t="s">
        <v>9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U1308">
        <v>2</v>
      </c>
      <c r="V1308">
        <v>1</v>
      </c>
      <c r="W1308">
        <v>2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2</v>
      </c>
      <c r="AP1308">
        <v>1</v>
      </c>
      <c r="AQ1308">
        <v>1</v>
      </c>
      <c r="AR1308">
        <v>1</v>
      </c>
      <c r="AS1308">
        <v>1</v>
      </c>
      <c r="AT1308">
        <v>2</v>
      </c>
      <c r="AU1308">
        <v>2</v>
      </c>
      <c r="AV1308">
        <v>2</v>
      </c>
      <c r="AW1308">
        <v>1</v>
      </c>
      <c r="AX1308">
        <v>1</v>
      </c>
      <c r="AZ1308">
        <v>2</v>
      </c>
      <c r="BA1308">
        <f>SUM(Pre[[#This Row],[1]:[46]])</f>
        <v>51</v>
      </c>
    </row>
    <row r="1309" spans="1:53" x14ac:dyDescent="0.2">
      <c r="A1309" t="s">
        <v>53</v>
      </c>
      <c r="B1309" t="s">
        <v>54</v>
      </c>
      <c r="C1309">
        <v>1755</v>
      </c>
      <c r="D1309" t="s">
        <v>22</v>
      </c>
      <c r="E1309" t="s">
        <v>8</v>
      </c>
      <c r="F1309" t="s">
        <v>23</v>
      </c>
      <c r="G1309">
        <v>1</v>
      </c>
      <c r="T1309">
        <v>1</v>
      </c>
      <c r="AJ1309">
        <v>1</v>
      </c>
      <c r="AW1309">
        <v>1</v>
      </c>
      <c r="BA1309">
        <f>SUM(Pre[[#This Row],[1]:[46]])</f>
        <v>4</v>
      </c>
    </row>
    <row r="1310" spans="1:53" x14ac:dyDescent="0.2">
      <c r="A1310" t="s">
        <v>53</v>
      </c>
      <c r="B1310" t="s">
        <v>54</v>
      </c>
      <c r="C1310">
        <v>6001</v>
      </c>
      <c r="D1310" t="s">
        <v>22</v>
      </c>
      <c r="E1310" t="s">
        <v>8</v>
      </c>
      <c r="F1310" t="s">
        <v>9</v>
      </c>
      <c r="K1310">
        <v>1</v>
      </c>
      <c r="Y1310">
        <v>1</v>
      </c>
      <c r="AL1310">
        <v>1</v>
      </c>
      <c r="AX1310">
        <v>1</v>
      </c>
      <c r="BA1310">
        <f>SUM(Pre[[#This Row],[1]:[46]])</f>
        <v>4</v>
      </c>
    </row>
    <row r="1311" spans="1:53" x14ac:dyDescent="0.2">
      <c r="A1311" t="s">
        <v>53</v>
      </c>
      <c r="B1311" t="s">
        <v>54</v>
      </c>
      <c r="C1311">
        <v>7505</v>
      </c>
      <c r="D1311" t="s">
        <v>22</v>
      </c>
      <c r="E1311" t="s">
        <v>8</v>
      </c>
      <c r="F1311" t="s">
        <v>9</v>
      </c>
      <c r="I1311">
        <v>1</v>
      </c>
      <c r="V1311">
        <v>1</v>
      </c>
      <c r="AI1311">
        <v>1</v>
      </c>
      <c r="AV1311">
        <v>1</v>
      </c>
      <c r="BA1311">
        <f>SUM(Pre[[#This Row],[1]:[46]])</f>
        <v>4</v>
      </c>
    </row>
    <row r="1312" spans="1:53" x14ac:dyDescent="0.2">
      <c r="A1312" t="s">
        <v>53</v>
      </c>
      <c r="B1312" t="s">
        <v>54</v>
      </c>
      <c r="C1312">
        <v>15506</v>
      </c>
      <c r="D1312" t="s">
        <v>22</v>
      </c>
      <c r="E1312" t="s">
        <v>8</v>
      </c>
      <c r="F1312" t="s">
        <v>23</v>
      </c>
      <c r="O1312">
        <v>1</v>
      </c>
      <c r="T1312">
        <v>1</v>
      </c>
      <c r="Z1312">
        <v>1</v>
      </c>
      <c r="AD1312">
        <v>1</v>
      </c>
      <c r="AI1312">
        <v>1</v>
      </c>
      <c r="AN1312">
        <v>1</v>
      </c>
      <c r="AS1312">
        <v>1</v>
      </c>
      <c r="BA1312">
        <f>SUM(Pre[[#This Row],[1]:[46]])</f>
        <v>7</v>
      </c>
    </row>
    <row r="1313" spans="1:53" x14ac:dyDescent="0.2">
      <c r="A1313" t="s">
        <v>53</v>
      </c>
      <c r="B1313" t="s">
        <v>54</v>
      </c>
      <c r="C1313">
        <v>16935</v>
      </c>
      <c r="D1313" t="s">
        <v>22</v>
      </c>
      <c r="E1313" t="s">
        <v>14</v>
      </c>
      <c r="F1313" t="s">
        <v>19</v>
      </c>
      <c r="BA1313">
        <f>SUM(Pre[[#This Row],[1]:[46]])</f>
        <v>0</v>
      </c>
    </row>
    <row r="1314" spans="1:53" x14ac:dyDescent="0.2">
      <c r="A1314" t="s">
        <v>53</v>
      </c>
      <c r="B1314" t="s">
        <v>54</v>
      </c>
      <c r="C1314">
        <v>19513</v>
      </c>
      <c r="D1314" t="s">
        <v>22</v>
      </c>
      <c r="E1314" t="s">
        <v>8</v>
      </c>
      <c r="F1314" t="s">
        <v>23</v>
      </c>
      <c r="AV1314">
        <v>1</v>
      </c>
      <c r="BA1314">
        <f>SUM(Pre[[#This Row],[1]:[46]])</f>
        <v>1</v>
      </c>
    </row>
    <row r="1315" spans="1:53" x14ac:dyDescent="0.2">
      <c r="A1315" t="s">
        <v>53</v>
      </c>
      <c r="B1315" t="s">
        <v>54</v>
      </c>
      <c r="C1315">
        <v>6224</v>
      </c>
      <c r="D1315" t="s">
        <v>22</v>
      </c>
      <c r="E1315" t="s">
        <v>8</v>
      </c>
      <c r="F1315" t="s">
        <v>23</v>
      </c>
      <c r="I1315">
        <v>1</v>
      </c>
      <c r="Y1315">
        <v>1</v>
      </c>
      <c r="AM1315">
        <v>1</v>
      </c>
      <c r="AY1315">
        <v>1</v>
      </c>
      <c r="BA1315">
        <f>SUM(Pre[[#This Row],[1]:[46]])</f>
        <v>4</v>
      </c>
    </row>
    <row r="1316" spans="1:53" x14ac:dyDescent="0.2">
      <c r="A1316" t="s">
        <v>53</v>
      </c>
      <c r="B1316" t="s">
        <v>54</v>
      </c>
      <c r="C1316">
        <v>17443</v>
      </c>
      <c r="D1316" t="s">
        <v>22</v>
      </c>
      <c r="E1316" t="s">
        <v>8</v>
      </c>
      <c r="F1316" t="s">
        <v>9</v>
      </c>
      <c r="I1316">
        <v>1</v>
      </c>
      <c r="W1316">
        <v>1</v>
      </c>
      <c r="AJ1316">
        <v>1</v>
      </c>
      <c r="AT1316">
        <v>1</v>
      </c>
      <c r="BA1316">
        <f>SUM(Pre[[#This Row],[1]:[46]])</f>
        <v>4</v>
      </c>
    </row>
    <row r="1317" spans="1:53" x14ac:dyDescent="0.2">
      <c r="A1317" t="s">
        <v>53</v>
      </c>
      <c r="B1317" t="s">
        <v>54</v>
      </c>
      <c r="C1317">
        <v>1436</v>
      </c>
      <c r="D1317" t="s">
        <v>7</v>
      </c>
      <c r="E1317" t="s">
        <v>14</v>
      </c>
      <c r="F1317" t="s">
        <v>21</v>
      </c>
      <c r="J1317">
        <v>2</v>
      </c>
      <c r="K1317">
        <v>1</v>
      </c>
      <c r="BA1317">
        <f>SUM(Pre[[#This Row],[1]:[46]])</f>
        <v>3</v>
      </c>
    </row>
    <row r="1318" spans="1:53" x14ac:dyDescent="0.2">
      <c r="A1318" t="s">
        <v>53</v>
      </c>
      <c r="B1318" t="s">
        <v>54</v>
      </c>
      <c r="C1318">
        <v>1755</v>
      </c>
      <c r="D1318" t="s">
        <v>22</v>
      </c>
      <c r="E1318" t="s">
        <v>14</v>
      </c>
      <c r="F1318" t="s">
        <v>35</v>
      </c>
      <c r="BA1318">
        <f>SUM(Pre[[#This Row],[1]:[46]])</f>
        <v>0</v>
      </c>
    </row>
    <row r="1319" spans="1:53" x14ac:dyDescent="0.2">
      <c r="A1319" t="s">
        <v>53</v>
      </c>
      <c r="B1319" t="s">
        <v>54</v>
      </c>
      <c r="C1319">
        <v>10232</v>
      </c>
      <c r="D1319" t="s">
        <v>7</v>
      </c>
      <c r="E1319" t="s">
        <v>8</v>
      </c>
      <c r="F1319" t="s">
        <v>9</v>
      </c>
      <c r="G1319">
        <v>2</v>
      </c>
      <c r="Z1319">
        <v>1</v>
      </c>
      <c r="BA1319">
        <f>SUM(Pre[[#This Row],[1]:[46]])</f>
        <v>3</v>
      </c>
    </row>
    <row r="1320" spans="1:53" x14ac:dyDescent="0.2">
      <c r="A1320" t="s">
        <v>53</v>
      </c>
      <c r="B1320" t="s">
        <v>54</v>
      </c>
      <c r="C1320">
        <v>32529</v>
      </c>
      <c r="D1320" t="s">
        <v>7</v>
      </c>
      <c r="E1320" t="s">
        <v>8</v>
      </c>
      <c r="F1320" t="s">
        <v>29</v>
      </c>
      <c r="L1320">
        <v>1</v>
      </c>
      <c r="V1320">
        <v>1</v>
      </c>
      <c r="Y1320">
        <v>1</v>
      </c>
      <c r="AM1320">
        <v>1</v>
      </c>
      <c r="AY1320">
        <v>1</v>
      </c>
      <c r="BA1320">
        <f>SUM(Pre[[#This Row],[1]:[46]])</f>
        <v>5</v>
      </c>
    </row>
    <row r="1321" spans="1:53" x14ac:dyDescent="0.2">
      <c r="A1321" t="s">
        <v>53</v>
      </c>
      <c r="B1321" t="s">
        <v>54</v>
      </c>
      <c r="C1321">
        <v>5945</v>
      </c>
      <c r="D1321" t="s">
        <v>22</v>
      </c>
      <c r="E1321" t="s">
        <v>8</v>
      </c>
      <c r="F1321" t="s">
        <v>23</v>
      </c>
      <c r="H1321">
        <v>1</v>
      </c>
      <c r="M1321">
        <v>1</v>
      </c>
      <c r="Q1321">
        <v>1</v>
      </c>
      <c r="T1321">
        <v>1</v>
      </c>
      <c r="X1321">
        <v>1</v>
      </c>
      <c r="AC1321">
        <v>1</v>
      </c>
      <c r="AG1321">
        <v>1</v>
      </c>
      <c r="AL1321">
        <v>1</v>
      </c>
      <c r="AP1321">
        <v>1</v>
      </c>
      <c r="AT1321">
        <v>1</v>
      </c>
      <c r="AX1321">
        <v>1</v>
      </c>
      <c r="BA1321">
        <f>SUM(Pre[[#This Row],[1]:[46]])</f>
        <v>11</v>
      </c>
    </row>
    <row r="1322" spans="1:53" x14ac:dyDescent="0.2">
      <c r="A1322" t="s">
        <v>53</v>
      </c>
      <c r="B1322" t="s">
        <v>54</v>
      </c>
      <c r="C1322">
        <v>5945</v>
      </c>
      <c r="D1322" t="s">
        <v>22</v>
      </c>
      <c r="E1322" t="s">
        <v>26</v>
      </c>
      <c r="F1322" t="s">
        <v>27</v>
      </c>
      <c r="H1322">
        <v>1</v>
      </c>
      <c r="M1322">
        <v>1</v>
      </c>
      <c r="Q1322">
        <v>1</v>
      </c>
      <c r="T1322">
        <v>1</v>
      </c>
      <c r="X1322">
        <v>1</v>
      </c>
      <c r="AC1322">
        <v>1</v>
      </c>
      <c r="AG1322">
        <v>1</v>
      </c>
      <c r="AL1322">
        <v>1</v>
      </c>
      <c r="AP1322">
        <v>1</v>
      </c>
      <c r="AT1322">
        <v>1</v>
      </c>
      <c r="AX1322">
        <v>1</v>
      </c>
      <c r="BA1322">
        <f>SUM(Pre[[#This Row],[1]:[46]])</f>
        <v>11</v>
      </c>
    </row>
    <row r="1323" spans="1:53" x14ac:dyDescent="0.2">
      <c r="A1323" t="s">
        <v>53</v>
      </c>
      <c r="B1323" t="s">
        <v>54</v>
      </c>
      <c r="C1323">
        <v>10805</v>
      </c>
      <c r="D1323" t="s">
        <v>22</v>
      </c>
      <c r="E1323" t="s">
        <v>8</v>
      </c>
      <c r="F1323" t="s">
        <v>23</v>
      </c>
      <c r="K1323">
        <v>1</v>
      </c>
      <c r="O1323">
        <v>1</v>
      </c>
      <c r="V1323">
        <v>1</v>
      </c>
      <c r="X1323">
        <v>2</v>
      </c>
      <c r="Z1323">
        <v>1</v>
      </c>
      <c r="AA1323">
        <v>1</v>
      </c>
      <c r="AB1323">
        <v>1</v>
      </c>
      <c r="AD1323">
        <v>1</v>
      </c>
      <c r="AF1323">
        <v>1</v>
      </c>
      <c r="AI1323">
        <v>1</v>
      </c>
      <c r="AQ1323">
        <v>1</v>
      </c>
      <c r="AY1323">
        <v>1</v>
      </c>
      <c r="BA1323">
        <f>SUM(Pre[[#This Row],[1]:[46]])</f>
        <v>13</v>
      </c>
    </row>
    <row r="1324" spans="1:53" x14ac:dyDescent="0.2">
      <c r="A1324" t="s">
        <v>53</v>
      </c>
      <c r="B1324" t="s">
        <v>54</v>
      </c>
      <c r="C1324">
        <v>16935</v>
      </c>
      <c r="D1324" t="s">
        <v>22</v>
      </c>
      <c r="E1324" t="s">
        <v>8</v>
      </c>
      <c r="F1324" t="s">
        <v>9</v>
      </c>
      <c r="I1324">
        <v>1</v>
      </c>
      <c r="T1324">
        <v>1</v>
      </c>
      <c r="AN1324">
        <v>2</v>
      </c>
      <c r="BA1324">
        <f>SUM(Pre[[#This Row],[1]:[46]])</f>
        <v>4</v>
      </c>
    </row>
    <row r="1325" spans="1:53" x14ac:dyDescent="0.2">
      <c r="A1325" t="s">
        <v>53</v>
      </c>
      <c r="B1325" t="s">
        <v>54</v>
      </c>
      <c r="C1325">
        <v>20274</v>
      </c>
      <c r="D1325" t="s">
        <v>22</v>
      </c>
      <c r="E1325" t="s">
        <v>37</v>
      </c>
      <c r="F1325" t="s">
        <v>55</v>
      </c>
      <c r="N1325">
        <v>1</v>
      </c>
      <c r="AB1325">
        <v>1</v>
      </c>
      <c r="BA1325">
        <f>SUM(Pre[[#This Row],[1]:[46]])</f>
        <v>2</v>
      </c>
    </row>
    <row r="1326" spans="1:53" x14ac:dyDescent="0.2">
      <c r="A1326" t="s">
        <v>53</v>
      </c>
      <c r="B1326" t="s">
        <v>54</v>
      </c>
      <c r="C1326">
        <v>20274</v>
      </c>
      <c r="D1326" t="s">
        <v>22</v>
      </c>
      <c r="E1326" t="s">
        <v>26</v>
      </c>
      <c r="F1326" t="s">
        <v>27</v>
      </c>
      <c r="N1326">
        <v>1</v>
      </c>
      <c r="AB1326">
        <v>1</v>
      </c>
      <c r="BA1326">
        <f>SUM(Pre[[#This Row],[1]:[46]])</f>
        <v>2</v>
      </c>
    </row>
    <row r="1327" spans="1:53" x14ac:dyDescent="0.2">
      <c r="A1327" t="s">
        <v>56</v>
      </c>
      <c r="B1327" t="s">
        <v>54</v>
      </c>
      <c r="C1327">
        <v>755</v>
      </c>
      <c r="D1327" t="s">
        <v>7</v>
      </c>
      <c r="E1327" t="s">
        <v>14</v>
      </c>
      <c r="F1327" t="s">
        <v>21</v>
      </c>
      <c r="O1327">
        <v>1</v>
      </c>
      <c r="BA1327">
        <f>SUM(Pre[[#This Row],[1]:[46]])</f>
        <v>1</v>
      </c>
    </row>
    <row r="1328" spans="1:53" x14ac:dyDescent="0.2">
      <c r="A1328" t="s">
        <v>56</v>
      </c>
      <c r="B1328" t="s">
        <v>54</v>
      </c>
      <c r="C1328">
        <v>855</v>
      </c>
      <c r="D1328" t="s">
        <v>7</v>
      </c>
      <c r="E1328" t="s">
        <v>14</v>
      </c>
      <c r="F1328" t="s">
        <v>19</v>
      </c>
      <c r="I1328">
        <v>1</v>
      </c>
      <c r="M1328">
        <v>1</v>
      </c>
      <c r="Q1328">
        <v>1</v>
      </c>
      <c r="U1328">
        <v>1</v>
      </c>
      <c r="Y1328">
        <v>1</v>
      </c>
      <c r="AD1328">
        <v>1</v>
      </c>
      <c r="AI1328">
        <v>1</v>
      </c>
      <c r="AN1328">
        <v>1</v>
      </c>
      <c r="AO1328">
        <v>1</v>
      </c>
      <c r="AT1328">
        <v>1</v>
      </c>
      <c r="AW1328">
        <v>1</v>
      </c>
      <c r="BA1328">
        <f>SUM(Pre[[#This Row],[1]:[46]])</f>
        <v>11</v>
      </c>
    </row>
    <row r="1329" spans="1:53" x14ac:dyDescent="0.2">
      <c r="A1329" t="s">
        <v>56</v>
      </c>
      <c r="B1329" t="s">
        <v>54</v>
      </c>
      <c r="C1329">
        <v>1752</v>
      </c>
      <c r="D1329" t="s">
        <v>7</v>
      </c>
      <c r="E1329" t="s">
        <v>8</v>
      </c>
      <c r="F1329" t="s">
        <v>9</v>
      </c>
      <c r="J1329">
        <v>1</v>
      </c>
      <c r="N1329">
        <v>1</v>
      </c>
      <c r="Q1329">
        <v>1</v>
      </c>
      <c r="V1329">
        <v>3</v>
      </c>
      <c r="W1329">
        <v>1</v>
      </c>
      <c r="AJ1329">
        <v>1</v>
      </c>
      <c r="AW1329">
        <v>1</v>
      </c>
      <c r="BA1329">
        <f>SUM(Pre[[#This Row],[1]:[46]])</f>
        <v>9</v>
      </c>
    </row>
    <row r="1330" spans="1:53" x14ac:dyDescent="0.2">
      <c r="A1330" t="s">
        <v>56</v>
      </c>
      <c r="B1330" t="s">
        <v>54</v>
      </c>
      <c r="C1330">
        <v>4237</v>
      </c>
      <c r="D1330" t="s">
        <v>7</v>
      </c>
      <c r="E1330" t="s">
        <v>8</v>
      </c>
      <c r="F1330" t="s">
        <v>23</v>
      </c>
      <c r="T1330">
        <v>1</v>
      </c>
      <c r="AH1330">
        <v>3</v>
      </c>
      <c r="AW1330">
        <v>1</v>
      </c>
      <c r="BA1330">
        <f>SUM(Pre[[#This Row],[1]:[46]])</f>
        <v>5</v>
      </c>
    </row>
    <row r="1331" spans="1:53" x14ac:dyDescent="0.2">
      <c r="A1331" t="s">
        <v>56</v>
      </c>
      <c r="B1331" t="s">
        <v>54</v>
      </c>
      <c r="C1331">
        <v>5926</v>
      </c>
      <c r="D1331" t="s">
        <v>7</v>
      </c>
      <c r="E1331" t="s">
        <v>10</v>
      </c>
      <c r="F1331" t="s">
        <v>11</v>
      </c>
      <c r="N1331">
        <v>1</v>
      </c>
      <c r="AB1331">
        <v>1</v>
      </c>
      <c r="AN1331">
        <v>1</v>
      </c>
      <c r="BA1331">
        <f>SUM(Pre[[#This Row],[1]:[46]])</f>
        <v>3</v>
      </c>
    </row>
    <row r="1332" spans="1:53" x14ac:dyDescent="0.2">
      <c r="A1332" t="s">
        <v>56</v>
      </c>
      <c r="B1332" t="s">
        <v>54</v>
      </c>
      <c r="C1332">
        <v>9159</v>
      </c>
      <c r="D1332" t="s">
        <v>7</v>
      </c>
      <c r="E1332" t="s">
        <v>8</v>
      </c>
      <c r="F1332" t="s">
        <v>23</v>
      </c>
      <c r="R1332">
        <v>1</v>
      </c>
      <c r="AG1332">
        <v>1</v>
      </c>
      <c r="AV1332">
        <v>1</v>
      </c>
      <c r="BA1332">
        <f>SUM(Pre[[#This Row],[1]:[46]])</f>
        <v>3</v>
      </c>
    </row>
    <row r="1333" spans="1:53" x14ac:dyDescent="0.2">
      <c r="A1333" t="s">
        <v>56</v>
      </c>
      <c r="B1333" t="s">
        <v>54</v>
      </c>
      <c r="C1333">
        <v>9773</v>
      </c>
      <c r="D1333" t="s">
        <v>7</v>
      </c>
      <c r="E1333" t="s">
        <v>8</v>
      </c>
      <c r="F1333" t="s">
        <v>9</v>
      </c>
      <c r="J1333">
        <v>1</v>
      </c>
      <c r="N1333">
        <v>1</v>
      </c>
      <c r="T1333">
        <v>1</v>
      </c>
      <c r="V1333">
        <v>1</v>
      </c>
      <c r="W1333">
        <v>1</v>
      </c>
      <c r="Y1333">
        <v>1</v>
      </c>
      <c r="Z1333">
        <v>1</v>
      </c>
      <c r="AB1333">
        <v>1</v>
      </c>
      <c r="AC1333">
        <v>1</v>
      </c>
      <c r="AE1333">
        <v>1</v>
      </c>
      <c r="BA1333">
        <f>SUM(Pre[[#This Row],[1]:[46]])</f>
        <v>10</v>
      </c>
    </row>
    <row r="1334" spans="1:53" x14ac:dyDescent="0.2">
      <c r="A1334" t="s">
        <v>56</v>
      </c>
      <c r="B1334" t="s">
        <v>54</v>
      </c>
      <c r="C1334">
        <v>10044</v>
      </c>
      <c r="D1334" t="s">
        <v>7</v>
      </c>
      <c r="E1334" t="s">
        <v>8</v>
      </c>
      <c r="F1334" t="s">
        <v>9</v>
      </c>
      <c r="J1334">
        <v>1</v>
      </c>
      <c r="Z1334">
        <v>1</v>
      </c>
      <c r="AN1334">
        <v>1</v>
      </c>
      <c r="BA1334">
        <f>SUM(Pre[[#This Row],[1]:[46]])</f>
        <v>3</v>
      </c>
    </row>
    <row r="1335" spans="1:53" x14ac:dyDescent="0.2">
      <c r="A1335" t="s">
        <v>56</v>
      </c>
      <c r="B1335" t="s">
        <v>54</v>
      </c>
      <c r="C1335">
        <v>10044</v>
      </c>
      <c r="D1335" t="s">
        <v>7</v>
      </c>
      <c r="E1335" t="s">
        <v>26</v>
      </c>
      <c r="F1335" t="s">
        <v>27</v>
      </c>
      <c r="J1335">
        <v>1</v>
      </c>
      <c r="Z1335">
        <v>1</v>
      </c>
      <c r="AN1335">
        <v>1</v>
      </c>
      <c r="BA1335">
        <f>SUM(Pre[[#This Row],[1]:[46]])</f>
        <v>3</v>
      </c>
    </row>
    <row r="1336" spans="1:53" x14ac:dyDescent="0.2">
      <c r="A1336" t="s">
        <v>56</v>
      </c>
      <c r="B1336" t="s">
        <v>54</v>
      </c>
      <c r="C1336">
        <v>10686</v>
      </c>
      <c r="D1336" t="s">
        <v>7</v>
      </c>
      <c r="E1336" t="s">
        <v>10</v>
      </c>
      <c r="F1336" t="s">
        <v>11</v>
      </c>
      <c r="X1336">
        <v>1</v>
      </c>
      <c r="Y1336">
        <v>1</v>
      </c>
      <c r="AK1336">
        <v>1</v>
      </c>
      <c r="BA1336">
        <f>SUM(Pre[[#This Row],[1]:[46]])</f>
        <v>3</v>
      </c>
    </row>
    <row r="1337" spans="1:53" x14ac:dyDescent="0.2">
      <c r="A1337" t="s">
        <v>56</v>
      </c>
      <c r="B1337" t="s">
        <v>54</v>
      </c>
      <c r="C1337">
        <v>10808</v>
      </c>
      <c r="D1337" t="s">
        <v>7</v>
      </c>
      <c r="E1337" t="s">
        <v>8</v>
      </c>
      <c r="F1337" t="s">
        <v>23</v>
      </c>
      <c r="L1337">
        <v>1</v>
      </c>
      <c r="X1337">
        <v>1</v>
      </c>
      <c r="AL1337">
        <v>1</v>
      </c>
      <c r="AX1337">
        <v>1</v>
      </c>
      <c r="BA1337">
        <f>SUM(Pre[[#This Row],[1]:[46]])</f>
        <v>4</v>
      </c>
    </row>
    <row r="1338" spans="1:53" x14ac:dyDescent="0.2">
      <c r="A1338" t="s">
        <v>56</v>
      </c>
      <c r="B1338" t="s">
        <v>54</v>
      </c>
      <c r="C1338">
        <v>12899</v>
      </c>
      <c r="D1338" t="s">
        <v>7</v>
      </c>
      <c r="E1338" t="s">
        <v>12</v>
      </c>
      <c r="F1338" t="s">
        <v>13</v>
      </c>
      <c r="L1338">
        <v>1</v>
      </c>
      <c r="BA1338">
        <f>SUM(Pre[[#This Row],[1]:[46]])</f>
        <v>1</v>
      </c>
    </row>
    <row r="1339" spans="1:53" x14ac:dyDescent="0.2">
      <c r="A1339" t="s">
        <v>56</v>
      </c>
      <c r="B1339" t="s">
        <v>54</v>
      </c>
      <c r="C1339">
        <v>13036</v>
      </c>
      <c r="D1339" t="s">
        <v>7</v>
      </c>
      <c r="E1339" t="s">
        <v>8</v>
      </c>
      <c r="F1339" t="s">
        <v>9</v>
      </c>
      <c r="J1339">
        <v>1</v>
      </c>
      <c r="S1339">
        <v>1</v>
      </c>
      <c r="AI1339">
        <v>2</v>
      </c>
      <c r="AS1339">
        <v>1</v>
      </c>
      <c r="BA1339">
        <f>SUM(Pre[[#This Row],[1]:[46]])</f>
        <v>5</v>
      </c>
    </row>
    <row r="1340" spans="1:53" x14ac:dyDescent="0.2">
      <c r="A1340" t="s">
        <v>56</v>
      </c>
      <c r="B1340" t="s">
        <v>54</v>
      </c>
      <c r="C1340">
        <v>13099</v>
      </c>
      <c r="D1340" t="s">
        <v>7</v>
      </c>
      <c r="E1340" t="s">
        <v>14</v>
      </c>
      <c r="F1340" t="s">
        <v>19</v>
      </c>
      <c r="V1340">
        <v>3</v>
      </c>
      <c r="X1340">
        <v>1</v>
      </c>
      <c r="Z1340">
        <v>1</v>
      </c>
      <c r="AH1340">
        <v>2</v>
      </c>
      <c r="AN1340">
        <v>1</v>
      </c>
      <c r="BA1340">
        <f>SUM(Pre[[#This Row],[1]:[46]])</f>
        <v>8</v>
      </c>
    </row>
    <row r="1341" spans="1:53" x14ac:dyDescent="0.2">
      <c r="A1341" t="s">
        <v>56</v>
      </c>
      <c r="B1341" t="s">
        <v>54</v>
      </c>
      <c r="C1341">
        <v>13099</v>
      </c>
      <c r="D1341" t="s">
        <v>7</v>
      </c>
      <c r="E1341" t="s">
        <v>14</v>
      </c>
      <c r="F1341" t="s">
        <v>20</v>
      </c>
      <c r="S1341">
        <v>1</v>
      </c>
      <c r="BA1341">
        <f>SUM(Pre[[#This Row],[1]:[46]])</f>
        <v>1</v>
      </c>
    </row>
    <row r="1342" spans="1:53" x14ac:dyDescent="0.2">
      <c r="A1342" t="s">
        <v>56</v>
      </c>
      <c r="B1342" t="s">
        <v>54</v>
      </c>
      <c r="C1342">
        <v>13549</v>
      </c>
      <c r="D1342" t="s">
        <v>7</v>
      </c>
      <c r="E1342" t="s">
        <v>8</v>
      </c>
      <c r="F1342" t="s">
        <v>9</v>
      </c>
      <c r="T1342">
        <v>1</v>
      </c>
      <c r="AK1342">
        <v>1</v>
      </c>
      <c r="AV1342">
        <v>1</v>
      </c>
      <c r="BA1342">
        <f>SUM(Pre[[#This Row],[1]:[46]])</f>
        <v>3</v>
      </c>
    </row>
    <row r="1343" spans="1:53" x14ac:dyDescent="0.2">
      <c r="A1343" t="s">
        <v>56</v>
      </c>
      <c r="B1343" t="s">
        <v>54</v>
      </c>
      <c r="C1343">
        <v>14671</v>
      </c>
      <c r="D1343" t="s">
        <v>7</v>
      </c>
      <c r="E1343" t="s">
        <v>14</v>
      </c>
      <c r="F1343" t="s">
        <v>15</v>
      </c>
      <c r="AU1343">
        <v>1</v>
      </c>
      <c r="BA1343">
        <f>SUM(Pre[[#This Row],[1]:[46]])</f>
        <v>1</v>
      </c>
    </row>
    <row r="1344" spans="1:53" x14ac:dyDescent="0.2">
      <c r="A1344" t="s">
        <v>56</v>
      </c>
      <c r="B1344" t="s">
        <v>54</v>
      </c>
      <c r="C1344">
        <v>18798</v>
      </c>
      <c r="D1344" t="s">
        <v>7</v>
      </c>
      <c r="E1344" t="s">
        <v>8</v>
      </c>
      <c r="F1344" t="s">
        <v>9</v>
      </c>
      <c r="V1344">
        <v>1</v>
      </c>
      <c r="AJ1344">
        <v>1</v>
      </c>
      <c r="AV1344">
        <v>1</v>
      </c>
      <c r="BA1344">
        <f>SUM(Pre[[#This Row],[1]:[46]])</f>
        <v>3</v>
      </c>
    </row>
    <row r="1345" spans="1:53" x14ac:dyDescent="0.2">
      <c r="A1345" t="s">
        <v>56</v>
      </c>
      <c r="B1345" t="s">
        <v>54</v>
      </c>
      <c r="C1345">
        <v>18914</v>
      </c>
      <c r="D1345" t="s">
        <v>7</v>
      </c>
      <c r="E1345" t="s">
        <v>8</v>
      </c>
      <c r="F1345" t="s">
        <v>9</v>
      </c>
      <c r="N1345">
        <v>1</v>
      </c>
      <c r="AC1345">
        <v>2</v>
      </c>
      <c r="AP1345">
        <v>2</v>
      </c>
      <c r="BA1345">
        <f>SUM(Pre[[#This Row],[1]:[46]])</f>
        <v>5</v>
      </c>
    </row>
    <row r="1346" spans="1:53" x14ac:dyDescent="0.2">
      <c r="A1346" t="s">
        <v>56</v>
      </c>
      <c r="B1346" t="s">
        <v>54</v>
      </c>
      <c r="C1346">
        <v>21202</v>
      </c>
      <c r="D1346" t="s">
        <v>7</v>
      </c>
      <c r="E1346" t="s">
        <v>14</v>
      </c>
      <c r="F1346" t="s">
        <v>20</v>
      </c>
      <c r="BA1346">
        <f>SUM(Pre[[#This Row],[1]:[46]])</f>
        <v>0</v>
      </c>
    </row>
    <row r="1347" spans="1:53" x14ac:dyDescent="0.2">
      <c r="A1347" t="s">
        <v>56</v>
      </c>
      <c r="B1347" t="s">
        <v>54</v>
      </c>
      <c r="C1347">
        <v>22625</v>
      </c>
      <c r="D1347" t="s">
        <v>7</v>
      </c>
      <c r="E1347" t="s">
        <v>14</v>
      </c>
      <c r="F1347" t="s">
        <v>20</v>
      </c>
      <c r="L1347">
        <v>1</v>
      </c>
      <c r="W1347">
        <v>1</v>
      </c>
      <c r="Y1347">
        <v>1</v>
      </c>
      <c r="AJ1347">
        <v>2</v>
      </c>
      <c r="AX1347">
        <v>1</v>
      </c>
      <c r="BA1347">
        <f>SUM(Pre[[#This Row],[1]:[46]])</f>
        <v>6</v>
      </c>
    </row>
    <row r="1348" spans="1:53" x14ac:dyDescent="0.2">
      <c r="A1348" t="s">
        <v>56</v>
      </c>
      <c r="B1348" t="s">
        <v>54</v>
      </c>
      <c r="C1348">
        <v>22846</v>
      </c>
      <c r="D1348" t="s">
        <v>7</v>
      </c>
      <c r="E1348" t="s">
        <v>8</v>
      </c>
      <c r="F1348" t="s">
        <v>23</v>
      </c>
      <c r="Z1348">
        <v>1</v>
      </c>
      <c r="AD1348">
        <v>1</v>
      </c>
      <c r="AQ1348">
        <v>1</v>
      </c>
      <c r="BA1348">
        <f>SUM(Pre[[#This Row],[1]:[46]])</f>
        <v>3</v>
      </c>
    </row>
    <row r="1349" spans="1:53" x14ac:dyDescent="0.2">
      <c r="A1349" t="s">
        <v>56</v>
      </c>
      <c r="B1349" t="s">
        <v>54</v>
      </c>
      <c r="C1349">
        <v>22846</v>
      </c>
      <c r="D1349" t="s">
        <v>7</v>
      </c>
      <c r="E1349" t="s">
        <v>14</v>
      </c>
      <c r="F1349" t="s">
        <v>20</v>
      </c>
      <c r="BA1349">
        <f>SUM(Pre[[#This Row],[1]:[46]])</f>
        <v>0</v>
      </c>
    </row>
    <row r="1350" spans="1:53" x14ac:dyDescent="0.2">
      <c r="A1350" t="s">
        <v>56</v>
      </c>
      <c r="B1350" t="s">
        <v>54</v>
      </c>
      <c r="C1350">
        <v>29657</v>
      </c>
      <c r="D1350" t="s">
        <v>7</v>
      </c>
      <c r="E1350" t="s">
        <v>8</v>
      </c>
      <c r="F1350" t="s">
        <v>9</v>
      </c>
      <c r="BA1350">
        <f>SUM(Pre[[#This Row],[1]:[46]])</f>
        <v>0</v>
      </c>
    </row>
    <row r="1351" spans="1:53" x14ac:dyDescent="0.2">
      <c r="A1351" t="s">
        <v>56</v>
      </c>
      <c r="B1351" t="s">
        <v>54</v>
      </c>
      <c r="C1351">
        <v>4190</v>
      </c>
      <c r="D1351" t="s">
        <v>22</v>
      </c>
      <c r="E1351" t="s">
        <v>8</v>
      </c>
      <c r="F1351" t="s">
        <v>23</v>
      </c>
      <c r="O1351">
        <v>1</v>
      </c>
      <c r="AD1351">
        <v>1</v>
      </c>
      <c r="AQ1351">
        <v>1</v>
      </c>
      <c r="BA1351">
        <f>SUM(Pre[[#This Row],[1]:[46]])</f>
        <v>3</v>
      </c>
    </row>
    <row r="1352" spans="1:53" x14ac:dyDescent="0.2">
      <c r="A1352" t="s">
        <v>56</v>
      </c>
      <c r="B1352" t="s">
        <v>54</v>
      </c>
      <c r="C1352">
        <v>4190</v>
      </c>
      <c r="D1352" t="s">
        <v>22</v>
      </c>
      <c r="E1352" t="s">
        <v>14</v>
      </c>
      <c r="F1352" t="s">
        <v>20</v>
      </c>
      <c r="I1352">
        <v>1</v>
      </c>
      <c r="O1352">
        <v>1</v>
      </c>
      <c r="V1352">
        <v>1</v>
      </c>
      <c r="AI1352">
        <v>1</v>
      </c>
      <c r="AV1352">
        <v>1</v>
      </c>
      <c r="BA1352">
        <f>SUM(Pre[[#This Row],[1]:[46]])</f>
        <v>5</v>
      </c>
    </row>
    <row r="1353" spans="1:53" x14ac:dyDescent="0.2">
      <c r="A1353" t="s">
        <v>56</v>
      </c>
      <c r="B1353" t="s">
        <v>54</v>
      </c>
      <c r="C1353">
        <v>5035</v>
      </c>
      <c r="D1353" t="s">
        <v>22</v>
      </c>
      <c r="E1353" t="s">
        <v>8</v>
      </c>
      <c r="F1353" t="s">
        <v>9</v>
      </c>
      <c r="G1353">
        <v>1</v>
      </c>
      <c r="W1353">
        <v>2</v>
      </c>
      <c r="AR1353">
        <v>1</v>
      </c>
      <c r="BA1353">
        <f>SUM(Pre[[#This Row],[1]:[46]])</f>
        <v>4</v>
      </c>
    </row>
    <row r="1354" spans="1:53" x14ac:dyDescent="0.2">
      <c r="A1354" t="s">
        <v>56</v>
      </c>
      <c r="B1354" t="s">
        <v>54</v>
      </c>
      <c r="C1354">
        <v>12799</v>
      </c>
      <c r="D1354" t="s">
        <v>22</v>
      </c>
      <c r="E1354" t="s">
        <v>8</v>
      </c>
      <c r="F1354" t="s">
        <v>23</v>
      </c>
      <c r="I1354">
        <v>1</v>
      </c>
      <c r="M1354">
        <v>1</v>
      </c>
      <c r="AA1354">
        <v>1</v>
      </c>
      <c r="AM1354">
        <v>1</v>
      </c>
      <c r="BA1354">
        <f>SUM(Pre[[#This Row],[1]:[46]])</f>
        <v>4</v>
      </c>
    </row>
    <row r="1355" spans="1:53" x14ac:dyDescent="0.2">
      <c r="A1355" t="s">
        <v>56</v>
      </c>
      <c r="B1355" t="s">
        <v>54</v>
      </c>
      <c r="C1355">
        <v>14128</v>
      </c>
      <c r="D1355" t="s">
        <v>22</v>
      </c>
      <c r="E1355" t="s">
        <v>8</v>
      </c>
      <c r="F1355" t="s">
        <v>9</v>
      </c>
      <c r="R1355">
        <v>1</v>
      </c>
      <c r="BA1355">
        <f>SUM(Pre[[#This Row],[1]:[46]])</f>
        <v>1</v>
      </c>
    </row>
    <row r="1356" spans="1:53" x14ac:dyDescent="0.2">
      <c r="A1356" t="s">
        <v>56</v>
      </c>
      <c r="B1356" t="s">
        <v>54</v>
      </c>
      <c r="C1356">
        <v>21949</v>
      </c>
      <c r="D1356" t="s">
        <v>22</v>
      </c>
      <c r="E1356" t="s">
        <v>8</v>
      </c>
      <c r="F1356" t="s">
        <v>9</v>
      </c>
      <c r="J1356">
        <v>1</v>
      </c>
      <c r="AF1356">
        <v>1</v>
      </c>
      <c r="AW1356">
        <v>1</v>
      </c>
      <c r="BA1356">
        <f>SUM(Pre[[#This Row],[1]:[46]])</f>
        <v>3</v>
      </c>
    </row>
    <row r="1357" spans="1:53" x14ac:dyDescent="0.2">
      <c r="A1357" t="s">
        <v>56</v>
      </c>
      <c r="B1357" t="s">
        <v>54</v>
      </c>
      <c r="C1357">
        <v>246</v>
      </c>
      <c r="D1357" t="s">
        <v>7</v>
      </c>
      <c r="E1357" t="s">
        <v>8</v>
      </c>
      <c r="F1357" t="s">
        <v>9</v>
      </c>
      <c r="I1357">
        <v>1</v>
      </c>
      <c r="M1357">
        <v>1</v>
      </c>
      <c r="O1357">
        <v>1</v>
      </c>
      <c r="V1357">
        <v>1</v>
      </c>
      <c r="Y1357">
        <v>1</v>
      </c>
      <c r="AC1357">
        <v>1</v>
      </c>
      <c r="AG1357">
        <v>1</v>
      </c>
      <c r="AK1357">
        <v>1</v>
      </c>
      <c r="AO1357">
        <v>1</v>
      </c>
      <c r="AS1357">
        <v>1</v>
      </c>
      <c r="AW1357">
        <v>1</v>
      </c>
      <c r="BA1357">
        <f>SUM(Pre[[#This Row],[1]:[46]])</f>
        <v>11</v>
      </c>
    </row>
    <row r="1358" spans="1:53" x14ac:dyDescent="0.2">
      <c r="A1358" t="s">
        <v>56</v>
      </c>
      <c r="B1358" t="s">
        <v>54</v>
      </c>
      <c r="C1358">
        <v>922</v>
      </c>
      <c r="D1358" t="s">
        <v>7</v>
      </c>
      <c r="E1358" t="s">
        <v>10</v>
      </c>
      <c r="F1358" t="s">
        <v>11</v>
      </c>
      <c r="J1358">
        <v>1</v>
      </c>
      <c r="BA1358">
        <f>SUM(Pre[[#This Row],[1]:[46]])</f>
        <v>1</v>
      </c>
    </row>
    <row r="1359" spans="1:53" x14ac:dyDescent="0.2">
      <c r="A1359" t="s">
        <v>56</v>
      </c>
      <c r="B1359" t="s">
        <v>54</v>
      </c>
      <c r="C1359">
        <v>922</v>
      </c>
      <c r="D1359" t="s">
        <v>7</v>
      </c>
      <c r="E1359" t="s">
        <v>8</v>
      </c>
      <c r="F1359" t="s">
        <v>23</v>
      </c>
      <c r="G1359">
        <v>1</v>
      </c>
      <c r="K1359">
        <v>1</v>
      </c>
      <c r="O1359">
        <v>1</v>
      </c>
      <c r="S1359">
        <v>1</v>
      </c>
      <c r="W1359">
        <v>1</v>
      </c>
      <c r="AA1359">
        <v>1</v>
      </c>
      <c r="AE1359">
        <v>1</v>
      </c>
      <c r="AI1359">
        <v>1</v>
      </c>
      <c r="AM1359">
        <v>1</v>
      </c>
      <c r="AP1359">
        <v>1</v>
      </c>
      <c r="AQ1359">
        <v>1</v>
      </c>
      <c r="AT1359">
        <v>1</v>
      </c>
      <c r="AX1359">
        <v>1</v>
      </c>
      <c r="BA1359">
        <f>SUM(Pre[[#This Row],[1]:[46]])</f>
        <v>13</v>
      </c>
    </row>
    <row r="1360" spans="1:53" x14ac:dyDescent="0.2">
      <c r="A1360" t="s">
        <v>56</v>
      </c>
      <c r="B1360" t="s">
        <v>54</v>
      </c>
      <c r="C1360">
        <v>1368</v>
      </c>
      <c r="D1360" t="s">
        <v>7</v>
      </c>
      <c r="E1360" t="s">
        <v>10</v>
      </c>
      <c r="F1360" t="s">
        <v>16</v>
      </c>
      <c r="AO1360">
        <v>1</v>
      </c>
      <c r="BA1360">
        <f>SUM(Pre[[#This Row],[1]:[46]])</f>
        <v>1</v>
      </c>
    </row>
    <row r="1361" spans="1:53" x14ac:dyDescent="0.2">
      <c r="A1361" t="s">
        <v>56</v>
      </c>
      <c r="B1361" t="s">
        <v>54</v>
      </c>
      <c r="C1361">
        <v>2115</v>
      </c>
      <c r="D1361" t="s">
        <v>7</v>
      </c>
      <c r="E1361" t="s">
        <v>8</v>
      </c>
      <c r="F1361" t="s">
        <v>23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f>SUM(Pre[[#This Row],[1]:[46]])</f>
        <v>46</v>
      </c>
    </row>
    <row r="1362" spans="1:53" x14ac:dyDescent="0.2">
      <c r="A1362" t="s">
        <v>56</v>
      </c>
      <c r="B1362" t="s">
        <v>54</v>
      </c>
      <c r="C1362">
        <v>2158</v>
      </c>
      <c r="D1362" t="s">
        <v>7</v>
      </c>
      <c r="E1362" t="s">
        <v>8</v>
      </c>
      <c r="F1362" t="s">
        <v>9</v>
      </c>
      <c r="N1362">
        <v>1</v>
      </c>
      <c r="X1362">
        <v>1</v>
      </c>
      <c r="AE1362">
        <v>1</v>
      </c>
      <c r="AS1362">
        <v>1</v>
      </c>
      <c r="BA1362">
        <f>SUM(Pre[[#This Row],[1]:[46]])</f>
        <v>4</v>
      </c>
    </row>
    <row r="1363" spans="1:53" x14ac:dyDescent="0.2">
      <c r="A1363" t="s">
        <v>56</v>
      </c>
      <c r="B1363" t="s">
        <v>54</v>
      </c>
      <c r="C1363">
        <v>2295</v>
      </c>
      <c r="D1363" t="s">
        <v>7</v>
      </c>
      <c r="E1363" t="s">
        <v>8</v>
      </c>
      <c r="F1363" t="s">
        <v>23</v>
      </c>
      <c r="K1363">
        <v>1</v>
      </c>
      <c r="O1363">
        <v>1</v>
      </c>
      <c r="T1363">
        <v>2</v>
      </c>
      <c r="X1363">
        <v>1</v>
      </c>
      <c r="AB1363">
        <v>1</v>
      </c>
      <c r="AC1363">
        <v>1</v>
      </c>
      <c r="AG1363">
        <v>1</v>
      </c>
      <c r="AN1363">
        <v>1</v>
      </c>
      <c r="AQ1363">
        <v>1</v>
      </c>
      <c r="AT1363">
        <v>1</v>
      </c>
      <c r="AW1363">
        <v>1</v>
      </c>
      <c r="AZ1363">
        <v>1</v>
      </c>
      <c r="BA1363">
        <f>SUM(Pre[[#This Row],[1]:[46]])</f>
        <v>13</v>
      </c>
    </row>
    <row r="1364" spans="1:53" x14ac:dyDescent="0.2">
      <c r="A1364" t="s">
        <v>56</v>
      </c>
      <c r="B1364" t="s">
        <v>54</v>
      </c>
      <c r="C1364">
        <v>2295</v>
      </c>
      <c r="D1364" t="s">
        <v>7</v>
      </c>
      <c r="E1364" t="s">
        <v>14</v>
      </c>
      <c r="F1364" t="s">
        <v>20</v>
      </c>
      <c r="K1364">
        <v>1</v>
      </c>
      <c r="O1364">
        <v>1</v>
      </c>
      <c r="T1364">
        <v>1</v>
      </c>
      <c r="X1364">
        <v>1</v>
      </c>
      <c r="AB1364">
        <v>1</v>
      </c>
      <c r="AC1364">
        <v>1</v>
      </c>
      <c r="AG1364">
        <v>1</v>
      </c>
      <c r="AN1364">
        <v>1</v>
      </c>
      <c r="AQ1364">
        <v>1</v>
      </c>
      <c r="AT1364">
        <v>1</v>
      </c>
      <c r="AW1364">
        <v>1</v>
      </c>
      <c r="AZ1364">
        <v>1</v>
      </c>
      <c r="BA1364">
        <f>SUM(Pre[[#This Row],[1]:[46]])</f>
        <v>12</v>
      </c>
    </row>
    <row r="1365" spans="1:53" x14ac:dyDescent="0.2">
      <c r="A1365" t="s">
        <v>56</v>
      </c>
      <c r="B1365" t="s">
        <v>54</v>
      </c>
      <c r="C1365">
        <v>2299</v>
      </c>
      <c r="D1365" t="s">
        <v>7</v>
      </c>
      <c r="E1365" t="s">
        <v>8</v>
      </c>
      <c r="F1365" t="s">
        <v>9</v>
      </c>
      <c r="K1365">
        <v>1</v>
      </c>
      <c r="AJ1365">
        <v>1</v>
      </c>
      <c r="BA1365">
        <f>SUM(Pre[[#This Row],[1]:[46]])</f>
        <v>2</v>
      </c>
    </row>
    <row r="1366" spans="1:53" x14ac:dyDescent="0.2">
      <c r="A1366" t="s">
        <v>56</v>
      </c>
      <c r="B1366" t="s">
        <v>54</v>
      </c>
      <c r="C1366">
        <v>2643</v>
      </c>
      <c r="D1366" t="s">
        <v>7</v>
      </c>
      <c r="E1366" t="s">
        <v>8</v>
      </c>
      <c r="F1366" t="s">
        <v>9</v>
      </c>
      <c r="R1366">
        <v>1</v>
      </c>
      <c r="AG1366">
        <v>1</v>
      </c>
      <c r="AS1366">
        <v>1</v>
      </c>
      <c r="BA1366">
        <f>SUM(Pre[[#This Row],[1]:[46]])</f>
        <v>3</v>
      </c>
    </row>
    <row r="1367" spans="1:53" x14ac:dyDescent="0.2">
      <c r="A1367" t="s">
        <v>56</v>
      </c>
      <c r="B1367" t="s">
        <v>54</v>
      </c>
      <c r="C1367">
        <v>3939</v>
      </c>
      <c r="D1367" t="s">
        <v>7</v>
      </c>
      <c r="E1367" t="s">
        <v>14</v>
      </c>
      <c r="F1367" t="s">
        <v>20</v>
      </c>
      <c r="M1367">
        <v>2</v>
      </c>
      <c r="V1367">
        <v>2</v>
      </c>
      <c r="AC1367">
        <v>1</v>
      </c>
      <c r="AL1367">
        <v>4</v>
      </c>
      <c r="AM1367">
        <v>1</v>
      </c>
      <c r="AO1367">
        <v>1</v>
      </c>
      <c r="AU1367">
        <v>2</v>
      </c>
      <c r="BA1367">
        <f>SUM(Pre[[#This Row],[1]:[46]])</f>
        <v>13</v>
      </c>
    </row>
    <row r="1368" spans="1:53" x14ac:dyDescent="0.2">
      <c r="A1368" t="s">
        <v>56</v>
      </c>
      <c r="B1368" t="s">
        <v>54</v>
      </c>
      <c r="C1368">
        <v>3973</v>
      </c>
      <c r="D1368" t="s">
        <v>7</v>
      </c>
      <c r="E1368" t="s">
        <v>14</v>
      </c>
      <c r="F1368" t="s">
        <v>35</v>
      </c>
      <c r="X1368">
        <v>1</v>
      </c>
      <c r="AO1368">
        <v>1</v>
      </c>
      <c r="BA1368">
        <f>SUM(Pre[[#This Row],[1]:[46]])</f>
        <v>2</v>
      </c>
    </row>
    <row r="1369" spans="1:53" x14ac:dyDescent="0.2">
      <c r="A1369" t="s">
        <v>56</v>
      </c>
      <c r="B1369" t="s">
        <v>54</v>
      </c>
      <c r="C1369">
        <v>4012</v>
      </c>
      <c r="D1369" t="s">
        <v>7</v>
      </c>
      <c r="E1369" t="s">
        <v>14</v>
      </c>
      <c r="F1369" t="s">
        <v>20</v>
      </c>
      <c r="AB1369">
        <v>1</v>
      </c>
      <c r="AF1369">
        <v>1</v>
      </c>
      <c r="AK1369">
        <v>1</v>
      </c>
      <c r="AO1369">
        <v>1</v>
      </c>
      <c r="AY1369">
        <v>1</v>
      </c>
      <c r="BA1369">
        <f>SUM(Pre[[#This Row],[1]:[46]])</f>
        <v>5</v>
      </c>
    </row>
    <row r="1370" spans="1:53" x14ac:dyDescent="0.2">
      <c r="A1370" t="s">
        <v>56</v>
      </c>
      <c r="B1370" t="s">
        <v>54</v>
      </c>
      <c r="C1370">
        <v>4080</v>
      </c>
      <c r="D1370" t="s">
        <v>7</v>
      </c>
      <c r="E1370" t="s">
        <v>8</v>
      </c>
      <c r="F1370" t="s">
        <v>23</v>
      </c>
      <c r="G1370">
        <v>1</v>
      </c>
      <c r="J1370">
        <v>1</v>
      </c>
      <c r="O1370">
        <v>1</v>
      </c>
      <c r="T1370">
        <v>1</v>
      </c>
      <c r="Z1370">
        <v>1</v>
      </c>
      <c r="AD1370">
        <v>1</v>
      </c>
      <c r="AK1370">
        <v>1</v>
      </c>
      <c r="AY1370">
        <v>1</v>
      </c>
      <c r="BA1370">
        <f>SUM(Pre[[#This Row],[1]:[46]])</f>
        <v>8</v>
      </c>
    </row>
    <row r="1371" spans="1:53" x14ac:dyDescent="0.2">
      <c r="A1371" t="s">
        <v>56</v>
      </c>
      <c r="B1371" t="s">
        <v>54</v>
      </c>
      <c r="C1371">
        <v>4177</v>
      </c>
      <c r="D1371" t="s">
        <v>7</v>
      </c>
      <c r="E1371" t="s">
        <v>8</v>
      </c>
      <c r="F1371" t="s">
        <v>9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f>SUM(Pre[[#This Row],[1]:[46]])</f>
        <v>46</v>
      </c>
    </row>
    <row r="1372" spans="1:53" x14ac:dyDescent="0.2">
      <c r="A1372" t="s">
        <v>56</v>
      </c>
      <c r="B1372" t="s">
        <v>54</v>
      </c>
      <c r="C1372">
        <v>4177</v>
      </c>
      <c r="D1372" t="s">
        <v>7</v>
      </c>
      <c r="E1372" t="s">
        <v>14</v>
      </c>
      <c r="F1372" t="s">
        <v>20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f>SUM(Pre[[#This Row],[1]:[46]])</f>
        <v>46</v>
      </c>
    </row>
    <row r="1373" spans="1:53" x14ac:dyDescent="0.2">
      <c r="A1373" t="s">
        <v>56</v>
      </c>
      <c r="B1373" t="s">
        <v>54</v>
      </c>
      <c r="C1373">
        <v>4221</v>
      </c>
      <c r="D1373" t="s">
        <v>7</v>
      </c>
      <c r="E1373" t="s">
        <v>8</v>
      </c>
      <c r="F1373" t="s">
        <v>23</v>
      </c>
      <c r="O1373">
        <v>1</v>
      </c>
      <c r="AC1373">
        <v>1</v>
      </c>
      <c r="AQ1373">
        <v>1</v>
      </c>
      <c r="BA1373">
        <f>SUM(Pre[[#This Row],[1]:[46]])</f>
        <v>3</v>
      </c>
    </row>
    <row r="1374" spans="1:53" x14ac:dyDescent="0.2">
      <c r="A1374" t="s">
        <v>56</v>
      </c>
      <c r="B1374" t="s">
        <v>54</v>
      </c>
      <c r="C1374">
        <v>4330</v>
      </c>
      <c r="D1374" t="s">
        <v>7</v>
      </c>
      <c r="E1374" t="s">
        <v>14</v>
      </c>
      <c r="F1374" t="s">
        <v>35</v>
      </c>
      <c r="J1374">
        <v>1</v>
      </c>
      <c r="P1374">
        <v>1</v>
      </c>
      <c r="T1374">
        <v>1</v>
      </c>
      <c r="Y1374">
        <v>1</v>
      </c>
      <c r="AD1374">
        <v>2</v>
      </c>
      <c r="AS1374">
        <v>1</v>
      </c>
      <c r="BA1374">
        <f>SUM(Pre[[#This Row],[1]:[46]])</f>
        <v>7</v>
      </c>
    </row>
    <row r="1375" spans="1:53" x14ac:dyDescent="0.2">
      <c r="A1375" t="s">
        <v>56</v>
      </c>
      <c r="B1375" t="s">
        <v>54</v>
      </c>
      <c r="C1375">
        <v>4706</v>
      </c>
      <c r="D1375" t="s">
        <v>7</v>
      </c>
      <c r="E1375" t="s">
        <v>8</v>
      </c>
      <c r="F1375" t="s">
        <v>9</v>
      </c>
      <c r="M1375">
        <v>1</v>
      </c>
      <c r="W1375">
        <v>2</v>
      </c>
      <c r="AN1375">
        <v>1</v>
      </c>
      <c r="AX1375">
        <v>1</v>
      </c>
      <c r="BA1375">
        <f>SUM(Pre[[#This Row],[1]:[46]])</f>
        <v>5</v>
      </c>
    </row>
    <row r="1376" spans="1:53" x14ac:dyDescent="0.2">
      <c r="A1376" t="s">
        <v>56</v>
      </c>
      <c r="B1376" t="s">
        <v>54</v>
      </c>
      <c r="C1376">
        <v>5141</v>
      </c>
      <c r="D1376" t="s">
        <v>7</v>
      </c>
      <c r="E1376" t="s">
        <v>14</v>
      </c>
      <c r="F1376" t="s">
        <v>21</v>
      </c>
      <c r="M1376">
        <v>1</v>
      </c>
      <c r="AG1376">
        <v>1</v>
      </c>
      <c r="AV1376">
        <v>1</v>
      </c>
      <c r="BA1376">
        <f>SUM(Pre[[#This Row],[1]:[46]])</f>
        <v>3</v>
      </c>
    </row>
    <row r="1377" spans="1:53" x14ac:dyDescent="0.2">
      <c r="A1377" t="s">
        <v>56</v>
      </c>
      <c r="B1377" t="s">
        <v>54</v>
      </c>
      <c r="C1377">
        <v>5581</v>
      </c>
      <c r="D1377" t="s">
        <v>7</v>
      </c>
      <c r="E1377" t="s">
        <v>8</v>
      </c>
      <c r="F1377" t="s">
        <v>23</v>
      </c>
      <c r="T1377">
        <v>1</v>
      </c>
      <c r="U1377">
        <v>1</v>
      </c>
      <c r="AL1377">
        <v>1</v>
      </c>
      <c r="AM1377">
        <v>1</v>
      </c>
      <c r="BA1377">
        <f>SUM(Pre[[#This Row],[1]:[46]])</f>
        <v>4</v>
      </c>
    </row>
    <row r="1378" spans="1:53" x14ac:dyDescent="0.2">
      <c r="A1378" t="s">
        <v>56</v>
      </c>
      <c r="B1378" t="s">
        <v>54</v>
      </c>
      <c r="C1378">
        <v>5581</v>
      </c>
      <c r="D1378" t="s">
        <v>7</v>
      </c>
      <c r="E1378" t="s">
        <v>14</v>
      </c>
      <c r="F1378" t="s">
        <v>20</v>
      </c>
      <c r="BA1378">
        <f>SUM(Pre[[#This Row],[1]:[46]])</f>
        <v>0</v>
      </c>
    </row>
    <row r="1379" spans="1:53" x14ac:dyDescent="0.2">
      <c r="A1379" t="s">
        <v>56</v>
      </c>
      <c r="B1379" t="s">
        <v>54</v>
      </c>
      <c r="C1379">
        <v>5582</v>
      </c>
      <c r="D1379" t="s">
        <v>7</v>
      </c>
      <c r="E1379" t="s">
        <v>10</v>
      </c>
      <c r="F1379" t="s">
        <v>11</v>
      </c>
      <c r="BA1379">
        <f>SUM(Pre[[#This Row],[1]:[46]])</f>
        <v>0</v>
      </c>
    </row>
    <row r="1380" spans="1:53" x14ac:dyDescent="0.2">
      <c r="A1380" t="s">
        <v>56</v>
      </c>
      <c r="B1380" t="s">
        <v>54</v>
      </c>
      <c r="C1380">
        <v>5699</v>
      </c>
      <c r="D1380" t="s">
        <v>7</v>
      </c>
      <c r="E1380" t="s">
        <v>8</v>
      </c>
      <c r="F1380" t="s">
        <v>23</v>
      </c>
      <c r="P1380">
        <v>1</v>
      </c>
      <c r="AB1380">
        <v>1</v>
      </c>
      <c r="AR1380">
        <v>1</v>
      </c>
      <c r="BA1380">
        <f>SUM(Pre[[#This Row],[1]:[46]])</f>
        <v>3</v>
      </c>
    </row>
    <row r="1381" spans="1:53" x14ac:dyDescent="0.2">
      <c r="A1381" t="s">
        <v>56</v>
      </c>
      <c r="B1381" t="s">
        <v>54</v>
      </c>
      <c r="C1381">
        <v>5766</v>
      </c>
      <c r="D1381" t="s">
        <v>7</v>
      </c>
      <c r="E1381" t="s">
        <v>14</v>
      </c>
      <c r="F1381" t="s">
        <v>20</v>
      </c>
      <c r="N1381">
        <v>1</v>
      </c>
      <c r="Z1381">
        <v>1</v>
      </c>
      <c r="AL1381">
        <v>1</v>
      </c>
      <c r="AR1381">
        <v>2</v>
      </c>
      <c r="BA1381">
        <f>SUM(Pre[[#This Row],[1]:[46]])</f>
        <v>5</v>
      </c>
    </row>
    <row r="1382" spans="1:53" x14ac:dyDescent="0.2">
      <c r="A1382" t="s">
        <v>56</v>
      </c>
      <c r="B1382" t="s">
        <v>54</v>
      </c>
      <c r="C1382">
        <v>6182</v>
      </c>
      <c r="D1382" t="s">
        <v>7</v>
      </c>
      <c r="E1382" t="s">
        <v>8</v>
      </c>
      <c r="F1382" t="s">
        <v>29</v>
      </c>
      <c r="J1382">
        <v>1</v>
      </c>
      <c r="N1382">
        <v>1</v>
      </c>
      <c r="S1382">
        <v>1</v>
      </c>
      <c r="W1382">
        <v>1</v>
      </c>
      <c r="AA1382">
        <v>1</v>
      </c>
      <c r="AE1382">
        <v>1</v>
      </c>
      <c r="AI1382">
        <v>1</v>
      </c>
      <c r="AK1382">
        <v>3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Z1382">
        <v>1</v>
      </c>
      <c r="BA1382">
        <f>SUM(Pre[[#This Row],[1]:[46]])</f>
        <v>22</v>
      </c>
    </row>
    <row r="1383" spans="1:53" x14ac:dyDescent="0.2">
      <c r="A1383" t="s">
        <v>56</v>
      </c>
      <c r="B1383" t="s">
        <v>54</v>
      </c>
      <c r="C1383">
        <v>6474</v>
      </c>
      <c r="D1383" t="s">
        <v>7</v>
      </c>
      <c r="E1383" t="s">
        <v>14</v>
      </c>
      <c r="F1383" t="s">
        <v>21</v>
      </c>
      <c r="I1383">
        <v>1</v>
      </c>
      <c r="T1383">
        <v>1</v>
      </c>
      <c r="AI1383">
        <v>1</v>
      </c>
      <c r="AX1383">
        <v>1</v>
      </c>
      <c r="BA1383">
        <f>SUM(Pre[[#This Row],[1]:[46]])</f>
        <v>4</v>
      </c>
    </row>
    <row r="1384" spans="1:53" x14ac:dyDescent="0.2">
      <c r="A1384" t="s">
        <v>56</v>
      </c>
      <c r="B1384" t="s">
        <v>54</v>
      </c>
      <c r="C1384">
        <v>6675</v>
      </c>
      <c r="D1384" t="s">
        <v>7</v>
      </c>
      <c r="E1384" t="s">
        <v>8</v>
      </c>
      <c r="F1384" t="s">
        <v>9</v>
      </c>
      <c r="BA1384">
        <f>SUM(Pre[[#This Row],[1]:[46]])</f>
        <v>0</v>
      </c>
    </row>
    <row r="1385" spans="1:53" x14ac:dyDescent="0.2">
      <c r="A1385" t="s">
        <v>56</v>
      </c>
      <c r="B1385" t="s">
        <v>54</v>
      </c>
      <c r="C1385">
        <v>6997</v>
      </c>
      <c r="D1385" t="s">
        <v>7</v>
      </c>
      <c r="E1385" t="s">
        <v>8</v>
      </c>
      <c r="F1385" t="s">
        <v>23</v>
      </c>
      <c r="H1385">
        <v>2</v>
      </c>
      <c r="U1385">
        <v>1</v>
      </c>
      <c r="AH1385">
        <v>1</v>
      </c>
      <c r="AU1385">
        <v>1</v>
      </c>
      <c r="BA1385">
        <f>SUM(Pre[[#This Row],[1]:[46]])</f>
        <v>5</v>
      </c>
    </row>
    <row r="1386" spans="1:53" x14ac:dyDescent="0.2">
      <c r="A1386" t="s">
        <v>56</v>
      </c>
      <c r="B1386" t="s">
        <v>54</v>
      </c>
      <c r="C1386">
        <v>7109</v>
      </c>
      <c r="D1386" t="s">
        <v>7</v>
      </c>
      <c r="E1386" t="s">
        <v>14</v>
      </c>
      <c r="F1386" t="s">
        <v>20</v>
      </c>
      <c r="L1386">
        <v>1</v>
      </c>
      <c r="Z1386">
        <v>1</v>
      </c>
      <c r="BA1386">
        <f>SUM(Pre[[#This Row],[1]:[46]])</f>
        <v>2</v>
      </c>
    </row>
    <row r="1387" spans="1:53" x14ac:dyDescent="0.2">
      <c r="A1387" t="s">
        <v>56</v>
      </c>
      <c r="B1387" t="s">
        <v>54</v>
      </c>
      <c r="C1387">
        <v>7156</v>
      </c>
      <c r="D1387" t="s">
        <v>7</v>
      </c>
      <c r="E1387" t="s">
        <v>14</v>
      </c>
      <c r="F1387" t="s">
        <v>20</v>
      </c>
      <c r="Y1387">
        <v>1</v>
      </c>
      <c r="BA1387">
        <f>SUM(Pre[[#This Row],[1]:[46]])</f>
        <v>1</v>
      </c>
    </row>
    <row r="1388" spans="1:53" x14ac:dyDescent="0.2">
      <c r="A1388" t="s">
        <v>56</v>
      </c>
      <c r="B1388" t="s">
        <v>54</v>
      </c>
      <c r="C1388">
        <v>7849</v>
      </c>
      <c r="D1388" t="s">
        <v>7</v>
      </c>
      <c r="E1388" t="s">
        <v>14</v>
      </c>
      <c r="F1388" t="s">
        <v>15</v>
      </c>
      <c r="Q1388">
        <v>1</v>
      </c>
      <c r="AI1388">
        <v>1</v>
      </c>
      <c r="AW1388">
        <v>1</v>
      </c>
      <c r="BA1388">
        <f>SUM(Pre[[#This Row],[1]:[46]])</f>
        <v>3</v>
      </c>
    </row>
    <row r="1389" spans="1:53" x14ac:dyDescent="0.2">
      <c r="A1389" t="s">
        <v>56</v>
      </c>
      <c r="B1389" t="s">
        <v>54</v>
      </c>
      <c r="C1389">
        <v>7952</v>
      </c>
      <c r="D1389" t="s">
        <v>7</v>
      </c>
      <c r="E1389" t="s">
        <v>14</v>
      </c>
      <c r="F1389" t="s">
        <v>21</v>
      </c>
      <c r="G1389">
        <v>2</v>
      </c>
      <c r="P1389">
        <v>1</v>
      </c>
      <c r="Z1389">
        <v>2</v>
      </c>
      <c r="AG1389">
        <v>1</v>
      </c>
      <c r="AL1389">
        <v>1</v>
      </c>
      <c r="AQ1389">
        <v>1</v>
      </c>
      <c r="AX1389">
        <v>1</v>
      </c>
      <c r="BA1389">
        <f>SUM(Pre[[#This Row],[1]:[46]])</f>
        <v>9</v>
      </c>
    </row>
    <row r="1390" spans="1:53" x14ac:dyDescent="0.2">
      <c r="A1390" t="s">
        <v>56</v>
      </c>
      <c r="B1390" t="s">
        <v>54</v>
      </c>
      <c r="C1390">
        <v>8163</v>
      </c>
      <c r="D1390" t="s">
        <v>7</v>
      </c>
      <c r="E1390" t="s">
        <v>8</v>
      </c>
      <c r="F1390" t="s">
        <v>9</v>
      </c>
      <c r="S1390">
        <v>1</v>
      </c>
      <c r="AB1390">
        <v>1</v>
      </c>
      <c r="AO1390">
        <v>1</v>
      </c>
      <c r="BA1390">
        <f>SUM(Pre[[#This Row],[1]:[46]])</f>
        <v>3</v>
      </c>
    </row>
    <row r="1391" spans="1:53" x14ac:dyDescent="0.2">
      <c r="A1391" t="s">
        <v>56</v>
      </c>
      <c r="B1391" t="s">
        <v>54</v>
      </c>
      <c r="C1391">
        <v>8285</v>
      </c>
      <c r="D1391" t="s">
        <v>7</v>
      </c>
      <c r="E1391" t="s">
        <v>40</v>
      </c>
      <c r="F1391" t="s">
        <v>52</v>
      </c>
      <c r="G1391">
        <v>1</v>
      </c>
      <c r="L1391">
        <v>2</v>
      </c>
      <c r="O1391">
        <v>1</v>
      </c>
      <c r="T1391">
        <v>1</v>
      </c>
      <c r="X1391">
        <v>1</v>
      </c>
      <c r="AC1391">
        <v>1</v>
      </c>
      <c r="AG1391">
        <v>1</v>
      </c>
      <c r="AL1391">
        <v>1</v>
      </c>
      <c r="AQ1391">
        <v>1</v>
      </c>
      <c r="AU1391">
        <v>1</v>
      </c>
      <c r="AZ1391">
        <v>1</v>
      </c>
      <c r="BA1391">
        <f>SUM(Pre[[#This Row],[1]:[46]])</f>
        <v>12</v>
      </c>
    </row>
    <row r="1392" spans="1:53" x14ac:dyDescent="0.2">
      <c r="A1392" t="s">
        <v>56</v>
      </c>
      <c r="B1392" t="s">
        <v>54</v>
      </c>
      <c r="C1392">
        <v>8285</v>
      </c>
      <c r="D1392" t="s">
        <v>7</v>
      </c>
      <c r="E1392" t="s">
        <v>8</v>
      </c>
      <c r="F1392" t="s">
        <v>23</v>
      </c>
      <c r="AO1392">
        <v>1</v>
      </c>
      <c r="AR1392">
        <v>1</v>
      </c>
      <c r="AZ1392">
        <v>1</v>
      </c>
      <c r="BA1392">
        <f>SUM(Pre[[#This Row],[1]:[46]])</f>
        <v>3</v>
      </c>
    </row>
    <row r="1393" spans="1:53" x14ac:dyDescent="0.2">
      <c r="A1393" t="s">
        <v>56</v>
      </c>
      <c r="B1393" t="s">
        <v>54</v>
      </c>
      <c r="C1393">
        <v>8929</v>
      </c>
      <c r="D1393" t="s">
        <v>7</v>
      </c>
      <c r="E1393" t="s">
        <v>14</v>
      </c>
      <c r="F1393" t="s">
        <v>20</v>
      </c>
      <c r="L1393">
        <v>1</v>
      </c>
      <c r="AC1393">
        <v>1</v>
      </c>
      <c r="AR1393">
        <v>1</v>
      </c>
      <c r="BA1393">
        <f>SUM(Pre[[#This Row],[1]:[46]])</f>
        <v>3</v>
      </c>
    </row>
    <row r="1394" spans="1:53" x14ac:dyDescent="0.2">
      <c r="A1394" t="s">
        <v>56</v>
      </c>
      <c r="B1394" t="s">
        <v>54</v>
      </c>
      <c r="C1394">
        <v>8950</v>
      </c>
      <c r="D1394" t="s">
        <v>7</v>
      </c>
      <c r="E1394" t="s">
        <v>12</v>
      </c>
      <c r="F1394" t="s">
        <v>13</v>
      </c>
      <c r="AB1394">
        <v>1</v>
      </c>
      <c r="BA1394">
        <f>SUM(Pre[[#This Row],[1]:[46]])</f>
        <v>1</v>
      </c>
    </row>
    <row r="1395" spans="1:53" x14ac:dyDescent="0.2">
      <c r="A1395" t="s">
        <v>56</v>
      </c>
      <c r="B1395" t="s">
        <v>54</v>
      </c>
      <c r="C1395">
        <v>9419</v>
      </c>
      <c r="D1395" t="s">
        <v>7</v>
      </c>
      <c r="E1395" t="s">
        <v>32</v>
      </c>
      <c r="F1395" t="s">
        <v>33</v>
      </c>
      <c r="U1395">
        <v>1</v>
      </c>
      <c r="AH1395">
        <v>1</v>
      </c>
      <c r="AW1395">
        <v>1</v>
      </c>
      <c r="BA1395">
        <f>SUM(Pre[[#This Row],[1]:[46]])</f>
        <v>3</v>
      </c>
    </row>
    <row r="1396" spans="1:53" x14ac:dyDescent="0.2">
      <c r="A1396" t="s">
        <v>56</v>
      </c>
      <c r="B1396" t="s">
        <v>54</v>
      </c>
      <c r="C1396">
        <v>9419</v>
      </c>
      <c r="D1396" t="s">
        <v>7</v>
      </c>
      <c r="E1396" t="s">
        <v>14</v>
      </c>
      <c r="F1396" t="s">
        <v>21</v>
      </c>
      <c r="U1396">
        <v>1</v>
      </c>
      <c r="AH1396">
        <v>1</v>
      </c>
      <c r="AW1396">
        <v>1</v>
      </c>
      <c r="BA1396">
        <f>SUM(Pre[[#This Row],[1]:[46]])</f>
        <v>3</v>
      </c>
    </row>
    <row r="1397" spans="1:53" x14ac:dyDescent="0.2">
      <c r="A1397" t="s">
        <v>56</v>
      </c>
      <c r="B1397" t="s">
        <v>54</v>
      </c>
      <c r="C1397">
        <v>9534</v>
      </c>
      <c r="D1397" t="s">
        <v>7</v>
      </c>
      <c r="E1397" t="s">
        <v>8</v>
      </c>
      <c r="F1397" t="s">
        <v>9</v>
      </c>
      <c r="R1397">
        <v>1</v>
      </c>
      <c r="AM1397">
        <v>1</v>
      </c>
      <c r="AY1397">
        <v>1</v>
      </c>
      <c r="AZ1397">
        <v>1</v>
      </c>
      <c r="BA1397">
        <f>SUM(Pre[[#This Row],[1]:[46]])</f>
        <v>4</v>
      </c>
    </row>
    <row r="1398" spans="1:53" x14ac:dyDescent="0.2">
      <c r="A1398" t="s">
        <v>56</v>
      </c>
      <c r="B1398" t="s">
        <v>54</v>
      </c>
      <c r="C1398">
        <v>10339</v>
      </c>
      <c r="D1398" t="s">
        <v>7</v>
      </c>
      <c r="E1398" t="s">
        <v>14</v>
      </c>
      <c r="F1398" t="s">
        <v>35</v>
      </c>
      <c r="I1398">
        <v>1</v>
      </c>
      <c r="AB1398">
        <v>2</v>
      </c>
      <c r="AN1398">
        <v>1</v>
      </c>
      <c r="BA1398">
        <f>SUM(Pre[[#This Row],[1]:[46]])</f>
        <v>4</v>
      </c>
    </row>
    <row r="1399" spans="1:53" x14ac:dyDescent="0.2">
      <c r="A1399" t="s">
        <v>56</v>
      </c>
      <c r="B1399" t="s">
        <v>54</v>
      </c>
      <c r="C1399">
        <v>11846</v>
      </c>
      <c r="D1399" t="s">
        <v>7</v>
      </c>
      <c r="E1399" t="s">
        <v>14</v>
      </c>
      <c r="F1399" t="s">
        <v>31</v>
      </c>
      <c r="W1399">
        <v>1</v>
      </c>
      <c r="BA1399">
        <f>SUM(Pre[[#This Row],[1]:[46]])</f>
        <v>1</v>
      </c>
    </row>
    <row r="1400" spans="1:53" x14ac:dyDescent="0.2">
      <c r="A1400" t="s">
        <v>56</v>
      </c>
      <c r="B1400" t="s">
        <v>54</v>
      </c>
      <c r="C1400">
        <v>11846</v>
      </c>
      <c r="D1400" t="s">
        <v>7</v>
      </c>
      <c r="E1400" t="s">
        <v>14</v>
      </c>
      <c r="F1400" t="s">
        <v>20</v>
      </c>
      <c r="AU1400">
        <v>1</v>
      </c>
      <c r="BA1400">
        <f>SUM(Pre[[#This Row],[1]:[46]])</f>
        <v>1</v>
      </c>
    </row>
    <row r="1401" spans="1:53" x14ac:dyDescent="0.2">
      <c r="A1401" t="s">
        <v>56</v>
      </c>
      <c r="B1401" t="s">
        <v>54</v>
      </c>
      <c r="C1401">
        <v>13005</v>
      </c>
      <c r="D1401" t="s">
        <v>7</v>
      </c>
      <c r="E1401" t="s">
        <v>40</v>
      </c>
      <c r="F1401" t="s">
        <v>41</v>
      </c>
      <c r="J1401">
        <v>1</v>
      </c>
      <c r="AV1401">
        <v>1</v>
      </c>
      <c r="AY1401">
        <v>1</v>
      </c>
      <c r="BA1401">
        <f>SUM(Pre[[#This Row],[1]:[46]])</f>
        <v>3</v>
      </c>
    </row>
    <row r="1402" spans="1:53" x14ac:dyDescent="0.2">
      <c r="A1402" t="s">
        <v>56</v>
      </c>
      <c r="B1402" t="s">
        <v>54</v>
      </c>
      <c r="C1402">
        <v>13005</v>
      </c>
      <c r="D1402" t="s">
        <v>7</v>
      </c>
      <c r="E1402" t="s">
        <v>8</v>
      </c>
      <c r="F1402" t="s">
        <v>9</v>
      </c>
      <c r="J1402">
        <v>1</v>
      </c>
      <c r="M1402">
        <v>1</v>
      </c>
      <c r="R1402">
        <v>1</v>
      </c>
      <c r="U1402">
        <v>1</v>
      </c>
      <c r="Y1402">
        <v>1</v>
      </c>
      <c r="AD1402">
        <v>1</v>
      </c>
      <c r="AG1402">
        <v>1</v>
      </c>
      <c r="AL1402">
        <v>1</v>
      </c>
      <c r="AM1402">
        <v>1</v>
      </c>
      <c r="AO1402">
        <v>1</v>
      </c>
      <c r="AP1402">
        <v>1</v>
      </c>
      <c r="AS1402">
        <v>3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f>SUM(Pre[[#This Row],[1]:[46]])</f>
        <v>20</v>
      </c>
    </row>
    <row r="1403" spans="1:53" x14ac:dyDescent="0.2">
      <c r="A1403" t="s">
        <v>56</v>
      </c>
      <c r="B1403" t="s">
        <v>54</v>
      </c>
      <c r="C1403">
        <v>13587</v>
      </c>
      <c r="D1403" t="s">
        <v>7</v>
      </c>
      <c r="E1403" t="s">
        <v>14</v>
      </c>
      <c r="F1403" t="s">
        <v>20</v>
      </c>
      <c r="T1403">
        <v>1</v>
      </c>
      <c r="AD1403">
        <v>1</v>
      </c>
      <c r="AP1403">
        <v>1</v>
      </c>
      <c r="BA1403">
        <f>SUM(Pre[[#This Row],[1]:[46]])</f>
        <v>3</v>
      </c>
    </row>
    <row r="1404" spans="1:53" x14ac:dyDescent="0.2">
      <c r="A1404" t="s">
        <v>56</v>
      </c>
      <c r="B1404" t="s">
        <v>54</v>
      </c>
      <c r="C1404">
        <v>14200</v>
      </c>
      <c r="D1404" t="s">
        <v>7</v>
      </c>
      <c r="E1404" t="s">
        <v>8</v>
      </c>
      <c r="F1404" t="s">
        <v>9</v>
      </c>
      <c r="W1404">
        <v>1</v>
      </c>
      <c r="AM1404">
        <v>1</v>
      </c>
      <c r="BA1404">
        <f>SUM(Pre[[#This Row],[1]:[46]])</f>
        <v>2</v>
      </c>
    </row>
    <row r="1405" spans="1:53" x14ac:dyDescent="0.2">
      <c r="A1405" t="s">
        <v>56</v>
      </c>
      <c r="B1405" t="s">
        <v>54</v>
      </c>
      <c r="C1405">
        <v>14205</v>
      </c>
      <c r="D1405" t="s">
        <v>7</v>
      </c>
      <c r="E1405" t="s">
        <v>14</v>
      </c>
      <c r="F1405" t="s">
        <v>20</v>
      </c>
      <c r="W1405">
        <v>1</v>
      </c>
      <c r="BA1405">
        <f>SUM(Pre[[#This Row],[1]:[46]])</f>
        <v>1</v>
      </c>
    </row>
    <row r="1406" spans="1:53" x14ac:dyDescent="0.2">
      <c r="A1406" t="s">
        <v>56</v>
      </c>
      <c r="B1406" t="s">
        <v>54</v>
      </c>
      <c r="C1406">
        <v>14512</v>
      </c>
      <c r="D1406" t="s">
        <v>7</v>
      </c>
      <c r="E1406" t="s">
        <v>8</v>
      </c>
      <c r="F1406" t="s">
        <v>9</v>
      </c>
      <c r="U1406">
        <v>1</v>
      </c>
      <c r="AJ1406">
        <v>1</v>
      </c>
      <c r="AY1406">
        <v>1</v>
      </c>
      <c r="BA1406">
        <f>SUM(Pre[[#This Row],[1]:[46]])</f>
        <v>3</v>
      </c>
    </row>
    <row r="1407" spans="1:53" x14ac:dyDescent="0.2">
      <c r="A1407" t="s">
        <v>56</v>
      </c>
      <c r="B1407" t="s">
        <v>54</v>
      </c>
      <c r="C1407">
        <v>14696</v>
      </c>
      <c r="D1407" t="s">
        <v>7</v>
      </c>
      <c r="E1407" t="s">
        <v>8</v>
      </c>
      <c r="F1407" t="s">
        <v>9</v>
      </c>
      <c r="H1407">
        <v>1</v>
      </c>
      <c r="W1407">
        <v>1</v>
      </c>
      <c r="AJ1407">
        <v>1</v>
      </c>
      <c r="AX1407">
        <v>1</v>
      </c>
      <c r="BA1407">
        <f>SUM(Pre[[#This Row],[1]:[46]])</f>
        <v>4</v>
      </c>
    </row>
    <row r="1408" spans="1:53" x14ac:dyDescent="0.2">
      <c r="A1408" t="s">
        <v>56</v>
      </c>
      <c r="B1408" t="s">
        <v>54</v>
      </c>
      <c r="C1408">
        <v>14969</v>
      </c>
      <c r="D1408" t="s">
        <v>7</v>
      </c>
      <c r="E1408" t="s">
        <v>14</v>
      </c>
      <c r="F1408" t="s">
        <v>35</v>
      </c>
      <c r="I1408">
        <v>1</v>
      </c>
      <c r="R1408">
        <v>1</v>
      </c>
      <c r="Y1408">
        <v>1</v>
      </c>
      <c r="AP1408">
        <v>1</v>
      </c>
      <c r="BA1408">
        <f>SUM(Pre[[#This Row],[1]:[46]])</f>
        <v>4</v>
      </c>
    </row>
    <row r="1409" spans="1:53" x14ac:dyDescent="0.2">
      <c r="A1409" t="s">
        <v>56</v>
      </c>
      <c r="B1409" t="s">
        <v>54</v>
      </c>
      <c r="C1409">
        <v>15491</v>
      </c>
      <c r="D1409" t="s">
        <v>7</v>
      </c>
      <c r="E1409" t="s">
        <v>14</v>
      </c>
      <c r="F1409" t="s">
        <v>20</v>
      </c>
      <c r="W1409">
        <v>1</v>
      </c>
      <c r="AC1409">
        <v>1</v>
      </c>
      <c r="BA1409">
        <f>SUM(Pre[[#This Row],[1]:[46]])</f>
        <v>2</v>
      </c>
    </row>
    <row r="1410" spans="1:53" x14ac:dyDescent="0.2">
      <c r="A1410" t="s">
        <v>56</v>
      </c>
      <c r="B1410" t="s">
        <v>54</v>
      </c>
      <c r="C1410">
        <v>16926</v>
      </c>
      <c r="D1410" t="s">
        <v>7</v>
      </c>
      <c r="E1410" t="s">
        <v>8</v>
      </c>
      <c r="F1410" t="s">
        <v>9</v>
      </c>
      <c r="Q1410">
        <v>2</v>
      </c>
      <c r="AI1410">
        <v>1</v>
      </c>
      <c r="BA1410">
        <f>SUM(Pre[[#This Row],[1]:[46]])</f>
        <v>3</v>
      </c>
    </row>
    <row r="1411" spans="1:53" x14ac:dyDescent="0.2">
      <c r="A1411" t="s">
        <v>56</v>
      </c>
      <c r="B1411" t="s">
        <v>54</v>
      </c>
      <c r="C1411">
        <v>17768</v>
      </c>
      <c r="D1411" t="s">
        <v>7</v>
      </c>
      <c r="E1411" t="s">
        <v>14</v>
      </c>
      <c r="F1411" t="s">
        <v>20</v>
      </c>
      <c r="J1411">
        <v>1</v>
      </c>
      <c r="AB1411">
        <v>1</v>
      </c>
      <c r="AO1411">
        <v>1</v>
      </c>
      <c r="BA1411">
        <f>SUM(Pre[[#This Row],[1]:[46]])</f>
        <v>3</v>
      </c>
    </row>
    <row r="1412" spans="1:53" x14ac:dyDescent="0.2">
      <c r="A1412" t="s">
        <v>56</v>
      </c>
      <c r="B1412" t="s">
        <v>54</v>
      </c>
      <c r="C1412">
        <v>18625</v>
      </c>
      <c r="D1412" t="s">
        <v>7</v>
      </c>
      <c r="E1412" t="s">
        <v>10</v>
      </c>
      <c r="F1412" t="s">
        <v>11</v>
      </c>
      <c r="BA1412">
        <f>SUM(Pre[[#This Row],[1]:[46]])</f>
        <v>0</v>
      </c>
    </row>
    <row r="1413" spans="1:53" x14ac:dyDescent="0.2">
      <c r="A1413" t="s">
        <v>56</v>
      </c>
      <c r="B1413" t="s">
        <v>54</v>
      </c>
      <c r="C1413">
        <v>18625</v>
      </c>
      <c r="D1413" t="s">
        <v>7</v>
      </c>
      <c r="E1413" t="s">
        <v>14</v>
      </c>
      <c r="F1413" t="s">
        <v>21</v>
      </c>
      <c r="O1413">
        <v>1</v>
      </c>
      <c r="AE1413">
        <v>1</v>
      </c>
      <c r="AT1413">
        <v>1</v>
      </c>
      <c r="BA1413">
        <f>SUM(Pre[[#This Row],[1]:[46]])</f>
        <v>3</v>
      </c>
    </row>
    <row r="1414" spans="1:53" x14ac:dyDescent="0.2">
      <c r="A1414" t="s">
        <v>56</v>
      </c>
      <c r="B1414" t="s">
        <v>54</v>
      </c>
      <c r="C1414">
        <v>19096</v>
      </c>
      <c r="D1414" t="s">
        <v>7</v>
      </c>
      <c r="E1414" t="s">
        <v>8</v>
      </c>
      <c r="F1414" t="s">
        <v>23</v>
      </c>
      <c r="J1414">
        <v>1</v>
      </c>
      <c r="N1414">
        <v>1</v>
      </c>
      <c r="R1414">
        <v>1</v>
      </c>
      <c r="V1414">
        <v>1</v>
      </c>
      <c r="Z1414">
        <v>1</v>
      </c>
      <c r="AD1414">
        <v>1</v>
      </c>
      <c r="AH1414">
        <v>1</v>
      </c>
      <c r="AL1414">
        <v>1</v>
      </c>
      <c r="AP1414">
        <v>1</v>
      </c>
      <c r="AT1414">
        <v>1</v>
      </c>
      <c r="AX1414">
        <v>1</v>
      </c>
      <c r="BA1414">
        <f>SUM(Pre[[#This Row],[1]:[46]])</f>
        <v>11</v>
      </c>
    </row>
    <row r="1415" spans="1:53" x14ac:dyDescent="0.2">
      <c r="A1415" t="s">
        <v>56</v>
      </c>
      <c r="B1415" t="s">
        <v>54</v>
      </c>
      <c r="C1415">
        <v>19166</v>
      </c>
      <c r="D1415" t="s">
        <v>7</v>
      </c>
      <c r="E1415" t="s">
        <v>14</v>
      </c>
      <c r="F1415" t="s">
        <v>35</v>
      </c>
      <c r="G1415">
        <v>2</v>
      </c>
      <c r="BA1415">
        <f>SUM(Pre[[#This Row],[1]:[46]])</f>
        <v>2</v>
      </c>
    </row>
    <row r="1416" spans="1:53" x14ac:dyDescent="0.2">
      <c r="A1416" t="s">
        <v>56</v>
      </c>
      <c r="B1416" t="s">
        <v>54</v>
      </c>
      <c r="C1416">
        <v>20219</v>
      </c>
      <c r="D1416" t="s">
        <v>7</v>
      </c>
      <c r="E1416" t="s">
        <v>8</v>
      </c>
      <c r="F1416" t="s">
        <v>9</v>
      </c>
      <c r="P1416">
        <v>1</v>
      </c>
      <c r="AC1416">
        <v>1</v>
      </c>
      <c r="AP1416">
        <v>1</v>
      </c>
      <c r="BA1416">
        <f>SUM(Pre[[#This Row],[1]:[46]])</f>
        <v>3</v>
      </c>
    </row>
    <row r="1417" spans="1:53" x14ac:dyDescent="0.2">
      <c r="A1417" t="s">
        <v>56</v>
      </c>
      <c r="B1417" t="s">
        <v>54</v>
      </c>
      <c r="C1417">
        <v>20783</v>
      </c>
      <c r="D1417" t="s">
        <v>7</v>
      </c>
      <c r="E1417" t="s">
        <v>10</v>
      </c>
      <c r="F1417" t="s">
        <v>11</v>
      </c>
      <c r="BA1417">
        <f>SUM(Pre[[#This Row],[1]:[46]])</f>
        <v>0</v>
      </c>
    </row>
    <row r="1418" spans="1:53" x14ac:dyDescent="0.2">
      <c r="A1418" t="s">
        <v>56</v>
      </c>
      <c r="B1418" t="s">
        <v>54</v>
      </c>
      <c r="C1418">
        <v>21358</v>
      </c>
      <c r="D1418" t="s">
        <v>7</v>
      </c>
      <c r="E1418" t="s">
        <v>8</v>
      </c>
      <c r="F1418" t="s">
        <v>23</v>
      </c>
      <c r="S1418">
        <v>1</v>
      </c>
      <c r="AG1418">
        <v>1</v>
      </c>
      <c r="AT1418">
        <v>1</v>
      </c>
      <c r="BA1418">
        <f>SUM(Pre[[#This Row],[1]:[46]])</f>
        <v>3</v>
      </c>
    </row>
    <row r="1419" spans="1:53" x14ac:dyDescent="0.2">
      <c r="A1419" t="s">
        <v>56</v>
      </c>
      <c r="B1419" t="s">
        <v>54</v>
      </c>
      <c r="C1419">
        <v>21454</v>
      </c>
      <c r="D1419" t="s">
        <v>7</v>
      </c>
      <c r="E1419" t="s">
        <v>40</v>
      </c>
      <c r="F1419" t="s">
        <v>44</v>
      </c>
      <c r="AH1419">
        <v>3</v>
      </c>
      <c r="BA1419">
        <f>SUM(Pre[[#This Row],[1]:[46]])</f>
        <v>3</v>
      </c>
    </row>
    <row r="1420" spans="1:53" x14ac:dyDescent="0.2">
      <c r="A1420" t="s">
        <v>56</v>
      </c>
      <c r="B1420" t="s">
        <v>54</v>
      </c>
      <c r="C1420">
        <v>21631</v>
      </c>
      <c r="D1420" t="s">
        <v>7</v>
      </c>
      <c r="E1420" t="s">
        <v>14</v>
      </c>
      <c r="F1420" t="s">
        <v>20</v>
      </c>
      <c r="I1420">
        <v>2</v>
      </c>
      <c r="W1420">
        <v>2</v>
      </c>
      <c r="AI1420">
        <v>1</v>
      </c>
      <c r="BA1420">
        <f>SUM(Pre[[#This Row],[1]:[46]])</f>
        <v>5</v>
      </c>
    </row>
    <row r="1421" spans="1:53" x14ac:dyDescent="0.2">
      <c r="A1421" t="s">
        <v>56</v>
      </c>
      <c r="B1421" t="s">
        <v>54</v>
      </c>
      <c r="C1421">
        <v>21684</v>
      </c>
      <c r="D1421" t="s">
        <v>7</v>
      </c>
      <c r="E1421" t="s">
        <v>14</v>
      </c>
      <c r="F1421" t="s">
        <v>19</v>
      </c>
      <c r="AP1421">
        <v>1</v>
      </c>
      <c r="BA1421">
        <f>SUM(Pre[[#This Row],[1]:[46]])</f>
        <v>1</v>
      </c>
    </row>
    <row r="1422" spans="1:53" x14ac:dyDescent="0.2">
      <c r="A1422" t="s">
        <v>56</v>
      </c>
      <c r="B1422" t="s">
        <v>54</v>
      </c>
      <c r="C1422">
        <v>21883</v>
      </c>
      <c r="D1422" t="s">
        <v>7</v>
      </c>
      <c r="E1422" t="s">
        <v>14</v>
      </c>
      <c r="F1422" t="s">
        <v>20</v>
      </c>
      <c r="M1422">
        <v>2</v>
      </c>
      <c r="AC1422">
        <v>1</v>
      </c>
      <c r="AE1422">
        <v>2</v>
      </c>
      <c r="BA1422">
        <f>SUM(Pre[[#This Row],[1]:[46]])</f>
        <v>5</v>
      </c>
    </row>
    <row r="1423" spans="1:53" x14ac:dyDescent="0.2">
      <c r="A1423" t="s">
        <v>56</v>
      </c>
      <c r="B1423" t="s">
        <v>54</v>
      </c>
      <c r="C1423">
        <v>25350</v>
      </c>
      <c r="D1423" t="s">
        <v>7</v>
      </c>
      <c r="E1423" t="s">
        <v>8</v>
      </c>
      <c r="F1423" t="s">
        <v>23</v>
      </c>
      <c r="AB1423">
        <v>1</v>
      </c>
      <c r="BA1423">
        <f>SUM(Pre[[#This Row],[1]:[46]])</f>
        <v>1</v>
      </c>
    </row>
    <row r="1424" spans="1:53" x14ac:dyDescent="0.2">
      <c r="A1424" t="s">
        <v>56</v>
      </c>
      <c r="B1424" t="s">
        <v>54</v>
      </c>
      <c r="C1424">
        <v>25350</v>
      </c>
      <c r="D1424" t="s">
        <v>7</v>
      </c>
      <c r="E1424" t="s">
        <v>14</v>
      </c>
      <c r="F1424" t="s">
        <v>21</v>
      </c>
      <c r="Q1424">
        <v>2</v>
      </c>
      <c r="AB1424">
        <v>2</v>
      </c>
      <c r="AR1424">
        <v>2</v>
      </c>
      <c r="BA1424">
        <f>SUM(Pre[[#This Row],[1]:[46]])</f>
        <v>6</v>
      </c>
    </row>
    <row r="1425" spans="1:53" x14ac:dyDescent="0.2">
      <c r="A1425" t="s">
        <v>56</v>
      </c>
      <c r="B1425" t="s">
        <v>54</v>
      </c>
      <c r="C1425">
        <v>26522</v>
      </c>
      <c r="D1425" t="s">
        <v>7</v>
      </c>
      <c r="E1425" t="s">
        <v>14</v>
      </c>
      <c r="F1425" t="s">
        <v>35</v>
      </c>
      <c r="H1425">
        <v>1</v>
      </c>
      <c r="N1425">
        <v>2</v>
      </c>
      <c r="W1425">
        <v>1</v>
      </c>
      <c r="AE1425">
        <v>1</v>
      </c>
      <c r="AO1425">
        <v>1</v>
      </c>
      <c r="AW1425">
        <v>1</v>
      </c>
      <c r="BA1425">
        <f>SUM(Pre[[#This Row],[1]:[46]])</f>
        <v>7</v>
      </c>
    </row>
    <row r="1426" spans="1:53" x14ac:dyDescent="0.2">
      <c r="A1426" t="s">
        <v>56</v>
      </c>
      <c r="B1426" t="s">
        <v>54</v>
      </c>
      <c r="C1426">
        <v>28093</v>
      </c>
      <c r="D1426" t="s">
        <v>7</v>
      </c>
      <c r="E1426" t="s">
        <v>10</v>
      </c>
      <c r="F1426" t="s">
        <v>11</v>
      </c>
      <c r="I1426">
        <v>1</v>
      </c>
      <c r="Y1426">
        <v>3</v>
      </c>
      <c r="BA1426">
        <f>SUM(Pre[[#This Row],[1]:[46]])</f>
        <v>4</v>
      </c>
    </row>
    <row r="1427" spans="1:53" x14ac:dyDescent="0.2">
      <c r="A1427" t="s">
        <v>56</v>
      </c>
      <c r="B1427" t="s">
        <v>54</v>
      </c>
      <c r="C1427">
        <v>28093</v>
      </c>
      <c r="D1427" t="s">
        <v>7</v>
      </c>
      <c r="E1427" t="s">
        <v>8</v>
      </c>
      <c r="F1427" t="s">
        <v>23</v>
      </c>
      <c r="I1427">
        <v>2</v>
      </c>
      <c r="Y1427">
        <v>3</v>
      </c>
      <c r="AO1427">
        <v>1</v>
      </c>
      <c r="BA1427">
        <f>SUM(Pre[[#This Row],[1]:[46]])</f>
        <v>6</v>
      </c>
    </row>
    <row r="1428" spans="1:53" x14ac:dyDescent="0.2">
      <c r="A1428" t="s">
        <v>56</v>
      </c>
      <c r="B1428" t="s">
        <v>54</v>
      </c>
      <c r="C1428">
        <v>30721</v>
      </c>
      <c r="D1428" t="s">
        <v>7</v>
      </c>
      <c r="E1428" t="s">
        <v>10</v>
      </c>
      <c r="F1428" t="s">
        <v>11</v>
      </c>
      <c r="N1428">
        <v>1</v>
      </c>
      <c r="AB1428">
        <v>2</v>
      </c>
      <c r="AS1428">
        <v>1</v>
      </c>
      <c r="BA1428">
        <f>SUM(Pre[[#This Row],[1]:[46]])</f>
        <v>4</v>
      </c>
    </row>
    <row r="1429" spans="1:53" x14ac:dyDescent="0.2">
      <c r="A1429" t="s">
        <v>56</v>
      </c>
      <c r="B1429" t="s">
        <v>54</v>
      </c>
      <c r="C1429">
        <v>30721</v>
      </c>
      <c r="D1429" t="s">
        <v>7</v>
      </c>
      <c r="E1429" t="s">
        <v>14</v>
      </c>
      <c r="F1429" t="s">
        <v>35</v>
      </c>
      <c r="N1429">
        <v>2</v>
      </c>
      <c r="AB1429">
        <v>1</v>
      </c>
      <c r="AS1429">
        <v>1</v>
      </c>
      <c r="BA1429">
        <f>SUM(Pre[[#This Row],[1]:[46]])</f>
        <v>4</v>
      </c>
    </row>
    <row r="1430" spans="1:53" x14ac:dyDescent="0.2">
      <c r="A1430" t="s">
        <v>56</v>
      </c>
      <c r="B1430" t="s">
        <v>54</v>
      </c>
      <c r="C1430">
        <v>30983</v>
      </c>
      <c r="D1430" t="s">
        <v>7</v>
      </c>
      <c r="E1430" t="s">
        <v>14</v>
      </c>
      <c r="F1430" t="s">
        <v>20</v>
      </c>
      <c r="U1430">
        <v>1</v>
      </c>
      <c r="AD1430">
        <v>1</v>
      </c>
      <c r="AM1430">
        <v>1</v>
      </c>
      <c r="BA1430">
        <f>SUM(Pre[[#This Row],[1]:[46]])</f>
        <v>3</v>
      </c>
    </row>
    <row r="1431" spans="1:53" x14ac:dyDescent="0.2">
      <c r="A1431" t="s">
        <v>56</v>
      </c>
      <c r="B1431" t="s">
        <v>54</v>
      </c>
      <c r="C1431">
        <v>31373</v>
      </c>
      <c r="D1431" t="s">
        <v>7</v>
      </c>
      <c r="E1431" t="s">
        <v>14</v>
      </c>
      <c r="F1431" t="s">
        <v>35</v>
      </c>
      <c r="J1431">
        <v>1</v>
      </c>
      <c r="Y1431">
        <v>1</v>
      </c>
      <c r="AO1431">
        <v>1</v>
      </c>
      <c r="BA1431">
        <f>SUM(Pre[[#This Row],[1]:[46]])</f>
        <v>3</v>
      </c>
    </row>
    <row r="1432" spans="1:53" x14ac:dyDescent="0.2">
      <c r="A1432" t="s">
        <v>56</v>
      </c>
      <c r="B1432" t="s">
        <v>54</v>
      </c>
      <c r="C1432">
        <v>31758</v>
      </c>
      <c r="D1432" t="s">
        <v>7</v>
      </c>
      <c r="E1432" t="s">
        <v>14</v>
      </c>
      <c r="F1432" t="s">
        <v>20</v>
      </c>
      <c r="L1432">
        <v>1</v>
      </c>
      <c r="AB1432">
        <v>1</v>
      </c>
      <c r="AT1432">
        <v>1</v>
      </c>
      <c r="BA1432">
        <f>SUM(Pre[[#This Row],[1]:[46]])</f>
        <v>3</v>
      </c>
    </row>
    <row r="1433" spans="1:53" x14ac:dyDescent="0.2">
      <c r="A1433" t="s">
        <v>56</v>
      </c>
      <c r="B1433" t="s">
        <v>54</v>
      </c>
      <c r="C1433">
        <v>32149</v>
      </c>
      <c r="D1433" t="s">
        <v>7</v>
      </c>
      <c r="E1433" t="s">
        <v>14</v>
      </c>
      <c r="F1433" t="s">
        <v>19</v>
      </c>
      <c r="X1433">
        <v>1</v>
      </c>
      <c r="BA1433">
        <f>SUM(Pre[[#This Row],[1]:[46]])</f>
        <v>1</v>
      </c>
    </row>
    <row r="1434" spans="1:53" x14ac:dyDescent="0.2">
      <c r="A1434" t="s">
        <v>56</v>
      </c>
      <c r="B1434" t="s">
        <v>54</v>
      </c>
      <c r="C1434">
        <v>32747</v>
      </c>
      <c r="D1434" t="s">
        <v>7</v>
      </c>
      <c r="E1434" t="s">
        <v>26</v>
      </c>
      <c r="F1434" t="s">
        <v>27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2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BA1434">
        <f>SUM(Pre[[#This Row],[1]:[46]])</f>
        <v>41</v>
      </c>
    </row>
    <row r="1435" spans="1:53" x14ac:dyDescent="0.2">
      <c r="A1435" t="s">
        <v>56</v>
      </c>
      <c r="B1435" t="s">
        <v>54</v>
      </c>
      <c r="C1435">
        <v>32747</v>
      </c>
      <c r="D1435" t="s">
        <v>7</v>
      </c>
      <c r="E1435" t="s">
        <v>14</v>
      </c>
      <c r="F1435" t="s">
        <v>20</v>
      </c>
      <c r="J1435">
        <v>1</v>
      </c>
      <c r="N1435">
        <v>1</v>
      </c>
      <c r="S1435">
        <v>1</v>
      </c>
      <c r="W1435">
        <v>1</v>
      </c>
      <c r="AA1435">
        <v>1</v>
      </c>
      <c r="AD1435">
        <v>1</v>
      </c>
      <c r="AE1435">
        <v>1</v>
      </c>
      <c r="AI1435">
        <v>1</v>
      </c>
      <c r="AN1435">
        <v>1</v>
      </c>
      <c r="AR1435">
        <v>1</v>
      </c>
      <c r="BA1435">
        <f>SUM(Pre[[#This Row],[1]:[46]])</f>
        <v>10</v>
      </c>
    </row>
    <row r="1436" spans="1:53" x14ac:dyDescent="0.2">
      <c r="A1436" t="s">
        <v>56</v>
      </c>
      <c r="B1436" t="s">
        <v>54</v>
      </c>
      <c r="C1436">
        <v>33634</v>
      </c>
      <c r="D1436" t="s">
        <v>7</v>
      </c>
      <c r="E1436" t="s">
        <v>8</v>
      </c>
      <c r="F1436" t="s">
        <v>9</v>
      </c>
      <c r="AW1436">
        <v>1</v>
      </c>
      <c r="BA1436">
        <f>SUM(Pre[[#This Row],[1]:[46]])</f>
        <v>1</v>
      </c>
    </row>
    <row r="1437" spans="1:53" x14ac:dyDescent="0.2">
      <c r="A1437" t="s">
        <v>56</v>
      </c>
      <c r="B1437" t="s">
        <v>54</v>
      </c>
      <c r="C1437">
        <v>33634</v>
      </c>
      <c r="D1437" t="s">
        <v>7</v>
      </c>
      <c r="E1437" t="s">
        <v>8</v>
      </c>
      <c r="F1437" t="s">
        <v>29</v>
      </c>
      <c r="Q1437">
        <v>1</v>
      </c>
      <c r="AG1437">
        <v>1</v>
      </c>
      <c r="AW1437">
        <v>1</v>
      </c>
      <c r="BA1437">
        <f>SUM(Pre[[#This Row],[1]:[46]])</f>
        <v>3</v>
      </c>
    </row>
    <row r="1438" spans="1:53" x14ac:dyDescent="0.2">
      <c r="A1438" t="s">
        <v>56</v>
      </c>
      <c r="B1438" t="s">
        <v>54</v>
      </c>
      <c r="C1438">
        <v>45</v>
      </c>
      <c r="D1438" t="s">
        <v>22</v>
      </c>
      <c r="E1438" t="s">
        <v>8</v>
      </c>
      <c r="F1438" t="s">
        <v>45</v>
      </c>
      <c r="J1438">
        <v>1</v>
      </c>
      <c r="AE1438">
        <v>1</v>
      </c>
      <c r="AS1438">
        <v>1</v>
      </c>
      <c r="BA1438">
        <f>SUM(Pre[[#This Row],[1]:[46]])</f>
        <v>3</v>
      </c>
    </row>
    <row r="1439" spans="1:53" x14ac:dyDescent="0.2">
      <c r="A1439" t="s">
        <v>56</v>
      </c>
      <c r="B1439" t="s">
        <v>54</v>
      </c>
      <c r="C1439">
        <v>45</v>
      </c>
      <c r="D1439" t="s">
        <v>22</v>
      </c>
      <c r="E1439" t="s">
        <v>26</v>
      </c>
      <c r="F1439" t="s">
        <v>27</v>
      </c>
      <c r="J1439">
        <v>1</v>
      </c>
      <c r="Y1439">
        <v>1</v>
      </c>
      <c r="BA1439">
        <f>SUM(Pre[[#This Row],[1]:[46]])</f>
        <v>2</v>
      </c>
    </row>
    <row r="1440" spans="1:53" x14ac:dyDescent="0.2">
      <c r="A1440" t="s">
        <v>56</v>
      </c>
      <c r="B1440" t="s">
        <v>54</v>
      </c>
      <c r="C1440">
        <v>4079</v>
      </c>
      <c r="D1440" t="s">
        <v>22</v>
      </c>
      <c r="E1440" t="s">
        <v>8</v>
      </c>
      <c r="F1440" t="s">
        <v>23</v>
      </c>
      <c r="M1440">
        <v>1</v>
      </c>
      <c r="T1440">
        <v>2</v>
      </c>
      <c r="AG1440">
        <v>1</v>
      </c>
      <c r="AS1440">
        <v>1</v>
      </c>
      <c r="BA1440">
        <f>SUM(Pre[[#This Row],[1]:[46]])</f>
        <v>5</v>
      </c>
    </row>
    <row r="1441" spans="1:53" x14ac:dyDescent="0.2">
      <c r="A1441" t="s">
        <v>56</v>
      </c>
      <c r="B1441" t="s">
        <v>54</v>
      </c>
      <c r="C1441">
        <v>5767</v>
      </c>
      <c r="D1441" t="s">
        <v>22</v>
      </c>
      <c r="E1441" t="s">
        <v>8</v>
      </c>
      <c r="F1441" t="s">
        <v>9</v>
      </c>
      <c r="K1441">
        <v>1</v>
      </c>
      <c r="AG1441">
        <v>1</v>
      </c>
      <c r="AI1441">
        <v>1</v>
      </c>
      <c r="AV1441">
        <v>1</v>
      </c>
      <c r="BA1441">
        <f>SUM(Pre[[#This Row],[1]:[46]])</f>
        <v>4</v>
      </c>
    </row>
    <row r="1442" spans="1:53" x14ac:dyDescent="0.2">
      <c r="A1442" t="s">
        <v>56</v>
      </c>
      <c r="B1442" t="s">
        <v>54</v>
      </c>
      <c r="C1442">
        <v>5805</v>
      </c>
      <c r="D1442" t="s">
        <v>22</v>
      </c>
      <c r="E1442" t="s">
        <v>37</v>
      </c>
      <c r="F1442" t="s">
        <v>55</v>
      </c>
      <c r="Q1442">
        <v>2</v>
      </c>
      <c r="AD1442">
        <v>1</v>
      </c>
      <c r="AS1442">
        <v>1</v>
      </c>
      <c r="BA1442">
        <f>SUM(Pre[[#This Row],[1]:[46]])</f>
        <v>4</v>
      </c>
    </row>
    <row r="1443" spans="1:53" x14ac:dyDescent="0.2">
      <c r="A1443" t="s">
        <v>56</v>
      </c>
      <c r="B1443" t="s">
        <v>54</v>
      </c>
      <c r="C1443">
        <v>5805</v>
      </c>
      <c r="D1443" t="s">
        <v>22</v>
      </c>
      <c r="E1443" t="s">
        <v>26</v>
      </c>
      <c r="F1443" t="s">
        <v>27</v>
      </c>
      <c r="Q1443">
        <v>2</v>
      </c>
      <c r="AD1443">
        <v>2</v>
      </c>
      <c r="AS1443">
        <v>1</v>
      </c>
      <c r="BA1443">
        <f>SUM(Pre[[#This Row],[1]:[46]])</f>
        <v>5</v>
      </c>
    </row>
    <row r="1444" spans="1:53" x14ac:dyDescent="0.2">
      <c r="A1444" t="s">
        <v>56</v>
      </c>
      <c r="B1444" t="s">
        <v>54</v>
      </c>
      <c r="C1444">
        <v>6190</v>
      </c>
      <c r="D1444" t="s">
        <v>22</v>
      </c>
      <c r="E1444" t="s">
        <v>8</v>
      </c>
      <c r="F1444" t="s">
        <v>9</v>
      </c>
      <c r="P1444">
        <v>1</v>
      </c>
      <c r="AE1444">
        <v>1</v>
      </c>
      <c r="AT1444">
        <v>1</v>
      </c>
      <c r="BA1444">
        <f>SUM(Pre[[#This Row],[1]:[46]])</f>
        <v>3</v>
      </c>
    </row>
    <row r="1445" spans="1:53" x14ac:dyDescent="0.2">
      <c r="A1445" t="s">
        <v>56</v>
      </c>
      <c r="B1445" t="s">
        <v>54</v>
      </c>
      <c r="C1445">
        <v>7498</v>
      </c>
      <c r="D1445" t="s">
        <v>22</v>
      </c>
      <c r="E1445" t="s">
        <v>8</v>
      </c>
      <c r="F1445" t="s">
        <v>9</v>
      </c>
      <c r="K1445">
        <v>1</v>
      </c>
      <c r="U1445">
        <v>1</v>
      </c>
      <c r="AJ1445">
        <v>1</v>
      </c>
      <c r="AW1445">
        <v>1</v>
      </c>
      <c r="BA1445">
        <f>SUM(Pre[[#This Row],[1]:[46]])</f>
        <v>4</v>
      </c>
    </row>
    <row r="1446" spans="1:53" x14ac:dyDescent="0.2">
      <c r="A1446" t="s">
        <v>56</v>
      </c>
      <c r="B1446" t="s">
        <v>54</v>
      </c>
      <c r="C1446">
        <v>7932</v>
      </c>
      <c r="D1446" t="s">
        <v>22</v>
      </c>
      <c r="E1446" t="s">
        <v>8</v>
      </c>
      <c r="F1446" t="s">
        <v>23</v>
      </c>
      <c r="I1446">
        <v>1</v>
      </c>
      <c r="M1446">
        <v>1</v>
      </c>
      <c r="T1446">
        <v>1</v>
      </c>
      <c r="W1446">
        <v>1</v>
      </c>
      <c r="Y1446">
        <v>1</v>
      </c>
      <c r="AA1446">
        <v>1</v>
      </c>
      <c r="AE1446">
        <v>1</v>
      </c>
      <c r="AI1446">
        <v>1</v>
      </c>
      <c r="AM1446">
        <v>1</v>
      </c>
      <c r="AQ1446">
        <v>1</v>
      </c>
      <c r="AV1446">
        <v>1</v>
      </c>
      <c r="AY1446">
        <v>1</v>
      </c>
      <c r="BA1446">
        <f>SUM(Pre[[#This Row],[1]:[46]])</f>
        <v>12</v>
      </c>
    </row>
    <row r="1447" spans="1:53" x14ac:dyDescent="0.2">
      <c r="A1447" t="s">
        <v>56</v>
      </c>
      <c r="B1447" t="s">
        <v>54</v>
      </c>
      <c r="C1447">
        <v>8164</v>
      </c>
      <c r="D1447" t="s">
        <v>22</v>
      </c>
      <c r="E1447" t="s">
        <v>8</v>
      </c>
      <c r="F1447" t="s">
        <v>9</v>
      </c>
      <c r="I1447">
        <v>2</v>
      </c>
      <c r="M1447">
        <v>1</v>
      </c>
      <c r="P1447">
        <v>1</v>
      </c>
      <c r="BA1447">
        <f>SUM(Pre[[#This Row],[1]:[46]])</f>
        <v>4</v>
      </c>
    </row>
    <row r="1448" spans="1:53" x14ac:dyDescent="0.2">
      <c r="A1448" t="s">
        <v>56</v>
      </c>
      <c r="B1448" t="s">
        <v>54</v>
      </c>
      <c r="C1448">
        <v>13110</v>
      </c>
      <c r="D1448" t="s">
        <v>22</v>
      </c>
      <c r="E1448" t="s">
        <v>8</v>
      </c>
      <c r="F1448" t="s">
        <v>9</v>
      </c>
      <c r="J1448">
        <v>2</v>
      </c>
      <c r="K1448">
        <v>3</v>
      </c>
      <c r="N1448">
        <v>2</v>
      </c>
      <c r="Q1448">
        <v>2</v>
      </c>
      <c r="T1448">
        <v>2</v>
      </c>
      <c r="X1448">
        <v>2</v>
      </c>
      <c r="AB1448">
        <v>2</v>
      </c>
      <c r="AE1448">
        <v>2</v>
      </c>
      <c r="AG1448">
        <v>2</v>
      </c>
      <c r="AL1448">
        <v>2</v>
      </c>
      <c r="AO1448">
        <v>2</v>
      </c>
      <c r="AR1448">
        <v>2</v>
      </c>
      <c r="AT1448">
        <v>2</v>
      </c>
      <c r="AV1448">
        <v>2</v>
      </c>
      <c r="AX1448">
        <v>2</v>
      </c>
      <c r="AY1448">
        <v>2</v>
      </c>
      <c r="BA1448">
        <f>SUM(Pre[[#This Row],[1]:[46]])</f>
        <v>33</v>
      </c>
    </row>
    <row r="1449" spans="1:53" x14ac:dyDescent="0.2">
      <c r="A1449" t="s">
        <v>56</v>
      </c>
      <c r="B1449" t="s">
        <v>54</v>
      </c>
      <c r="C1449">
        <v>18763</v>
      </c>
      <c r="D1449" t="s">
        <v>22</v>
      </c>
      <c r="E1449" t="s">
        <v>14</v>
      </c>
      <c r="F1449" t="s">
        <v>35</v>
      </c>
      <c r="H1449">
        <v>1</v>
      </c>
      <c r="M1449">
        <v>1</v>
      </c>
      <c r="Q1449">
        <v>1</v>
      </c>
      <c r="V1449">
        <v>1</v>
      </c>
      <c r="AA1449">
        <v>1</v>
      </c>
      <c r="AF1449">
        <v>1</v>
      </c>
      <c r="AJ1449">
        <v>1</v>
      </c>
      <c r="AO1449">
        <v>1</v>
      </c>
      <c r="AR1449">
        <v>1</v>
      </c>
      <c r="AX1449">
        <v>1</v>
      </c>
      <c r="BA1449">
        <f>SUM(Pre[[#This Row],[1]:[46]])</f>
        <v>10</v>
      </c>
    </row>
    <row r="1450" spans="1:53" x14ac:dyDescent="0.2">
      <c r="A1450" t="s">
        <v>56</v>
      </c>
      <c r="B1450" t="s">
        <v>54</v>
      </c>
      <c r="C1450">
        <v>19067</v>
      </c>
      <c r="D1450" t="s">
        <v>22</v>
      </c>
      <c r="E1450" t="s">
        <v>14</v>
      </c>
      <c r="F1450" t="s">
        <v>21</v>
      </c>
      <c r="AX1450">
        <v>1</v>
      </c>
      <c r="BA1450">
        <f>SUM(Pre[[#This Row],[1]:[46]])</f>
        <v>1</v>
      </c>
    </row>
    <row r="1451" spans="1:53" x14ac:dyDescent="0.2">
      <c r="A1451" t="s">
        <v>56</v>
      </c>
      <c r="B1451" t="s">
        <v>54</v>
      </c>
      <c r="C1451">
        <v>21236</v>
      </c>
      <c r="D1451" t="s">
        <v>22</v>
      </c>
      <c r="E1451" t="s">
        <v>8</v>
      </c>
      <c r="F1451" t="s">
        <v>9</v>
      </c>
      <c r="L1451">
        <v>1</v>
      </c>
      <c r="Y1451">
        <v>1</v>
      </c>
      <c r="AL1451">
        <v>1</v>
      </c>
      <c r="AY1451">
        <v>1</v>
      </c>
      <c r="BA1451">
        <f>SUM(Pre[[#This Row],[1]:[46]])</f>
        <v>4</v>
      </c>
    </row>
    <row r="1452" spans="1:53" x14ac:dyDescent="0.2">
      <c r="A1452" t="s">
        <v>56</v>
      </c>
      <c r="B1452" t="s">
        <v>54</v>
      </c>
      <c r="C1452">
        <v>26445</v>
      </c>
      <c r="D1452" t="s">
        <v>22</v>
      </c>
      <c r="E1452" t="s">
        <v>14</v>
      </c>
      <c r="F1452" t="s">
        <v>35</v>
      </c>
      <c r="H1452">
        <v>1</v>
      </c>
      <c r="M1452">
        <v>1</v>
      </c>
      <c r="V1452">
        <v>2</v>
      </c>
      <c r="Z1452">
        <v>1</v>
      </c>
      <c r="AG1452">
        <v>2</v>
      </c>
      <c r="AO1452">
        <v>1</v>
      </c>
      <c r="AV1452">
        <v>2</v>
      </c>
      <c r="AX1452">
        <v>2</v>
      </c>
      <c r="BA1452">
        <f>SUM(Pre[[#This Row],[1]:[46]])</f>
        <v>12</v>
      </c>
    </row>
    <row r="1453" spans="1:53" x14ac:dyDescent="0.2">
      <c r="A1453" t="s">
        <v>56</v>
      </c>
      <c r="B1453" t="s">
        <v>54</v>
      </c>
      <c r="C1453">
        <v>26688</v>
      </c>
      <c r="D1453" t="s">
        <v>22</v>
      </c>
      <c r="E1453" t="s">
        <v>14</v>
      </c>
      <c r="F1453" t="s">
        <v>35</v>
      </c>
      <c r="J1453">
        <v>1</v>
      </c>
      <c r="N1453">
        <v>1</v>
      </c>
      <c r="Y1453">
        <v>1</v>
      </c>
      <c r="AC1453">
        <v>1</v>
      </c>
      <c r="AO1453">
        <v>1</v>
      </c>
      <c r="BA1453">
        <f>SUM(Pre[[#This Row],[1]:[46]])</f>
        <v>5</v>
      </c>
    </row>
    <row r="1454" spans="1:53" x14ac:dyDescent="0.2">
      <c r="A1454" t="s">
        <v>56</v>
      </c>
      <c r="B1454" t="s">
        <v>54</v>
      </c>
      <c r="C1454">
        <v>13174</v>
      </c>
      <c r="D1454" t="s">
        <v>22</v>
      </c>
      <c r="E1454" t="s">
        <v>14</v>
      </c>
      <c r="F1454" t="s">
        <v>20</v>
      </c>
      <c r="AP1454">
        <v>1</v>
      </c>
      <c r="BA1454">
        <f>SUM(Pre[[#This Row],[1]:[46]])</f>
        <v>1</v>
      </c>
    </row>
    <row r="1455" spans="1:53" x14ac:dyDescent="0.2">
      <c r="A1455" t="s">
        <v>56</v>
      </c>
      <c r="B1455" t="s">
        <v>54</v>
      </c>
      <c r="C1455">
        <v>14485</v>
      </c>
      <c r="D1455" t="s">
        <v>22</v>
      </c>
      <c r="E1455" t="s">
        <v>14</v>
      </c>
      <c r="F1455" t="s">
        <v>20</v>
      </c>
      <c r="AT1455">
        <v>1</v>
      </c>
      <c r="BA1455">
        <f>SUM(Pre[[#This Row],[1]:[46]])</f>
        <v>1</v>
      </c>
    </row>
    <row r="1456" spans="1:53" x14ac:dyDescent="0.2">
      <c r="A1456" t="s">
        <v>56</v>
      </c>
      <c r="B1456" t="s">
        <v>54</v>
      </c>
      <c r="C1456">
        <v>1009</v>
      </c>
      <c r="D1456" t="s">
        <v>7</v>
      </c>
      <c r="E1456" t="s">
        <v>10</v>
      </c>
      <c r="F1456" t="s">
        <v>11</v>
      </c>
      <c r="Y1456">
        <v>1</v>
      </c>
      <c r="AB1456">
        <v>1</v>
      </c>
      <c r="AR1456">
        <v>1</v>
      </c>
      <c r="BA1456">
        <f>SUM(Pre[[#This Row],[1]:[46]])</f>
        <v>3</v>
      </c>
    </row>
    <row r="1457" spans="1:53" x14ac:dyDescent="0.2">
      <c r="A1457" t="s">
        <v>56</v>
      </c>
      <c r="B1457" t="s">
        <v>54</v>
      </c>
      <c r="C1457">
        <v>2115</v>
      </c>
      <c r="D1457" t="s">
        <v>7</v>
      </c>
      <c r="E1457" t="s">
        <v>14</v>
      </c>
      <c r="F1457" t="s">
        <v>35</v>
      </c>
      <c r="BA1457">
        <f>SUM(Pre[[#This Row],[1]:[46]])</f>
        <v>0</v>
      </c>
    </row>
    <row r="1458" spans="1:53" x14ac:dyDescent="0.2">
      <c r="A1458" t="s">
        <v>56</v>
      </c>
      <c r="B1458" t="s">
        <v>54</v>
      </c>
      <c r="C1458">
        <v>2115</v>
      </c>
      <c r="D1458" t="s">
        <v>7</v>
      </c>
      <c r="E1458" t="s">
        <v>14</v>
      </c>
      <c r="F1458" t="s">
        <v>31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Q1458">
        <v>2</v>
      </c>
      <c r="U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2</v>
      </c>
      <c r="AH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BA1458">
        <f>SUM(Pre[[#This Row],[1]:[46]])</f>
        <v>31</v>
      </c>
    </row>
    <row r="1459" spans="1:53" x14ac:dyDescent="0.2">
      <c r="A1459" t="s">
        <v>56</v>
      </c>
      <c r="B1459" t="s">
        <v>54</v>
      </c>
      <c r="C1459">
        <v>2115</v>
      </c>
      <c r="D1459" t="s">
        <v>7</v>
      </c>
      <c r="E1459" t="s">
        <v>14</v>
      </c>
      <c r="F1459" t="s">
        <v>21</v>
      </c>
      <c r="BA1459">
        <f>SUM(Pre[[#This Row],[1]:[46]])</f>
        <v>0</v>
      </c>
    </row>
    <row r="1460" spans="1:53" x14ac:dyDescent="0.2">
      <c r="A1460" t="s">
        <v>56</v>
      </c>
      <c r="B1460" t="s">
        <v>54</v>
      </c>
      <c r="C1460">
        <v>2158</v>
      </c>
      <c r="D1460" t="s">
        <v>7</v>
      </c>
      <c r="E1460" t="s">
        <v>10</v>
      </c>
      <c r="F1460" t="s">
        <v>11</v>
      </c>
      <c r="K1460">
        <v>1</v>
      </c>
      <c r="U1460">
        <v>1</v>
      </c>
      <c r="BA1460">
        <f>SUM(Pre[[#This Row],[1]:[46]])</f>
        <v>2</v>
      </c>
    </row>
    <row r="1461" spans="1:53" x14ac:dyDescent="0.2">
      <c r="A1461" t="s">
        <v>56</v>
      </c>
      <c r="B1461" t="s">
        <v>54</v>
      </c>
      <c r="C1461">
        <v>2158</v>
      </c>
      <c r="D1461" t="s">
        <v>7</v>
      </c>
      <c r="E1461" t="s">
        <v>14</v>
      </c>
      <c r="F1461" t="s">
        <v>20</v>
      </c>
      <c r="G1461">
        <v>2</v>
      </c>
      <c r="K1461">
        <v>1</v>
      </c>
      <c r="U1461">
        <v>1</v>
      </c>
      <c r="X1461">
        <v>1</v>
      </c>
      <c r="AE1461">
        <v>2</v>
      </c>
      <c r="AL1461">
        <v>2</v>
      </c>
      <c r="AN1461">
        <v>1</v>
      </c>
      <c r="AR1461">
        <v>1</v>
      </c>
      <c r="AV1461">
        <v>1</v>
      </c>
      <c r="BA1461">
        <f>SUM(Pre[[#This Row],[1]:[46]])</f>
        <v>12</v>
      </c>
    </row>
    <row r="1462" spans="1:53" x14ac:dyDescent="0.2">
      <c r="A1462" t="s">
        <v>56</v>
      </c>
      <c r="B1462" t="s">
        <v>54</v>
      </c>
      <c r="C1462">
        <v>3787</v>
      </c>
      <c r="D1462" t="s">
        <v>7</v>
      </c>
      <c r="E1462" t="s">
        <v>14</v>
      </c>
      <c r="F1462" t="s">
        <v>35</v>
      </c>
      <c r="BA1462">
        <f>SUM(Pre[[#This Row],[1]:[46]])</f>
        <v>0</v>
      </c>
    </row>
    <row r="1463" spans="1:53" x14ac:dyDescent="0.2">
      <c r="A1463" t="s">
        <v>56</v>
      </c>
      <c r="B1463" t="s">
        <v>54</v>
      </c>
      <c r="C1463">
        <v>4576</v>
      </c>
      <c r="D1463" t="s">
        <v>7</v>
      </c>
      <c r="E1463" t="s">
        <v>14</v>
      </c>
      <c r="F1463" t="s">
        <v>20</v>
      </c>
      <c r="S1463">
        <v>1</v>
      </c>
      <c r="AD1463">
        <v>1</v>
      </c>
      <c r="AU1463">
        <v>1</v>
      </c>
      <c r="BA1463">
        <f>SUM(Pre[[#This Row],[1]:[46]])</f>
        <v>3</v>
      </c>
    </row>
    <row r="1464" spans="1:53" x14ac:dyDescent="0.2">
      <c r="A1464" t="s">
        <v>56</v>
      </c>
      <c r="B1464" t="s">
        <v>54</v>
      </c>
      <c r="C1464">
        <v>5935</v>
      </c>
      <c r="D1464" t="s">
        <v>7</v>
      </c>
      <c r="E1464" t="s">
        <v>14</v>
      </c>
      <c r="F1464" t="s">
        <v>20</v>
      </c>
      <c r="J1464">
        <v>1</v>
      </c>
      <c r="X1464">
        <v>1</v>
      </c>
      <c r="AK1464">
        <v>1</v>
      </c>
      <c r="BA1464">
        <f>SUM(Pre[[#This Row],[1]:[46]])</f>
        <v>3</v>
      </c>
    </row>
    <row r="1465" spans="1:53" x14ac:dyDescent="0.2">
      <c r="A1465" t="s">
        <v>56</v>
      </c>
      <c r="B1465" t="s">
        <v>54</v>
      </c>
      <c r="C1465">
        <v>7704</v>
      </c>
      <c r="D1465" t="s">
        <v>7</v>
      </c>
      <c r="E1465" t="s">
        <v>14</v>
      </c>
      <c r="F1465" t="s">
        <v>19</v>
      </c>
      <c r="BA1465">
        <f>SUM(Pre[[#This Row],[1]:[46]])</f>
        <v>0</v>
      </c>
    </row>
    <row r="1466" spans="1:53" x14ac:dyDescent="0.2">
      <c r="A1466" t="s">
        <v>56</v>
      </c>
      <c r="B1466" t="s">
        <v>54</v>
      </c>
      <c r="C1466">
        <v>10141</v>
      </c>
      <c r="D1466" t="s">
        <v>7</v>
      </c>
      <c r="E1466" t="s">
        <v>14</v>
      </c>
      <c r="F1466" t="s">
        <v>20</v>
      </c>
      <c r="BA1466">
        <f>SUM(Pre[[#This Row],[1]:[46]])</f>
        <v>0</v>
      </c>
    </row>
    <row r="1467" spans="1:53" x14ac:dyDescent="0.2">
      <c r="A1467" t="s">
        <v>56</v>
      </c>
      <c r="B1467" t="s">
        <v>54</v>
      </c>
      <c r="C1467">
        <v>11082</v>
      </c>
      <c r="D1467" t="s">
        <v>7</v>
      </c>
      <c r="E1467" t="s">
        <v>14</v>
      </c>
      <c r="F1467" t="s">
        <v>35</v>
      </c>
      <c r="K1467">
        <v>1</v>
      </c>
      <c r="P1467">
        <v>1</v>
      </c>
      <c r="W1467">
        <v>1</v>
      </c>
      <c r="AA1467">
        <v>1</v>
      </c>
      <c r="AE1467">
        <v>3</v>
      </c>
      <c r="AL1467">
        <v>1</v>
      </c>
      <c r="AS1467">
        <v>1</v>
      </c>
      <c r="AW1467">
        <v>1</v>
      </c>
      <c r="BA1467">
        <f>SUM(Pre[[#This Row],[1]:[46]])</f>
        <v>10</v>
      </c>
    </row>
    <row r="1468" spans="1:53" x14ac:dyDescent="0.2">
      <c r="A1468" t="s">
        <v>56</v>
      </c>
      <c r="B1468" t="s">
        <v>54</v>
      </c>
      <c r="C1468">
        <v>11494</v>
      </c>
      <c r="D1468" t="s">
        <v>7</v>
      </c>
      <c r="E1468" t="s">
        <v>14</v>
      </c>
      <c r="F1468" t="s">
        <v>35</v>
      </c>
      <c r="R1468">
        <v>1</v>
      </c>
      <c r="AH1468">
        <v>1</v>
      </c>
      <c r="AJ1468">
        <v>1</v>
      </c>
      <c r="AY1468">
        <v>1</v>
      </c>
      <c r="BA1468">
        <f>SUM(Pre[[#This Row],[1]:[46]])</f>
        <v>4</v>
      </c>
    </row>
    <row r="1469" spans="1:53" x14ac:dyDescent="0.2">
      <c r="A1469" t="s">
        <v>56</v>
      </c>
      <c r="B1469" t="s">
        <v>54</v>
      </c>
      <c r="C1469">
        <v>11624</v>
      </c>
      <c r="D1469" t="s">
        <v>7</v>
      </c>
      <c r="E1469" t="s">
        <v>14</v>
      </c>
      <c r="F1469" t="s">
        <v>20</v>
      </c>
      <c r="J1469">
        <v>1</v>
      </c>
      <c r="P1469">
        <v>1</v>
      </c>
      <c r="U1469">
        <v>1</v>
      </c>
      <c r="BA1469">
        <f>SUM(Pre[[#This Row],[1]:[46]])</f>
        <v>3</v>
      </c>
    </row>
    <row r="1470" spans="1:53" x14ac:dyDescent="0.2">
      <c r="A1470" t="s">
        <v>56</v>
      </c>
      <c r="B1470" t="s">
        <v>54</v>
      </c>
      <c r="C1470">
        <v>13005</v>
      </c>
      <c r="D1470" t="s">
        <v>7</v>
      </c>
      <c r="E1470" t="s">
        <v>14</v>
      </c>
      <c r="F1470" t="s">
        <v>35</v>
      </c>
      <c r="BA1470">
        <f>SUM(Pre[[#This Row],[1]:[46]])</f>
        <v>0</v>
      </c>
    </row>
    <row r="1471" spans="1:53" x14ac:dyDescent="0.2">
      <c r="A1471" t="s">
        <v>56</v>
      </c>
      <c r="B1471" t="s">
        <v>54</v>
      </c>
      <c r="C1471">
        <v>13005</v>
      </c>
      <c r="D1471" t="s">
        <v>7</v>
      </c>
      <c r="E1471" t="s">
        <v>14</v>
      </c>
      <c r="F1471" t="s">
        <v>31</v>
      </c>
      <c r="J1471">
        <v>1</v>
      </c>
      <c r="M1471">
        <v>1</v>
      </c>
      <c r="R1471">
        <v>1</v>
      </c>
      <c r="U1471">
        <v>1</v>
      </c>
      <c r="Y1471">
        <v>1</v>
      </c>
      <c r="AD1471">
        <v>1</v>
      </c>
      <c r="AG1471">
        <v>1</v>
      </c>
      <c r="AL1471">
        <v>1</v>
      </c>
      <c r="AM1471">
        <v>1</v>
      </c>
      <c r="AO1471">
        <v>1</v>
      </c>
      <c r="AP1471">
        <v>1</v>
      </c>
      <c r="AS1471">
        <v>3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f>SUM(Pre[[#This Row],[1]:[46]])</f>
        <v>20</v>
      </c>
    </row>
    <row r="1472" spans="1:53" x14ac:dyDescent="0.2">
      <c r="A1472" t="s">
        <v>56</v>
      </c>
      <c r="B1472" t="s">
        <v>54</v>
      </c>
      <c r="C1472">
        <v>13380</v>
      </c>
      <c r="D1472" t="s">
        <v>7</v>
      </c>
      <c r="E1472" t="s">
        <v>14</v>
      </c>
      <c r="F1472" t="s">
        <v>20</v>
      </c>
      <c r="AT1472">
        <v>1</v>
      </c>
      <c r="AX1472">
        <v>1</v>
      </c>
      <c r="BA1472">
        <f>SUM(Pre[[#This Row],[1]:[46]])</f>
        <v>2</v>
      </c>
    </row>
    <row r="1473" spans="1:53" x14ac:dyDescent="0.2">
      <c r="A1473" t="s">
        <v>56</v>
      </c>
      <c r="B1473" t="s">
        <v>54</v>
      </c>
      <c r="C1473">
        <v>18546</v>
      </c>
      <c r="D1473" t="s">
        <v>7</v>
      </c>
      <c r="E1473" t="s">
        <v>14</v>
      </c>
      <c r="F1473" t="s">
        <v>31</v>
      </c>
      <c r="Z1473">
        <v>1</v>
      </c>
      <c r="AR1473">
        <v>1</v>
      </c>
      <c r="BA1473">
        <f>SUM(Pre[[#This Row],[1]:[46]])</f>
        <v>2</v>
      </c>
    </row>
    <row r="1474" spans="1:53" x14ac:dyDescent="0.2">
      <c r="A1474" t="s">
        <v>56</v>
      </c>
      <c r="B1474" t="s">
        <v>54</v>
      </c>
      <c r="C1474">
        <v>20428</v>
      </c>
      <c r="D1474" t="s">
        <v>7</v>
      </c>
      <c r="E1474" t="s">
        <v>14</v>
      </c>
      <c r="F1474" t="s">
        <v>35</v>
      </c>
      <c r="I1474">
        <v>1</v>
      </c>
      <c r="T1474">
        <v>1</v>
      </c>
      <c r="AJ1474">
        <v>1</v>
      </c>
      <c r="AX1474">
        <v>1</v>
      </c>
      <c r="BA1474">
        <f>SUM(Pre[[#This Row],[1]:[46]])</f>
        <v>4</v>
      </c>
    </row>
    <row r="1475" spans="1:53" x14ac:dyDescent="0.2">
      <c r="A1475" t="s">
        <v>56</v>
      </c>
      <c r="B1475" t="s">
        <v>54</v>
      </c>
      <c r="C1475">
        <v>22446</v>
      </c>
      <c r="D1475" t="s">
        <v>7</v>
      </c>
      <c r="E1475" t="s">
        <v>10</v>
      </c>
      <c r="F1475" t="s">
        <v>11</v>
      </c>
      <c r="AB1475">
        <v>1</v>
      </c>
      <c r="AG1475">
        <v>2</v>
      </c>
      <c r="AU1475">
        <v>1</v>
      </c>
      <c r="BA1475">
        <f>SUM(Pre[[#This Row],[1]:[46]])</f>
        <v>4</v>
      </c>
    </row>
    <row r="1476" spans="1:53" x14ac:dyDescent="0.2">
      <c r="A1476" t="s">
        <v>56</v>
      </c>
      <c r="B1476" t="s">
        <v>54</v>
      </c>
      <c r="C1476">
        <v>23367</v>
      </c>
      <c r="D1476" t="s">
        <v>7</v>
      </c>
      <c r="E1476" t="s">
        <v>10</v>
      </c>
      <c r="F1476" t="s">
        <v>11</v>
      </c>
      <c r="BA1476">
        <f>SUM(Pre[[#This Row],[1]:[46]])</f>
        <v>0</v>
      </c>
    </row>
    <row r="1477" spans="1:53" x14ac:dyDescent="0.2">
      <c r="A1477" t="s">
        <v>56</v>
      </c>
      <c r="B1477" t="s">
        <v>54</v>
      </c>
      <c r="C1477">
        <v>31749</v>
      </c>
      <c r="D1477" t="s">
        <v>7</v>
      </c>
      <c r="E1477" t="s">
        <v>14</v>
      </c>
      <c r="F1477" t="s">
        <v>31</v>
      </c>
      <c r="P1477">
        <v>1</v>
      </c>
      <c r="AC1477">
        <v>1</v>
      </c>
      <c r="AM1477">
        <v>1</v>
      </c>
      <c r="BA1477">
        <f>SUM(Pre[[#This Row],[1]:[46]])</f>
        <v>3</v>
      </c>
    </row>
    <row r="1478" spans="1:53" x14ac:dyDescent="0.2">
      <c r="A1478" t="s">
        <v>56</v>
      </c>
      <c r="B1478" t="s">
        <v>54</v>
      </c>
      <c r="C1478">
        <v>45</v>
      </c>
      <c r="D1478" t="s">
        <v>22</v>
      </c>
      <c r="E1478" t="s">
        <v>14</v>
      </c>
      <c r="F1478" t="s">
        <v>35</v>
      </c>
      <c r="P1478">
        <v>1</v>
      </c>
      <c r="AD1478">
        <v>1</v>
      </c>
      <c r="AS1478">
        <v>1</v>
      </c>
      <c r="BA1478">
        <f>SUM(Pre[[#This Row],[1]:[46]])</f>
        <v>3</v>
      </c>
    </row>
    <row r="1479" spans="1:53" x14ac:dyDescent="0.2">
      <c r="A1479" t="s">
        <v>56</v>
      </c>
      <c r="B1479" t="s">
        <v>54</v>
      </c>
      <c r="C1479">
        <v>1646</v>
      </c>
      <c r="D1479" t="s">
        <v>22</v>
      </c>
      <c r="E1479" t="s">
        <v>14</v>
      </c>
      <c r="F1479" t="s">
        <v>35</v>
      </c>
      <c r="Q1479">
        <v>1</v>
      </c>
      <c r="AK1479">
        <v>1</v>
      </c>
      <c r="AY1479">
        <v>1</v>
      </c>
      <c r="BA1479">
        <f>SUM(Pre[[#This Row],[1]:[46]])</f>
        <v>3</v>
      </c>
    </row>
    <row r="1480" spans="1:53" x14ac:dyDescent="0.2">
      <c r="A1480" t="s">
        <v>56</v>
      </c>
      <c r="B1480" t="s">
        <v>54</v>
      </c>
      <c r="C1480">
        <v>18798</v>
      </c>
      <c r="D1480" t="s">
        <v>7</v>
      </c>
      <c r="E1480" t="s">
        <v>14</v>
      </c>
      <c r="F1480" t="s">
        <v>20</v>
      </c>
      <c r="V1480">
        <v>1</v>
      </c>
      <c r="AJ1480">
        <v>1</v>
      </c>
      <c r="AV1480">
        <v>2</v>
      </c>
      <c r="BA1480">
        <f>SUM(Pre[[#This Row],[1]:[46]])</f>
        <v>4</v>
      </c>
    </row>
    <row r="1481" spans="1:53" x14ac:dyDescent="0.2">
      <c r="A1481" t="s">
        <v>56</v>
      </c>
      <c r="B1481" t="s">
        <v>54</v>
      </c>
      <c r="C1481">
        <v>246</v>
      </c>
      <c r="D1481" t="s">
        <v>7</v>
      </c>
      <c r="E1481" t="s">
        <v>14</v>
      </c>
      <c r="F1481" t="s">
        <v>31</v>
      </c>
      <c r="I1481">
        <v>1</v>
      </c>
      <c r="M1481">
        <v>1</v>
      </c>
      <c r="O1481">
        <v>1</v>
      </c>
      <c r="V1481">
        <v>1</v>
      </c>
      <c r="Y1481">
        <v>1</v>
      </c>
      <c r="AC1481">
        <v>1</v>
      </c>
      <c r="AG1481">
        <v>1</v>
      </c>
      <c r="AK1481">
        <v>1</v>
      </c>
      <c r="AO1481">
        <v>1</v>
      </c>
      <c r="AS1481">
        <v>1</v>
      </c>
      <c r="AW1481">
        <v>1</v>
      </c>
      <c r="BA1481">
        <f>SUM(Pre[[#This Row],[1]:[46]])</f>
        <v>11</v>
      </c>
    </row>
    <row r="1482" spans="1:53" x14ac:dyDescent="0.2">
      <c r="A1482" t="s">
        <v>56</v>
      </c>
      <c r="B1482" t="s">
        <v>54</v>
      </c>
      <c r="C1482">
        <v>2643</v>
      </c>
      <c r="D1482" t="s">
        <v>7</v>
      </c>
      <c r="E1482" t="s">
        <v>14</v>
      </c>
      <c r="F1482" t="s">
        <v>35</v>
      </c>
      <c r="AS1482">
        <v>1</v>
      </c>
      <c r="BA1482">
        <f>SUM(Pre[[#This Row],[1]:[46]])</f>
        <v>1</v>
      </c>
    </row>
    <row r="1483" spans="1:53" x14ac:dyDescent="0.2">
      <c r="A1483" t="s">
        <v>56</v>
      </c>
      <c r="B1483" t="s">
        <v>54</v>
      </c>
      <c r="C1483">
        <v>9534</v>
      </c>
      <c r="D1483" t="s">
        <v>7</v>
      </c>
      <c r="E1483" t="s">
        <v>10</v>
      </c>
      <c r="F1483" t="s">
        <v>11</v>
      </c>
      <c r="BA1483">
        <f>SUM(Pre[[#This Row],[1]:[46]])</f>
        <v>0</v>
      </c>
    </row>
    <row r="1484" spans="1:53" x14ac:dyDescent="0.2">
      <c r="A1484" t="s">
        <v>56</v>
      </c>
      <c r="B1484" t="s">
        <v>54</v>
      </c>
      <c r="C1484">
        <v>12740</v>
      </c>
      <c r="D1484" t="s">
        <v>7</v>
      </c>
      <c r="E1484" t="s">
        <v>14</v>
      </c>
      <c r="F1484" t="s">
        <v>21</v>
      </c>
      <c r="G1484">
        <v>1</v>
      </c>
      <c r="H1484">
        <v>1</v>
      </c>
      <c r="K1484">
        <v>1</v>
      </c>
      <c r="O1484">
        <v>1</v>
      </c>
      <c r="S1484">
        <v>1</v>
      </c>
      <c r="W1484">
        <v>1</v>
      </c>
      <c r="AA1484">
        <v>1</v>
      </c>
      <c r="AF1484">
        <v>2</v>
      </c>
      <c r="AI1484">
        <v>1</v>
      </c>
      <c r="AM1484">
        <v>1</v>
      </c>
      <c r="AQ1484">
        <v>1</v>
      </c>
      <c r="AV1484">
        <v>1</v>
      </c>
      <c r="AY1484">
        <v>1</v>
      </c>
      <c r="BA1484">
        <f>SUM(Pre[[#This Row],[1]:[46]])</f>
        <v>14</v>
      </c>
    </row>
    <row r="1485" spans="1:53" x14ac:dyDescent="0.2">
      <c r="A1485" t="s">
        <v>56</v>
      </c>
      <c r="B1485" t="s">
        <v>54</v>
      </c>
      <c r="C1485">
        <v>19638</v>
      </c>
      <c r="D1485" t="s">
        <v>7</v>
      </c>
      <c r="E1485" t="s">
        <v>14</v>
      </c>
      <c r="F1485" t="s">
        <v>31</v>
      </c>
      <c r="W1485">
        <v>1</v>
      </c>
      <c r="X1485">
        <v>1</v>
      </c>
      <c r="BA1485">
        <f>SUM(Pre[[#This Row],[1]:[46]])</f>
        <v>2</v>
      </c>
    </row>
    <row r="1486" spans="1:53" x14ac:dyDescent="0.2">
      <c r="A1486" t="s">
        <v>56</v>
      </c>
      <c r="B1486" t="s">
        <v>54</v>
      </c>
      <c r="C1486">
        <v>13110</v>
      </c>
      <c r="D1486" t="s">
        <v>22</v>
      </c>
      <c r="E1486" t="s">
        <v>14</v>
      </c>
      <c r="F1486" t="s">
        <v>20</v>
      </c>
      <c r="J1486">
        <v>1</v>
      </c>
      <c r="K1486">
        <v>1</v>
      </c>
      <c r="N1486">
        <v>1</v>
      </c>
      <c r="Q1486">
        <v>1</v>
      </c>
      <c r="T1486">
        <v>1</v>
      </c>
      <c r="X1486">
        <v>1</v>
      </c>
      <c r="AB1486">
        <v>1</v>
      </c>
      <c r="AE1486">
        <v>1</v>
      </c>
      <c r="AG1486">
        <v>1</v>
      </c>
      <c r="AL1486">
        <v>1</v>
      </c>
      <c r="AO1486">
        <v>1</v>
      </c>
      <c r="AR1486">
        <v>1</v>
      </c>
      <c r="AT1486">
        <v>1</v>
      </c>
      <c r="AV1486">
        <v>1</v>
      </c>
      <c r="AX1486">
        <v>1</v>
      </c>
      <c r="AY1486">
        <v>2</v>
      </c>
      <c r="BA1486">
        <f>SUM(Pre[[#This Row],[1]:[46]])</f>
        <v>17</v>
      </c>
    </row>
    <row r="1487" spans="1:53" x14ac:dyDescent="0.2">
      <c r="A1487" t="s">
        <v>56</v>
      </c>
      <c r="B1487" t="s">
        <v>54</v>
      </c>
      <c r="C1487">
        <v>4992</v>
      </c>
      <c r="D1487" t="s">
        <v>7</v>
      </c>
      <c r="E1487" t="s">
        <v>14</v>
      </c>
      <c r="F1487" t="s">
        <v>20</v>
      </c>
      <c r="U1487">
        <v>1</v>
      </c>
      <c r="AG1487">
        <v>1</v>
      </c>
      <c r="AT1487">
        <v>1</v>
      </c>
      <c r="BA1487">
        <f>SUM(Pre[[#This Row],[1]:[46]])</f>
        <v>3</v>
      </c>
    </row>
    <row r="1488" spans="1:53" x14ac:dyDescent="0.2">
      <c r="A1488" t="s">
        <v>56</v>
      </c>
      <c r="B1488" t="s">
        <v>54</v>
      </c>
      <c r="C1488">
        <v>6997</v>
      </c>
      <c r="D1488" t="s">
        <v>7</v>
      </c>
      <c r="E1488" t="s">
        <v>14</v>
      </c>
      <c r="F1488" t="s">
        <v>21</v>
      </c>
      <c r="H1488">
        <v>2</v>
      </c>
      <c r="U1488">
        <v>1</v>
      </c>
      <c r="AH1488">
        <v>1</v>
      </c>
      <c r="AU1488">
        <v>1</v>
      </c>
      <c r="BA1488">
        <f>SUM(Pre[[#This Row],[1]:[46]])</f>
        <v>5</v>
      </c>
    </row>
    <row r="1489" spans="1:53" x14ac:dyDescent="0.2">
      <c r="A1489" t="s">
        <v>56</v>
      </c>
      <c r="B1489" t="s">
        <v>54</v>
      </c>
      <c r="C1489">
        <v>8163</v>
      </c>
      <c r="D1489" t="s">
        <v>7</v>
      </c>
      <c r="E1489" t="s">
        <v>14</v>
      </c>
      <c r="F1489" t="s">
        <v>20</v>
      </c>
      <c r="U1489">
        <v>1</v>
      </c>
      <c r="AB1489">
        <v>2</v>
      </c>
      <c r="AF1489">
        <v>2</v>
      </c>
      <c r="AJ1489">
        <v>1</v>
      </c>
      <c r="AO1489">
        <v>2</v>
      </c>
      <c r="AR1489">
        <v>1</v>
      </c>
      <c r="AX1489">
        <v>1</v>
      </c>
      <c r="BA1489">
        <f>SUM(Pre[[#This Row],[1]:[46]])</f>
        <v>10</v>
      </c>
    </row>
    <row r="1490" spans="1:53" x14ac:dyDescent="0.2">
      <c r="A1490" t="s">
        <v>56</v>
      </c>
      <c r="B1490" t="s">
        <v>54</v>
      </c>
      <c r="C1490">
        <v>19096</v>
      </c>
      <c r="D1490" t="s">
        <v>7</v>
      </c>
      <c r="E1490" t="s">
        <v>14</v>
      </c>
      <c r="F1490" t="s">
        <v>20</v>
      </c>
      <c r="J1490">
        <v>1</v>
      </c>
      <c r="N1490">
        <v>1</v>
      </c>
      <c r="R1490">
        <v>1</v>
      </c>
      <c r="V1490">
        <v>1</v>
      </c>
      <c r="Z1490">
        <v>1</v>
      </c>
      <c r="AD1490">
        <v>1</v>
      </c>
      <c r="AE1490">
        <v>1</v>
      </c>
      <c r="AH1490">
        <v>1</v>
      </c>
      <c r="AL1490">
        <v>1</v>
      </c>
      <c r="AP1490">
        <v>1</v>
      </c>
      <c r="AT1490">
        <v>1</v>
      </c>
      <c r="AX1490">
        <v>1</v>
      </c>
      <c r="BA1490">
        <f>SUM(Pre[[#This Row],[1]:[46]])</f>
        <v>12</v>
      </c>
    </row>
    <row r="1491" spans="1:53" x14ac:dyDescent="0.2">
      <c r="A1491" t="s">
        <v>56</v>
      </c>
      <c r="B1491" t="s">
        <v>54</v>
      </c>
      <c r="C1491">
        <v>6190</v>
      </c>
      <c r="D1491" t="s">
        <v>22</v>
      </c>
      <c r="E1491" t="s">
        <v>14</v>
      </c>
      <c r="F1491" t="s">
        <v>35</v>
      </c>
      <c r="P1491">
        <v>1</v>
      </c>
      <c r="AE1491">
        <v>1</v>
      </c>
      <c r="AT1491">
        <v>1</v>
      </c>
      <c r="BA1491">
        <f>SUM(Pre[[#This Row],[1]:[46]])</f>
        <v>3</v>
      </c>
    </row>
    <row r="1492" spans="1:53" x14ac:dyDescent="0.2">
      <c r="A1492" t="s">
        <v>56</v>
      </c>
      <c r="B1492" t="s">
        <v>54</v>
      </c>
      <c r="C1492">
        <v>7498</v>
      </c>
      <c r="D1492" t="s">
        <v>22</v>
      </c>
      <c r="E1492" t="s">
        <v>14</v>
      </c>
      <c r="F1492" t="s">
        <v>20</v>
      </c>
      <c r="BA1492">
        <f>SUM(Pre[[#This Row],[1]:[46]])</f>
        <v>0</v>
      </c>
    </row>
    <row r="1493" spans="1:53" x14ac:dyDescent="0.2">
      <c r="A1493" t="s">
        <v>56</v>
      </c>
      <c r="B1493" t="s">
        <v>54</v>
      </c>
      <c r="C1493">
        <v>755</v>
      </c>
      <c r="D1493" t="s">
        <v>7</v>
      </c>
      <c r="E1493" t="s">
        <v>8</v>
      </c>
      <c r="F1493" t="s">
        <v>45</v>
      </c>
      <c r="K1493">
        <v>1</v>
      </c>
      <c r="V1493">
        <v>1</v>
      </c>
      <c r="AL1493">
        <v>1</v>
      </c>
      <c r="AY1493">
        <v>1</v>
      </c>
      <c r="BA1493">
        <f>SUM(Pre[[#This Row],[1]:[46]])</f>
        <v>4</v>
      </c>
    </row>
    <row r="1494" spans="1:53" x14ac:dyDescent="0.2">
      <c r="A1494" t="s">
        <v>56</v>
      </c>
      <c r="B1494" t="s">
        <v>54</v>
      </c>
      <c r="C1494">
        <v>855</v>
      </c>
      <c r="D1494" t="s">
        <v>7</v>
      </c>
      <c r="E1494" t="s">
        <v>8</v>
      </c>
      <c r="F1494" t="s">
        <v>9</v>
      </c>
      <c r="G1494">
        <v>1</v>
      </c>
      <c r="L1494">
        <v>1</v>
      </c>
      <c r="Y1494">
        <v>1</v>
      </c>
      <c r="AC1494">
        <v>1</v>
      </c>
      <c r="AG1494">
        <v>1</v>
      </c>
      <c r="AN1494">
        <v>1</v>
      </c>
      <c r="AR1494">
        <v>1</v>
      </c>
      <c r="AV1494">
        <v>1</v>
      </c>
      <c r="AZ1494">
        <v>1</v>
      </c>
      <c r="BA1494">
        <f>SUM(Pre[[#This Row],[1]:[46]])</f>
        <v>9</v>
      </c>
    </row>
    <row r="1495" spans="1:53" x14ac:dyDescent="0.2">
      <c r="A1495" t="s">
        <v>56</v>
      </c>
      <c r="B1495" t="s">
        <v>54</v>
      </c>
      <c r="C1495">
        <v>1478</v>
      </c>
      <c r="D1495" t="s">
        <v>7</v>
      </c>
      <c r="E1495" t="s">
        <v>8</v>
      </c>
      <c r="F1495" t="s">
        <v>9</v>
      </c>
      <c r="K1495">
        <v>1</v>
      </c>
      <c r="Z1495">
        <v>1</v>
      </c>
      <c r="BA1495">
        <f>SUM(Pre[[#This Row],[1]:[46]])</f>
        <v>2</v>
      </c>
    </row>
    <row r="1496" spans="1:53" x14ac:dyDescent="0.2">
      <c r="A1496" t="s">
        <v>56</v>
      </c>
      <c r="B1496" t="s">
        <v>54</v>
      </c>
      <c r="C1496">
        <v>3960</v>
      </c>
      <c r="D1496" t="s">
        <v>7</v>
      </c>
      <c r="E1496" t="s">
        <v>8</v>
      </c>
      <c r="F1496" t="s">
        <v>9</v>
      </c>
      <c r="K1496">
        <v>1</v>
      </c>
      <c r="L1496">
        <v>1</v>
      </c>
      <c r="X1496">
        <v>1</v>
      </c>
      <c r="AG1496">
        <v>1</v>
      </c>
      <c r="BA1496">
        <f>SUM(Pre[[#This Row],[1]:[46]])</f>
        <v>4</v>
      </c>
    </row>
    <row r="1497" spans="1:53" x14ac:dyDescent="0.2">
      <c r="A1497" t="s">
        <v>56</v>
      </c>
      <c r="B1497" t="s">
        <v>54</v>
      </c>
      <c r="C1497">
        <v>5926</v>
      </c>
      <c r="D1497" t="s">
        <v>7</v>
      </c>
      <c r="E1497" t="s">
        <v>8</v>
      </c>
      <c r="F1497" t="s">
        <v>9</v>
      </c>
      <c r="N1497">
        <v>1</v>
      </c>
      <c r="AB1497">
        <v>1</v>
      </c>
      <c r="AN1497">
        <v>1</v>
      </c>
      <c r="BA1497">
        <f>SUM(Pre[[#This Row],[1]:[46]])</f>
        <v>3</v>
      </c>
    </row>
    <row r="1498" spans="1:53" x14ac:dyDescent="0.2">
      <c r="A1498" t="s">
        <v>56</v>
      </c>
      <c r="B1498" t="s">
        <v>54</v>
      </c>
      <c r="C1498">
        <v>8165</v>
      </c>
      <c r="D1498" t="s">
        <v>7</v>
      </c>
      <c r="E1498" t="s">
        <v>8</v>
      </c>
      <c r="F1498" t="s">
        <v>9</v>
      </c>
      <c r="I1498">
        <v>1</v>
      </c>
      <c r="M1498">
        <v>1</v>
      </c>
      <c r="N1498">
        <v>1</v>
      </c>
      <c r="P1498">
        <v>1</v>
      </c>
      <c r="V1498">
        <v>2</v>
      </c>
      <c r="Z1498">
        <v>1</v>
      </c>
      <c r="AD1498">
        <v>1</v>
      </c>
      <c r="AH1498">
        <v>1</v>
      </c>
      <c r="AM1498">
        <v>1</v>
      </c>
      <c r="AP1498">
        <v>1</v>
      </c>
      <c r="AT1498">
        <v>1</v>
      </c>
      <c r="AW1498">
        <v>1</v>
      </c>
      <c r="AZ1498">
        <v>1</v>
      </c>
      <c r="BA1498">
        <f>SUM(Pre[[#This Row],[1]:[46]])</f>
        <v>14</v>
      </c>
    </row>
    <row r="1499" spans="1:53" x14ac:dyDescent="0.2">
      <c r="A1499" t="s">
        <v>56</v>
      </c>
      <c r="B1499" t="s">
        <v>54</v>
      </c>
      <c r="C1499">
        <v>8286</v>
      </c>
      <c r="D1499" t="s">
        <v>7</v>
      </c>
      <c r="E1499" t="s">
        <v>8</v>
      </c>
      <c r="F1499" t="s">
        <v>23</v>
      </c>
      <c r="N1499">
        <v>1</v>
      </c>
      <c r="V1499">
        <v>1</v>
      </c>
      <c r="AI1499">
        <v>1</v>
      </c>
      <c r="AW1499">
        <v>1</v>
      </c>
      <c r="BA1499">
        <f>SUM(Pre[[#This Row],[1]:[46]])</f>
        <v>4</v>
      </c>
    </row>
    <row r="1500" spans="1:53" x14ac:dyDescent="0.2">
      <c r="A1500" t="s">
        <v>56</v>
      </c>
      <c r="B1500" t="s">
        <v>54</v>
      </c>
      <c r="C1500">
        <v>11087</v>
      </c>
      <c r="D1500" t="s">
        <v>7</v>
      </c>
      <c r="E1500" t="s">
        <v>8</v>
      </c>
      <c r="F1500" t="s">
        <v>9</v>
      </c>
      <c r="AG1500">
        <v>1</v>
      </c>
      <c r="AT1500">
        <v>1</v>
      </c>
      <c r="BA1500">
        <f>SUM(Pre[[#This Row],[1]:[46]])</f>
        <v>2</v>
      </c>
    </row>
    <row r="1501" spans="1:53" x14ac:dyDescent="0.2">
      <c r="A1501" t="s">
        <v>56</v>
      </c>
      <c r="B1501" t="s">
        <v>54</v>
      </c>
      <c r="C1501">
        <v>11635</v>
      </c>
      <c r="D1501" t="s">
        <v>7</v>
      </c>
      <c r="E1501" t="s">
        <v>8</v>
      </c>
      <c r="F1501" t="s">
        <v>30</v>
      </c>
      <c r="AH1501">
        <v>1</v>
      </c>
      <c r="AQ1501">
        <v>1</v>
      </c>
      <c r="BA1501">
        <f>SUM(Pre[[#This Row],[1]:[46]])</f>
        <v>2</v>
      </c>
    </row>
    <row r="1502" spans="1:53" x14ac:dyDescent="0.2">
      <c r="A1502" t="s">
        <v>56</v>
      </c>
      <c r="B1502" t="s">
        <v>54</v>
      </c>
      <c r="C1502">
        <v>13697</v>
      </c>
      <c r="D1502" t="s">
        <v>7</v>
      </c>
      <c r="E1502" t="s">
        <v>8</v>
      </c>
      <c r="F1502" t="s">
        <v>9</v>
      </c>
      <c r="K1502">
        <v>1</v>
      </c>
      <c r="Z1502">
        <v>1</v>
      </c>
      <c r="AM1502">
        <v>1</v>
      </c>
      <c r="BA1502">
        <f>SUM(Pre[[#This Row],[1]:[46]])</f>
        <v>3</v>
      </c>
    </row>
    <row r="1503" spans="1:53" x14ac:dyDescent="0.2">
      <c r="A1503" t="s">
        <v>56</v>
      </c>
      <c r="B1503" t="s">
        <v>54</v>
      </c>
      <c r="C1503">
        <v>16925</v>
      </c>
      <c r="D1503" t="s">
        <v>7</v>
      </c>
      <c r="E1503" t="s">
        <v>8</v>
      </c>
      <c r="F1503" t="s">
        <v>23</v>
      </c>
      <c r="M1503">
        <v>1</v>
      </c>
      <c r="V1503">
        <v>1</v>
      </c>
      <c r="AM1503">
        <v>1</v>
      </c>
      <c r="AX1503">
        <v>1</v>
      </c>
      <c r="BA1503">
        <f>SUM(Pre[[#This Row],[1]:[46]])</f>
        <v>4</v>
      </c>
    </row>
    <row r="1504" spans="1:53" x14ac:dyDescent="0.2">
      <c r="A1504" t="s">
        <v>56</v>
      </c>
      <c r="B1504" t="s">
        <v>54</v>
      </c>
      <c r="C1504">
        <v>22625</v>
      </c>
      <c r="D1504" t="s">
        <v>7</v>
      </c>
      <c r="E1504" t="s">
        <v>8</v>
      </c>
      <c r="F1504" t="s">
        <v>9</v>
      </c>
      <c r="N1504">
        <v>1</v>
      </c>
      <c r="Y1504">
        <v>1</v>
      </c>
      <c r="AJ1504">
        <v>1</v>
      </c>
      <c r="AR1504">
        <v>1</v>
      </c>
      <c r="AW1504">
        <v>1</v>
      </c>
      <c r="BA1504">
        <f>SUM(Pre[[#This Row],[1]:[46]])</f>
        <v>5</v>
      </c>
    </row>
    <row r="1505" spans="1:53" x14ac:dyDescent="0.2">
      <c r="A1505" t="s">
        <v>56</v>
      </c>
      <c r="B1505" t="s">
        <v>54</v>
      </c>
      <c r="C1505">
        <v>25168</v>
      </c>
      <c r="D1505" t="s">
        <v>7</v>
      </c>
      <c r="E1505" t="s">
        <v>8</v>
      </c>
      <c r="F1505" t="s">
        <v>9</v>
      </c>
      <c r="K1505">
        <v>1</v>
      </c>
      <c r="R1505">
        <v>1</v>
      </c>
      <c r="AE1505">
        <v>1</v>
      </c>
      <c r="AR1505">
        <v>1</v>
      </c>
      <c r="BA1505">
        <f>SUM(Pre[[#This Row],[1]:[46]])</f>
        <v>4</v>
      </c>
    </row>
    <row r="1506" spans="1:53" x14ac:dyDescent="0.2">
      <c r="A1506" t="s">
        <v>56</v>
      </c>
      <c r="B1506" t="s">
        <v>54</v>
      </c>
      <c r="C1506">
        <v>30113</v>
      </c>
      <c r="D1506" t="s">
        <v>7</v>
      </c>
      <c r="E1506" t="s">
        <v>8</v>
      </c>
      <c r="F1506" t="s">
        <v>30</v>
      </c>
      <c r="R1506">
        <v>1</v>
      </c>
      <c r="AG1506">
        <v>1</v>
      </c>
      <c r="AS1506">
        <v>1</v>
      </c>
      <c r="BA1506">
        <f>SUM(Pre[[#This Row],[1]:[46]])</f>
        <v>3</v>
      </c>
    </row>
    <row r="1507" spans="1:53" x14ac:dyDescent="0.2">
      <c r="A1507" t="s">
        <v>56</v>
      </c>
      <c r="B1507" t="s">
        <v>54</v>
      </c>
      <c r="C1507">
        <v>984</v>
      </c>
      <c r="D1507" t="s">
        <v>22</v>
      </c>
      <c r="E1507" t="s">
        <v>8</v>
      </c>
      <c r="F1507" t="s">
        <v>9</v>
      </c>
      <c r="AC1507">
        <v>1</v>
      </c>
      <c r="AM1507">
        <v>1</v>
      </c>
      <c r="BA1507">
        <f>SUM(Pre[[#This Row],[1]:[46]])</f>
        <v>2</v>
      </c>
    </row>
    <row r="1508" spans="1:53" x14ac:dyDescent="0.2">
      <c r="A1508" t="s">
        <v>56</v>
      </c>
      <c r="B1508" t="s">
        <v>54</v>
      </c>
      <c r="C1508">
        <v>6832</v>
      </c>
      <c r="D1508" t="s">
        <v>22</v>
      </c>
      <c r="E1508" t="s">
        <v>8</v>
      </c>
      <c r="F1508" t="s">
        <v>9</v>
      </c>
      <c r="P1508">
        <v>2</v>
      </c>
      <c r="AJ1508">
        <v>2</v>
      </c>
      <c r="AW1508">
        <v>1</v>
      </c>
      <c r="BA1508">
        <f>SUM(Pre[[#This Row],[1]:[46]])</f>
        <v>5</v>
      </c>
    </row>
    <row r="1509" spans="1:53" x14ac:dyDescent="0.2">
      <c r="A1509" t="s">
        <v>56</v>
      </c>
      <c r="B1509" t="s">
        <v>54</v>
      </c>
      <c r="C1509">
        <v>11495</v>
      </c>
      <c r="D1509" t="s">
        <v>22</v>
      </c>
      <c r="E1509" t="s">
        <v>8</v>
      </c>
      <c r="F1509" t="s">
        <v>9</v>
      </c>
      <c r="Q1509">
        <v>1</v>
      </c>
      <c r="AE1509">
        <v>1</v>
      </c>
      <c r="AR1509">
        <v>1</v>
      </c>
      <c r="BA1509">
        <f>SUM(Pre[[#This Row],[1]:[46]])</f>
        <v>3</v>
      </c>
    </row>
    <row r="1510" spans="1:53" x14ac:dyDescent="0.2">
      <c r="A1510" t="s">
        <v>56</v>
      </c>
      <c r="B1510" t="s">
        <v>54</v>
      </c>
      <c r="C1510">
        <v>12593</v>
      </c>
      <c r="D1510" t="s">
        <v>22</v>
      </c>
      <c r="E1510" t="s">
        <v>8</v>
      </c>
      <c r="F1510" t="s">
        <v>9</v>
      </c>
      <c r="P1510">
        <v>1</v>
      </c>
      <c r="AD1510">
        <v>1</v>
      </c>
      <c r="AQ1510">
        <v>1</v>
      </c>
      <c r="BA1510">
        <f>SUM(Pre[[#This Row],[1]:[46]])</f>
        <v>3</v>
      </c>
    </row>
    <row r="1511" spans="1:53" x14ac:dyDescent="0.2">
      <c r="A1511" t="s">
        <v>56</v>
      </c>
      <c r="B1511" t="s">
        <v>54</v>
      </c>
      <c r="C1511">
        <v>22087</v>
      </c>
      <c r="D1511" t="s">
        <v>22</v>
      </c>
      <c r="E1511" t="s">
        <v>8</v>
      </c>
      <c r="F1511" t="s">
        <v>9</v>
      </c>
      <c r="R1511">
        <v>2</v>
      </c>
      <c r="AE1511">
        <v>1</v>
      </c>
      <c r="AR1511">
        <v>1</v>
      </c>
      <c r="BA1511">
        <f>SUM(Pre[[#This Row],[1]:[46]])</f>
        <v>4</v>
      </c>
    </row>
    <row r="1512" spans="1:53" x14ac:dyDescent="0.2">
      <c r="A1512" t="s">
        <v>56</v>
      </c>
      <c r="B1512" t="s">
        <v>54</v>
      </c>
      <c r="C1512">
        <v>1261</v>
      </c>
      <c r="D1512" t="s">
        <v>7</v>
      </c>
      <c r="E1512" t="s">
        <v>37</v>
      </c>
      <c r="F1512" t="s">
        <v>49</v>
      </c>
      <c r="Q1512">
        <v>1</v>
      </c>
      <c r="AK1512">
        <v>1</v>
      </c>
      <c r="BA1512">
        <f>SUM(Pre[[#This Row],[1]:[46]])</f>
        <v>2</v>
      </c>
    </row>
    <row r="1513" spans="1:53" x14ac:dyDescent="0.2">
      <c r="A1513" t="s">
        <v>56</v>
      </c>
      <c r="B1513" t="s">
        <v>54</v>
      </c>
      <c r="C1513">
        <v>1261</v>
      </c>
      <c r="D1513" t="s">
        <v>7</v>
      </c>
      <c r="E1513" t="s">
        <v>8</v>
      </c>
      <c r="F1513" t="s">
        <v>23</v>
      </c>
      <c r="AO1513">
        <v>2</v>
      </c>
      <c r="BA1513">
        <f>SUM(Pre[[#This Row],[1]:[46]])</f>
        <v>2</v>
      </c>
    </row>
    <row r="1514" spans="1:53" x14ac:dyDescent="0.2">
      <c r="A1514" t="s">
        <v>56</v>
      </c>
      <c r="B1514" t="s">
        <v>54</v>
      </c>
      <c r="C1514">
        <v>4248</v>
      </c>
      <c r="D1514" t="s">
        <v>7</v>
      </c>
      <c r="E1514" t="s">
        <v>37</v>
      </c>
      <c r="F1514" t="s">
        <v>55</v>
      </c>
      <c r="M1514">
        <v>1</v>
      </c>
      <c r="Z1514">
        <v>1</v>
      </c>
      <c r="AN1514">
        <v>1</v>
      </c>
      <c r="BA1514">
        <f>SUM(Pre[[#This Row],[1]:[46]])</f>
        <v>3</v>
      </c>
    </row>
    <row r="1515" spans="1:53" x14ac:dyDescent="0.2">
      <c r="A1515" t="s">
        <v>56</v>
      </c>
      <c r="B1515" t="s">
        <v>54</v>
      </c>
      <c r="C1515">
        <v>4248</v>
      </c>
      <c r="D1515" t="s">
        <v>7</v>
      </c>
      <c r="E1515" t="s">
        <v>8</v>
      </c>
      <c r="F1515" t="s">
        <v>9</v>
      </c>
      <c r="M1515">
        <v>2</v>
      </c>
      <c r="Z1515">
        <v>1</v>
      </c>
      <c r="AN1515">
        <v>1</v>
      </c>
      <c r="BA1515">
        <f>SUM(Pre[[#This Row],[1]:[46]])</f>
        <v>4</v>
      </c>
    </row>
    <row r="1516" spans="1:53" x14ac:dyDescent="0.2">
      <c r="A1516" t="s">
        <v>56</v>
      </c>
      <c r="B1516" t="s">
        <v>54</v>
      </c>
      <c r="C1516">
        <v>4248</v>
      </c>
      <c r="D1516" t="s">
        <v>7</v>
      </c>
      <c r="E1516" t="s">
        <v>26</v>
      </c>
      <c r="F1516" t="s">
        <v>27</v>
      </c>
      <c r="M1516">
        <v>1</v>
      </c>
      <c r="Z1516">
        <v>1</v>
      </c>
      <c r="AN1516">
        <v>1</v>
      </c>
      <c r="BA1516">
        <f>SUM(Pre[[#This Row],[1]:[46]])</f>
        <v>3</v>
      </c>
    </row>
    <row r="1517" spans="1:53" x14ac:dyDescent="0.2">
      <c r="A1517" t="s">
        <v>56</v>
      </c>
      <c r="B1517" t="s">
        <v>54</v>
      </c>
      <c r="C1517">
        <v>4867</v>
      </c>
      <c r="D1517" t="s">
        <v>7</v>
      </c>
      <c r="E1517" t="s">
        <v>8</v>
      </c>
      <c r="F1517" t="s">
        <v>9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2</v>
      </c>
      <c r="AT1517">
        <v>2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f>SUM(Pre[[#This Row],[1]:[46]])</f>
        <v>47</v>
      </c>
    </row>
    <row r="1518" spans="1:53" x14ac:dyDescent="0.2">
      <c r="A1518" t="s">
        <v>56</v>
      </c>
      <c r="B1518" t="s">
        <v>54</v>
      </c>
      <c r="C1518">
        <v>5141</v>
      </c>
      <c r="D1518" t="s">
        <v>7</v>
      </c>
      <c r="E1518" t="s">
        <v>8</v>
      </c>
      <c r="F1518" t="s">
        <v>9</v>
      </c>
      <c r="AJ1518">
        <v>1</v>
      </c>
      <c r="AR1518">
        <v>1</v>
      </c>
      <c r="BA1518">
        <f>SUM(Pre[[#This Row],[1]:[46]])</f>
        <v>2</v>
      </c>
    </row>
    <row r="1519" spans="1:53" x14ac:dyDescent="0.2">
      <c r="A1519" t="s">
        <v>56</v>
      </c>
      <c r="B1519" t="s">
        <v>54</v>
      </c>
      <c r="C1519">
        <v>5935</v>
      </c>
      <c r="D1519" t="s">
        <v>7</v>
      </c>
      <c r="E1519" t="s">
        <v>37</v>
      </c>
      <c r="F1519" t="s">
        <v>38</v>
      </c>
      <c r="J1519">
        <v>1</v>
      </c>
      <c r="X1519">
        <v>1</v>
      </c>
      <c r="AK1519">
        <v>1</v>
      </c>
      <c r="BA1519">
        <f>SUM(Pre[[#This Row],[1]:[46]])</f>
        <v>3</v>
      </c>
    </row>
    <row r="1520" spans="1:53" x14ac:dyDescent="0.2">
      <c r="A1520" t="s">
        <v>56</v>
      </c>
      <c r="B1520" t="s">
        <v>54</v>
      </c>
      <c r="C1520">
        <v>7952</v>
      </c>
      <c r="D1520" t="s">
        <v>7</v>
      </c>
      <c r="E1520" t="s">
        <v>8</v>
      </c>
      <c r="F1520" t="s">
        <v>9</v>
      </c>
      <c r="G1520">
        <v>1</v>
      </c>
      <c r="N1520">
        <v>1</v>
      </c>
      <c r="S1520">
        <v>1</v>
      </c>
      <c r="Y1520">
        <v>1</v>
      </c>
      <c r="AG1520">
        <v>1</v>
      </c>
      <c r="AL1520">
        <v>1</v>
      </c>
      <c r="AQ1520">
        <v>1</v>
      </c>
      <c r="AX1520">
        <v>1</v>
      </c>
      <c r="BA1520">
        <f>SUM(Pre[[#This Row],[1]:[46]])</f>
        <v>8</v>
      </c>
    </row>
    <row r="1521" spans="1:53" x14ac:dyDescent="0.2">
      <c r="A1521" t="s">
        <v>56</v>
      </c>
      <c r="B1521" t="s">
        <v>54</v>
      </c>
      <c r="C1521">
        <v>8648</v>
      </c>
      <c r="D1521" t="s">
        <v>7</v>
      </c>
      <c r="E1521" t="s">
        <v>8</v>
      </c>
      <c r="F1521" t="s">
        <v>9</v>
      </c>
      <c r="AA1521">
        <v>2</v>
      </c>
      <c r="AG1521">
        <v>1</v>
      </c>
      <c r="BA1521">
        <f>SUM(Pre[[#This Row],[1]:[46]])</f>
        <v>3</v>
      </c>
    </row>
    <row r="1522" spans="1:53" x14ac:dyDescent="0.2">
      <c r="A1522" t="s">
        <v>56</v>
      </c>
      <c r="B1522" t="s">
        <v>54</v>
      </c>
      <c r="C1522">
        <v>8930</v>
      </c>
      <c r="D1522" t="s">
        <v>7</v>
      </c>
      <c r="E1522" t="s">
        <v>8</v>
      </c>
      <c r="F1522" t="s">
        <v>23</v>
      </c>
      <c r="U1522">
        <v>1</v>
      </c>
      <c r="W1522">
        <v>1</v>
      </c>
      <c r="AA1522">
        <v>1</v>
      </c>
      <c r="AE1522">
        <v>1</v>
      </c>
      <c r="AQ1522">
        <v>1</v>
      </c>
      <c r="BA1522">
        <f>SUM(Pre[[#This Row],[1]:[46]])</f>
        <v>5</v>
      </c>
    </row>
    <row r="1523" spans="1:53" x14ac:dyDescent="0.2">
      <c r="A1523" t="s">
        <v>56</v>
      </c>
      <c r="B1523" t="s">
        <v>54</v>
      </c>
      <c r="C1523">
        <v>9062</v>
      </c>
      <c r="D1523" t="s">
        <v>7</v>
      </c>
      <c r="E1523" t="s">
        <v>8</v>
      </c>
      <c r="F1523" t="s">
        <v>9</v>
      </c>
      <c r="V1523">
        <v>1</v>
      </c>
      <c r="AI1523">
        <v>2</v>
      </c>
      <c r="AX1523">
        <v>1</v>
      </c>
      <c r="BA1523">
        <f>SUM(Pre[[#This Row],[1]:[46]])</f>
        <v>4</v>
      </c>
    </row>
    <row r="1524" spans="1:53" x14ac:dyDescent="0.2">
      <c r="A1524" t="s">
        <v>56</v>
      </c>
      <c r="B1524" t="s">
        <v>54</v>
      </c>
      <c r="C1524">
        <v>9492</v>
      </c>
      <c r="D1524" t="s">
        <v>7</v>
      </c>
      <c r="E1524" t="s">
        <v>8</v>
      </c>
      <c r="F1524" t="s">
        <v>9</v>
      </c>
      <c r="O1524">
        <v>2</v>
      </c>
      <c r="X1524">
        <v>1</v>
      </c>
      <c r="AJ1524">
        <v>1</v>
      </c>
      <c r="AX1524">
        <v>2</v>
      </c>
      <c r="BA1524">
        <f>SUM(Pre[[#This Row],[1]:[46]])</f>
        <v>6</v>
      </c>
    </row>
    <row r="1525" spans="1:53" x14ac:dyDescent="0.2">
      <c r="A1525" t="s">
        <v>56</v>
      </c>
      <c r="B1525" t="s">
        <v>54</v>
      </c>
      <c r="C1525">
        <v>9891</v>
      </c>
      <c r="D1525" t="s">
        <v>7</v>
      </c>
      <c r="E1525" t="s">
        <v>8</v>
      </c>
      <c r="F1525" t="s">
        <v>9</v>
      </c>
      <c r="N1525">
        <v>1</v>
      </c>
      <c r="Z1525">
        <v>1</v>
      </c>
      <c r="AP1525">
        <v>1</v>
      </c>
      <c r="BA1525">
        <f>SUM(Pre[[#This Row],[1]:[46]])</f>
        <v>3</v>
      </c>
    </row>
    <row r="1526" spans="1:53" x14ac:dyDescent="0.2">
      <c r="A1526" t="s">
        <v>56</v>
      </c>
      <c r="B1526" t="s">
        <v>54</v>
      </c>
      <c r="C1526">
        <v>10392</v>
      </c>
      <c r="D1526" t="s">
        <v>7</v>
      </c>
      <c r="E1526" t="s">
        <v>8</v>
      </c>
      <c r="F1526" t="s">
        <v>9</v>
      </c>
      <c r="S1526">
        <v>1</v>
      </c>
      <c r="AE1526">
        <v>1</v>
      </c>
      <c r="AN1526">
        <v>1</v>
      </c>
      <c r="AY1526">
        <v>1</v>
      </c>
      <c r="BA1526">
        <f>SUM(Pre[[#This Row],[1]:[46]])</f>
        <v>4</v>
      </c>
    </row>
    <row r="1527" spans="1:53" x14ac:dyDescent="0.2">
      <c r="A1527" t="s">
        <v>56</v>
      </c>
      <c r="B1527" t="s">
        <v>54</v>
      </c>
      <c r="C1527">
        <v>11624</v>
      </c>
      <c r="D1527" t="s">
        <v>7</v>
      </c>
      <c r="E1527" t="s">
        <v>8</v>
      </c>
      <c r="F1527" t="s">
        <v>9</v>
      </c>
      <c r="P1527">
        <v>1</v>
      </c>
      <c r="AE1527">
        <v>1</v>
      </c>
      <c r="AV1527">
        <v>1</v>
      </c>
      <c r="BA1527">
        <f>SUM(Pre[[#This Row],[1]:[46]])</f>
        <v>3</v>
      </c>
    </row>
    <row r="1528" spans="1:53" x14ac:dyDescent="0.2">
      <c r="A1528" t="s">
        <v>56</v>
      </c>
      <c r="B1528" t="s">
        <v>54</v>
      </c>
      <c r="C1528">
        <v>13587</v>
      </c>
      <c r="D1528" t="s">
        <v>7</v>
      </c>
      <c r="E1528" t="s">
        <v>8</v>
      </c>
      <c r="F1528" t="s">
        <v>9</v>
      </c>
      <c r="AD1528">
        <v>1</v>
      </c>
      <c r="AL1528">
        <v>1</v>
      </c>
      <c r="AP1528">
        <v>1</v>
      </c>
      <c r="BA1528">
        <f>SUM(Pre[[#This Row],[1]:[46]])</f>
        <v>3</v>
      </c>
    </row>
    <row r="1529" spans="1:53" x14ac:dyDescent="0.2">
      <c r="A1529" t="s">
        <v>56</v>
      </c>
      <c r="B1529" t="s">
        <v>54</v>
      </c>
      <c r="C1529">
        <v>14205</v>
      </c>
      <c r="D1529" t="s">
        <v>7</v>
      </c>
      <c r="E1529" t="s">
        <v>8</v>
      </c>
      <c r="F1529" t="s">
        <v>45</v>
      </c>
      <c r="H1529">
        <v>1</v>
      </c>
      <c r="R1529">
        <v>1</v>
      </c>
      <c r="Y1529">
        <v>1</v>
      </c>
      <c r="AG1529">
        <v>2</v>
      </c>
      <c r="AT1529">
        <v>1</v>
      </c>
      <c r="BA1529">
        <f>SUM(Pre[[#This Row],[1]:[46]])</f>
        <v>6</v>
      </c>
    </row>
    <row r="1530" spans="1:53" x14ac:dyDescent="0.2">
      <c r="A1530" t="s">
        <v>56</v>
      </c>
      <c r="B1530" t="s">
        <v>54</v>
      </c>
      <c r="C1530">
        <v>14356</v>
      </c>
      <c r="D1530" t="s">
        <v>7</v>
      </c>
      <c r="E1530" t="s">
        <v>8</v>
      </c>
      <c r="F1530" t="s">
        <v>9</v>
      </c>
      <c r="N1530">
        <v>1</v>
      </c>
      <c r="Q1530">
        <v>1</v>
      </c>
      <c r="R1530">
        <v>1</v>
      </c>
      <c r="Z1530">
        <v>1</v>
      </c>
      <c r="AP1530">
        <v>3</v>
      </c>
      <c r="BA1530">
        <f>SUM(Pre[[#This Row],[1]:[46]])</f>
        <v>7</v>
      </c>
    </row>
    <row r="1531" spans="1:53" x14ac:dyDescent="0.2">
      <c r="A1531" t="s">
        <v>56</v>
      </c>
      <c r="B1531" t="s">
        <v>54</v>
      </c>
      <c r="C1531">
        <v>14448</v>
      </c>
      <c r="D1531" t="s">
        <v>7</v>
      </c>
      <c r="E1531" t="s">
        <v>26</v>
      </c>
      <c r="F1531" t="s">
        <v>27</v>
      </c>
      <c r="U1531">
        <v>1</v>
      </c>
      <c r="AG1531">
        <v>1</v>
      </c>
      <c r="AU1531">
        <v>1</v>
      </c>
      <c r="BA1531">
        <f>SUM(Pre[[#This Row],[1]:[46]])</f>
        <v>3</v>
      </c>
    </row>
    <row r="1532" spans="1:53" x14ac:dyDescent="0.2">
      <c r="A1532" t="s">
        <v>56</v>
      </c>
      <c r="B1532" t="s">
        <v>54</v>
      </c>
      <c r="C1532">
        <v>19728</v>
      </c>
      <c r="D1532" t="s">
        <v>7</v>
      </c>
      <c r="E1532" t="s">
        <v>8</v>
      </c>
      <c r="F1532" t="s">
        <v>23</v>
      </c>
      <c r="R1532">
        <v>1</v>
      </c>
      <c r="AH1532">
        <v>1</v>
      </c>
      <c r="AV1532">
        <v>1</v>
      </c>
      <c r="BA1532">
        <f>SUM(Pre[[#This Row],[1]:[46]])</f>
        <v>3</v>
      </c>
    </row>
    <row r="1533" spans="1:53" x14ac:dyDescent="0.2">
      <c r="A1533" t="s">
        <v>56</v>
      </c>
      <c r="B1533" t="s">
        <v>54</v>
      </c>
      <c r="C1533">
        <v>20502</v>
      </c>
      <c r="D1533" t="s">
        <v>7</v>
      </c>
      <c r="E1533" t="s">
        <v>8</v>
      </c>
      <c r="F1533" t="s">
        <v>9</v>
      </c>
      <c r="L1533">
        <v>1</v>
      </c>
      <c r="BA1533">
        <f>SUM(Pre[[#This Row],[1]:[46]])</f>
        <v>1</v>
      </c>
    </row>
    <row r="1534" spans="1:53" x14ac:dyDescent="0.2">
      <c r="A1534" t="s">
        <v>56</v>
      </c>
      <c r="B1534" t="s">
        <v>54</v>
      </c>
      <c r="C1534">
        <v>30582</v>
      </c>
      <c r="D1534" t="s">
        <v>7</v>
      </c>
      <c r="E1534" t="s">
        <v>37</v>
      </c>
      <c r="F1534" t="s">
        <v>38</v>
      </c>
      <c r="K1534">
        <v>1</v>
      </c>
      <c r="BA1534">
        <f>SUM(Pre[[#This Row],[1]:[46]])</f>
        <v>1</v>
      </c>
    </row>
    <row r="1535" spans="1:53" x14ac:dyDescent="0.2">
      <c r="A1535" t="s">
        <v>56</v>
      </c>
      <c r="B1535" t="s">
        <v>54</v>
      </c>
      <c r="C1535">
        <v>30582</v>
      </c>
      <c r="D1535" t="s">
        <v>7</v>
      </c>
      <c r="E1535" t="s">
        <v>37</v>
      </c>
      <c r="F1535" t="s">
        <v>49</v>
      </c>
      <c r="V1535">
        <v>1</v>
      </c>
      <c r="AE1535">
        <v>1</v>
      </c>
      <c r="AM1535">
        <v>2</v>
      </c>
      <c r="AU1535">
        <v>2</v>
      </c>
      <c r="BA1535">
        <f>SUM(Pre[[#This Row],[1]:[46]])</f>
        <v>6</v>
      </c>
    </row>
    <row r="1536" spans="1:53" x14ac:dyDescent="0.2">
      <c r="A1536" t="s">
        <v>56</v>
      </c>
      <c r="B1536" t="s">
        <v>54</v>
      </c>
      <c r="C1536">
        <v>30582</v>
      </c>
      <c r="D1536" t="s">
        <v>7</v>
      </c>
      <c r="E1536" t="s">
        <v>8</v>
      </c>
      <c r="F1536" t="s">
        <v>30</v>
      </c>
      <c r="BA1536">
        <f>SUM(Pre[[#This Row],[1]:[46]])</f>
        <v>0</v>
      </c>
    </row>
    <row r="1537" spans="1:53" x14ac:dyDescent="0.2">
      <c r="A1537" t="s">
        <v>56</v>
      </c>
      <c r="B1537" t="s">
        <v>54</v>
      </c>
      <c r="C1537">
        <v>31201</v>
      </c>
      <c r="D1537" t="s">
        <v>7</v>
      </c>
      <c r="E1537" t="s">
        <v>8</v>
      </c>
      <c r="F1537" t="s">
        <v>9</v>
      </c>
      <c r="BA1537">
        <f>SUM(Pre[[#This Row],[1]:[46]])</f>
        <v>0</v>
      </c>
    </row>
    <row r="1538" spans="1:53" x14ac:dyDescent="0.2">
      <c r="A1538" t="s">
        <v>56</v>
      </c>
      <c r="B1538" t="s">
        <v>54</v>
      </c>
      <c r="C1538">
        <v>1646</v>
      </c>
      <c r="D1538" t="s">
        <v>22</v>
      </c>
      <c r="E1538" t="s">
        <v>8</v>
      </c>
      <c r="F1538" t="s">
        <v>23</v>
      </c>
      <c r="N1538">
        <v>1</v>
      </c>
      <c r="AK1538">
        <v>1</v>
      </c>
      <c r="AY1538">
        <v>1</v>
      </c>
      <c r="BA1538">
        <f>SUM(Pre[[#This Row],[1]:[46]])</f>
        <v>3</v>
      </c>
    </row>
    <row r="1539" spans="1:53" x14ac:dyDescent="0.2">
      <c r="A1539" t="s">
        <v>56</v>
      </c>
      <c r="B1539" t="s">
        <v>54</v>
      </c>
      <c r="C1539">
        <v>2157</v>
      </c>
      <c r="D1539" t="s">
        <v>22</v>
      </c>
      <c r="E1539" t="s">
        <v>8</v>
      </c>
      <c r="F1539" t="s">
        <v>23</v>
      </c>
      <c r="N1539">
        <v>1</v>
      </c>
      <c r="V1539">
        <v>1</v>
      </c>
      <c r="Z1539">
        <v>1</v>
      </c>
      <c r="AP1539">
        <v>1</v>
      </c>
      <c r="BA1539">
        <f>SUM(Pre[[#This Row],[1]:[46]])</f>
        <v>4</v>
      </c>
    </row>
    <row r="1540" spans="1:53" x14ac:dyDescent="0.2">
      <c r="A1540" t="s">
        <v>56</v>
      </c>
      <c r="B1540" t="s">
        <v>54</v>
      </c>
      <c r="C1540">
        <v>6746</v>
      </c>
      <c r="D1540" t="s">
        <v>22</v>
      </c>
      <c r="E1540" t="s">
        <v>8</v>
      </c>
      <c r="F1540" t="s">
        <v>9</v>
      </c>
      <c r="O1540">
        <v>1</v>
      </c>
      <c r="AB1540">
        <v>1</v>
      </c>
      <c r="AF1540">
        <v>1</v>
      </c>
      <c r="AO1540">
        <v>1</v>
      </c>
      <c r="BA1540">
        <f>SUM(Pre[[#This Row],[1]:[46]])</f>
        <v>4</v>
      </c>
    </row>
    <row r="1541" spans="1:53" x14ac:dyDescent="0.2">
      <c r="A1541" t="s">
        <v>56</v>
      </c>
      <c r="B1541" t="s">
        <v>54</v>
      </c>
      <c r="C1541">
        <v>31349</v>
      </c>
      <c r="D1541" t="s">
        <v>22</v>
      </c>
      <c r="E1541" t="s">
        <v>8</v>
      </c>
      <c r="F1541" t="s">
        <v>30</v>
      </c>
      <c r="P1541">
        <v>1</v>
      </c>
      <c r="AC1541">
        <v>1</v>
      </c>
      <c r="AP1541">
        <v>1</v>
      </c>
      <c r="BA1541">
        <f>SUM(Pre[[#This Row],[1]:[46]])</f>
        <v>3</v>
      </c>
    </row>
    <row r="1542" spans="1:53" x14ac:dyDescent="0.2">
      <c r="A1542" t="s">
        <v>57</v>
      </c>
      <c r="B1542" t="s">
        <v>54</v>
      </c>
      <c r="C1542">
        <v>1865</v>
      </c>
      <c r="D1542" t="s">
        <v>7</v>
      </c>
      <c r="E1542" t="s">
        <v>14</v>
      </c>
      <c r="F1542" t="s">
        <v>31</v>
      </c>
      <c r="BA1542">
        <f>SUM(Pre[[#This Row],[1]:[46]])</f>
        <v>0</v>
      </c>
    </row>
    <row r="1543" spans="1:53" x14ac:dyDescent="0.2">
      <c r="A1543" t="s">
        <v>57</v>
      </c>
      <c r="B1543" t="s">
        <v>54</v>
      </c>
      <c r="C1543">
        <v>1865</v>
      </c>
      <c r="D1543" t="s">
        <v>7</v>
      </c>
      <c r="E1543" t="s">
        <v>14</v>
      </c>
      <c r="F1543" t="s">
        <v>19</v>
      </c>
      <c r="AC1543">
        <v>1</v>
      </c>
      <c r="BA1543">
        <f>SUM(Pre[[#This Row],[1]:[46]])</f>
        <v>1</v>
      </c>
    </row>
    <row r="1544" spans="1:53" x14ac:dyDescent="0.2">
      <c r="A1544" t="s">
        <v>57</v>
      </c>
      <c r="B1544" t="s">
        <v>54</v>
      </c>
      <c r="C1544">
        <v>3556</v>
      </c>
      <c r="D1544" t="s">
        <v>7</v>
      </c>
      <c r="E1544" t="s">
        <v>14</v>
      </c>
      <c r="F1544" t="s">
        <v>35</v>
      </c>
      <c r="R1544">
        <v>6</v>
      </c>
      <c r="U1544">
        <v>2</v>
      </c>
      <c r="Y1544">
        <v>2</v>
      </c>
      <c r="AC1544">
        <v>2</v>
      </c>
      <c r="AD1544">
        <v>2</v>
      </c>
      <c r="AF1544">
        <v>2</v>
      </c>
      <c r="AH1544">
        <v>2</v>
      </c>
      <c r="AK1544">
        <v>2</v>
      </c>
      <c r="AL1544">
        <v>2</v>
      </c>
      <c r="AN1544">
        <v>2</v>
      </c>
      <c r="AP1544">
        <v>2</v>
      </c>
      <c r="AR1544">
        <v>2</v>
      </c>
      <c r="AT1544">
        <v>2</v>
      </c>
      <c r="AV1544">
        <v>2</v>
      </c>
      <c r="AX1544">
        <v>2</v>
      </c>
      <c r="AZ1544">
        <v>2</v>
      </c>
      <c r="BA1544">
        <f>SUM(Pre[[#This Row],[1]:[46]])</f>
        <v>36</v>
      </c>
    </row>
    <row r="1545" spans="1:53" x14ac:dyDescent="0.2">
      <c r="A1545" t="s">
        <v>57</v>
      </c>
      <c r="B1545" t="s">
        <v>54</v>
      </c>
      <c r="C1545">
        <v>3812</v>
      </c>
      <c r="D1545" t="s">
        <v>7</v>
      </c>
      <c r="E1545" t="s">
        <v>10</v>
      </c>
      <c r="F1545" t="s">
        <v>11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f>SUM(Pre[[#This Row],[1]:[46]])</f>
        <v>46</v>
      </c>
    </row>
    <row r="1546" spans="1:53" x14ac:dyDescent="0.2">
      <c r="A1546" t="s">
        <v>57</v>
      </c>
      <c r="B1546" t="s">
        <v>54</v>
      </c>
      <c r="C1546">
        <v>4951</v>
      </c>
      <c r="D1546" t="s">
        <v>7</v>
      </c>
      <c r="E1546" t="s">
        <v>8</v>
      </c>
      <c r="F1546" t="s">
        <v>23</v>
      </c>
      <c r="K1546">
        <v>1</v>
      </c>
      <c r="BA1546">
        <f>SUM(Pre[[#This Row],[1]:[46]])</f>
        <v>1</v>
      </c>
    </row>
    <row r="1547" spans="1:53" x14ac:dyDescent="0.2">
      <c r="A1547" t="s">
        <v>57</v>
      </c>
      <c r="B1547" t="s">
        <v>54</v>
      </c>
      <c r="C1547">
        <v>5258</v>
      </c>
      <c r="D1547" t="s">
        <v>7</v>
      </c>
      <c r="E1547" t="s">
        <v>8</v>
      </c>
      <c r="F1547" t="s">
        <v>30</v>
      </c>
      <c r="H1547">
        <v>1</v>
      </c>
      <c r="V1547">
        <v>1</v>
      </c>
      <c r="AZ1547">
        <v>1</v>
      </c>
      <c r="BA1547">
        <f>SUM(Pre[[#This Row],[1]:[46]])</f>
        <v>3</v>
      </c>
    </row>
    <row r="1548" spans="1:53" x14ac:dyDescent="0.2">
      <c r="A1548" t="s">
        <v>57</v>
      </c>
      <c r="B1548" t="s">
        <v>54</v>
      </c>
      <c r="C1548">
        <v>5872</v>
      </c>
      <c r="D1548" t="s">
        <v>7</v>
      </c>
      <c r="E1548" t="s">
        <v>8</v>
      </c>
      <c r="F1548" t="s">
        <v>23</v>
      </c>
      <c r="O1548">
        <v>1</v>
      </c>
      <c r="T1548">
        <v>1</v>
      </c>
      <c r="AJ1548">
        <v>2</v>
      </c>
      <c r="AV1548">
        <v>1</v>
      </c>
      <c r="BA1548">
        <f>SUM(Pre[[#This Row],[1]:[46]])</f>
        <v>5</v>
      </c>
    </row>
    <row r="1549" spans="1:53" x14ac:dyDescent="0.2">
      <c r="A1549" t="s">
        <v>57</v>
      </c>
      <c r="B1549" t="s">
        <v>54</v>
      </c>
      <c r="C1549">
        <v>5872</v>
      </c>
      <c r="D1549" t="s">
        <v>7</v>
      </c>
      <c r="E1549" t="s">
        <v>14</v>
      </c>
      <c r="F1549" t="s">
        <v>19</v>
      </c>
      <c r="T1549">
        <v>1</v>
      </c>
      <c r="AC1549">
        <v>1</v>
      </c>
      <c r="AJ1549">
        <v>2</v>
      </c>
      <c r="BA1549">
        <f>SUM(Pre[[#This Row],[1]:[46]])</f>
        <v>4</v>
      </c>
    </row>
    <row r="1550" spans="1:53" x14ac:dyDescent="0.2">
      <c r="A1550" t="s">
        <v>57</v>
      </c>
      <c r="B1550" t="s">
        <v>54</v>
      </c>
      <c r="C1550">
        <v>7244</v>
      </c>
      <c r="D1550" t="s">
        <v>7</v>
      </c>
      <c r="E1550" t="s">
        <v>14</v>
      </c>
      <c r="F1550" t="s">
        <v>31</v>
      </c>
      <c r="BA1550">
        <f>SUM(Pre[[#This Row],[1]:[46]])</f>
        <v>0</v>
      </c>
    </row>
    <row r="1551" spans="1:53" x14ac:dyDescent="0.2">
      <c r="A1551" t="s">
        <v>57</v>
      </c>
      <c r="B1551" t="s">
        <v>54</v>
      </c>
      <c r="C1551">
        <v>8050</v>
      </c>
      <c r="D1551" t="s">
        <v>7</v>
      </c>
      <c r="E1551" t="s">
        <v>14</v>
      </c>
      <c r="F1551" t="s">
        <v>21</v>
      </c>
      <c r="H1551">
        <v>1</v>
      </c>
      <c r="P1551">
        <v>1</v>
      </c>
      <c r="T1551">
        <v>1</v>
      </c>
      <c r="AG1551">
        <v>1</v>
      </c>
      <c r="AU1551">
        <v>1</v>
      </c>
      <c r="BA1551">
        <f>SUM(Pre[[#This Row],[1]:[46]])</f>
        <v>5</v>
      </c>
    </row>
    <row r="1552" spans="1:53" x14ac:dyDescent="0.2">
      <c r="A1552" t="s">
        <v>57</v>
      </c>
      <c r="B1552" t="s">
        <v>54</v>
      </c>
      <c r="C1552">
        <v>8591</v>
      </c>
      <c r="D1552" t="s">
        <v>7</v>
      </c>
      <c r="E1552" t="s">
        <v>14</v>
      </c>
      <c r="F1552" t="s">
        <v>20</v>
      </c>
      <c r="AC1552">
        <v>1</v>
      </c>
      <c r="AZ1552">
        <v>1</v>
      </c>
      <c r="BA1552">
        <f>SUM(Pre[[#This Row],[1]:[46]])</f>
        <v>2</v>
      </c>
    </row>
    <row r="1553" spans="1:53" x14ac:dyDescent="0.2">
      <c r="A1553" t="s">
        <v>57</v>
      </c>
      <c r="B1553" t="s">
        <v>54</v>
      </c>
      <c r="C1553">
        <v>11345</v>
      </c>
      <c r="D1553" t="s">
        <v>7</v>
      </c>
      <c r="E1553" t="s">
        <v>8</v>
      </c>
      <c r="F1553" t="s">
        <v>23</v>
      </c>
      <c r="X1553">
        <v>1</v>
      </c>
      <c r="AC1553">
        <v>1</v>
      </c>
      <c r="AK1553">
        <v>1</v>
      </c>
      <c r="AW1553">
        <v>2</v>
      </c>
      <c r="BA1553">
        <f>SUM(Pre[[#This Row],[1]:[46]])</f>
        <v>5</v>
      </c>
    </row>
    <row r="1554" spans="1:53" x14ac:dyDescent="0.2">
      <c r="A1554" t="s">
        <v>57</v>
      </c>
      <c r="B1554" t="s">
        <v>54</v>
      </c>
      <c r="C1554">
        <v>11345</v>
      </c>
      <c r="D1554" t="s">
        <v>7</v>
      </c>
      <c r="E1554" t="s">
        <v>8</v>
      </c>
      <c r="F1554" t="s">
        <v>9</v>
      </c>
      <c r="BA1554">
        <f>SUM(Pre[[#This Row],[1]:[46]])</f>
        <v>0</v>
      </c>
    </row>
    <row r="1555" spans="1:53" x14ac:dyDescent="0.2">
      <c r="A1555" t="s">
        <v>57</v>
      </c>
      <c r="B1555" t="s">
        <v>54</v>
      </c>
      <c r="C1555">
        <v>11359</v>
      </c>
      <c r="D1555" t="s">
        <v>7</v>
      </c>
      <c r="E1555" t="s">
        <v>14</v>
      </c>
      <c r="F1555" t="s">
        <v>20</v>
      </c>
      <c r="O1555">
        <v>1</v>
      </c>
      <c r="AA1555">
        <v>1</v>
      </c>
      <c r="AL1555">
        <v>1</v>
      </c>
      <c r="BA1555">
        <f>SUM(Pre[[#This Row],[1]:[46]])</f>
        <v>3</v>
      </c>
    </row>
    <row r="1556" spans="1:53" x14ac:dyDescent="0.2">
      <c r="A1556" t="s">
        <v>57</v>
      </c>
      <c r="B1556" t="s">
        <v>54</v>
      </c>
      <c r="C1556">
        <v>15147</v>
      </c>
      <c r="D1556" t="s">
        <v>7</v>
      </c>
      <c r="E1556" t="s">
        <v>14</v>
      </c>
      <c r="F1556" t="s">
        <v>20</v>
      </c>
      <c r="O1556">
        <v>1</v>
      </c>
      <c r="V1556">
        <v>1</v>
      </c>
      <c r="AB1556">
        <v>1</v>
      </c>
      <c r="AZ1556">
        <v>1</v>
      </c>
      <c r="BA1556">
        <f>SUM(Pre[[#This Row],[1]:[46]])</f>
        <v>4</v>
      </c>
    </row>
    <row r="1557" spans="1:53" x14ac:dyDescent="0.2">
      <c r="A1557" t="s">
        <v>57</v>
      </c>
      <c r="B1557" t="s">
        <v>54</v>
      </c>
      <c r="C1557">
        <v>20597</v>
      </c>
      <c r="D1557" t="s">
        <v>7</v>
      </c>
      <c r="E1557" t="s">
        <v>10</v>
      </c>
      <c r="F1557" t="s">
        <v>11</v>
      </c>
      <c r="T1557">
        <v>1</v>
      </c>
      <c r="AF1557">
        <v>1</v>
      </c>
      <c r="AW1557">
        <v>1</v>
      </c>
      <c r="BA1557">
        <f>SUM(Pre[[#This Row],[1]:[46]])</f>
        <v>3</v>
      </c>
    </row>
    <row r="1558" spans="1:53" x14ac:dyDescent="0.2">
      <c r="A1558" t="s">
        <v>57</v>
      </c>
      <c r="B1558" t="s">
        <v>54</v>
      </c>
      <c r="C1558">
        <v>20597</v>
      </c>
      <c r="D1558" t="s">
        <v>7</v>
      </c>
      <c r="E1558" t="s">
        <v>8</v>
      </c>
      <c r="F1558" t="s">
        <v>23</v>
      </c>
      <c r="H1558">
        <v>1</v>
      </c>
      <c r="T1558">
        <v>1</v>
      </c>
      <c r="AF1558">
        <v>1</v>
      </c>
      <c r="BA1558">
        <f>SUM(Pre[[#This Row],[1]:[46]])</f>
        <v>3</v>
      </c>
    </row>
    <row r="1559" spans="1:53" x14ac:dyDescent="0.2">
      <c r="A1559" t="s">
        <v>57</v>
      </c>
      <c r="B1559" t="s">
        <v>54</v>
      </c>
      <c r="C1559">
        <v>25633</v>
      </c>
      <c r="D1559" t="s">
        <v>7</v>
      </c>
      <c r="E1559" t="s">
        <v>10</v>
      </c>
      <c r="F1559" t="s">
        <v>11</v>
      </c>
      <c r="T1559">
        <v>2</v>
      </c>
      <c r="AJ1559">
        <v>1</v>
      </c>
      <c r="AY1559">
        <v>1</v>
      </c>
      <c r="BA1559">
        <f>SUM(Pre[[#This Row],[1]:[46]])</f>
        <v>4</v>
      </c>
    </row>
    <row r="1560" spans="1:53" x14ac:dyDescent="0.2">
      <c r="A1560" t="s">
        <v>57</v>
      </c>
      <c r="B1560" t="s">
        <v>54</v>
      </c>
      <c r="C1560">
        <v>25633</v>
      </c>
      <c r="D1560" t="s">
        <v>7</v>
      </c>
      <c r="E1560" t="s">
        <v>14</v>
      </c>
      <c r="F1560" t="s">
        <v>20</v>
      </c>
      <c r="K1560">
        <v>1</v>
      </c>
      <c r="U1560">
        <v>1</v>
      </c>
      <c r="BA1560">
        <f>SUM(Pre[[#This Row],[1]:[46]])</f>
        <v>2</v>
      </c>
    </row>
    <row r="1561" spans="1:53" x14ac:dyDescent="0.2">
      <c r="A1561" t="s">
        <v>57</v>
      </c>
      <c r="B1561" t="s">
        <v>54</v>
      </c>
      <c r="C1561">
        <v>26479</v>
      </c>
      <c r="D1561" t="s">
        <v>7</v>
      </c>
      <c r="E1561" t="s">
        <v>14</v>
      </c>
      <c r="F1561" t="s">
        <v>20</v>
      </c>
      <c r="BA1561">
        <f>SUM(Pre[[#This Row],[1]:[46]])</f>
        <v>0</v>
      </c>
    </row>
    <row r="1562" spans="1:53" x14ac:dyDescent="0.2">
      <c r="A1562" t="s">
        <v>57</v>
      </c>
      <c r="B1562" t="s">
        <v>54</v>
      </c>
      <c r="C1562">
        <v>26618</v>
      </c>
      <c r="D1562" t="s">
        <v>7</v>
      </c>
      <c r="E1562" t="s">
        <v>10</v>
      </c>
      <c r="F1562" t="s">
        <v>11</v>
      </c>
      <c r="BA1562">
        <f>SUM(Pre[[#This Row],[1]:[46]])</f>
        <v>0</v>
      </c>
    </row>
    <row r="1563" spans="1:53" x14ac:dyDescent="0.2">
      <c r="A1563" t="s">
        <v>57</v>
      </c>
      <c r="B1563" t="s">
        <v>54</v>
      </c>
      <c r="C1563">
        <v>26862</v>
      </c>
      <c r="D1563" t="s">
        <v>7</v>
      </c>
      <c r="E1563" t="s">
        <v>14</v>
      </c>
      <c r="F1563" t="s">
        <v>19</v>
      </c>
      <c r="G1563">
        <v>1</v>
      </c>
      <c r="S1563">
        <v>1</v>
      </c>
      <c r="AE1563">
        <v>1</v>
      </c>
      <c r="AT1563">
        <v>1</v>
      </c>
      <c r="BA1563">
        <f>SUM(Pre[[#This Row],[1]:[46]])</f>
        <v>4</v>
      </c>
    </row>
    <row r="1564" spans="1:53" x14ac:dyDescent="0.2">
      <c r="A1564" t="s">
        <v>57</v>
      </c>
      <c r="B1564" t="s">
        <v>54</v>
      </c>
      <c r="C1564">
        <v>29207</v>
      </c>
      <c r="D1564" t="s">
        <v>7</v>
      </c>
      <c r="E1564" t="s">
        <v>8</v>
      </c>
      <c r="F1564" t="s">
        <v>23</v>
      </c>
      <c r="U1564">
        <v>1</v>
      </c>
      <c r="AL1564">
        <v>1</v>
      </c>
      <c r="AP1564">
        <v>1</v>
      </c>
      <c r="AW1564">
        <v>1</v>
      </c>
      <c r="BA1564">
        <f>SUM(Pre[[#This Row],[1]:[46]])</f>
        <v>4</v>
      </c>
    </row>
    <row r="1565" spans="1:53" x14ac:dyDescent="0.2">
      <c r="A1565" t="s">
        <v>57</v>
      </c>
      <c r="B1565" t="s">
        <v>54</v>
      </c>
      <c r="C1565">
        <v>31437</v>
      </c>
      <c r="D1565" t="s">
        <v>7</v>
      </c>
      <c r="E1565" t="s">
        <v>14</v>
      </c>
      <c r="F1565" t="s">
        <v>21</v>
      </c>
      <c r="R1565">
        <v>1</v>
      </c>
      <c r="BA1565">
        <f>SUM(Pre[[#This Row],[1]:[46]])</f>
        <v>1</v>
      </c>
    </row>
    <row r="1566" spans="1:53" x14ac:dyDescent="0.2">
      <c r="A1566" t="s">
        <v>57</v>
      </c>
      <c r="B1566" t="s">
        <v>54</v>
      </c>
      <c r="C1566">
        <v>33049</v>
      </c>
      <c r="D1566" t="s">
        <v>7</v>
      </c>
      <c r="E1566" t="s">
        <v>10</v>
      </c>
      <c r="F1566" t="s">
        <v>11</v>
      </c>
      <c r="H1566">
        <v>2</v>
      </c>
      <c r="M1566">
        <v>1</v>
      </c>
      <c r="BA1566">
        <f>SUM(Pre[[#This Row],[1]:[46]])</f>
        <v>3</v>
      </c>
    </row>
    <row r="1567" spans="1:53" x14ac:dyDescent="0.2">
      <c r="A1567" t="s">
        <v>57</v>
      </c>
      <c r="B1567" t="s">
        <v>54</v>
      </c>
      <c r="C1567">
        <v>33049</v>
      </c>
      <c r="D1567" t="s">
        <v>7</v>
      </c>
      <c r="E1567" t="s">
        <v>14</v>
      </c>
      <c r="F1567" t="s">
        <v>19</v>
      </c>
      <c r="I1567">
        <v>1</v>
      </c>
      <c r="BA1567">
        <f>SUM(Pre[[#This Row],[1]:[46]])</f>
        <v>1</v>
      </c>
    </row>
    <row r="1568" spans="1:53" x14ac:dyDescent="0.2">
      <c r="A1568" t="s">
        <v>57</v>
      </c>
      <c r="B1568" t="s">
        <v>54</v>
      </c>
      <c r="C1568">
        <v>303</v>
      </c>
      <c r="D1568" t="s">
        <v>22</v>
      </c>
      <c r="E1568" t="s">
        <v>14</v>
      </c>
      <c r="F1568" t="s">
        <v>21</v>
      </c>
      <c r="Y1568">
        <v>1</v>
      </c>
      <c r="AE1568">
        <v>1</v>
      </c>
      <c r="AN1568">
        <v>1</v>
      </c>
      <c r="AT1568">
        <v>1</v>
      </c>
      <c r="BA1568">
        <f>SUM(Pre[[#This Row],[1]:[46]])</f>
        <v>4</v>
      </c>
    </row>
    <row r="1569" spans="1:53" x14ac:dyDescent="0.2">
      <c r="A1569" t="s">
        <v>57</v>
      </c>
      <c r="B1569" t="s">
        <v>54</v>
      </c>
      <c r="C1569">
        <v>534</v>
      </c>
      <c r="D1569" t="s">
        <v>22</v>
      </c>
      <c r="E1569" t="s">
        <v>10</v>
      </c>
      <c r="F1569" t="s">
        <v>11</v>
      </c>
      <c r="AJ1569">
        <v>1</v>
      </c>
      <c r="AO1569">
        <v>1</v>
      </c>
      <c r="AS1569">
        <v>1</v>
      </c>
      <c r="AW1569">
        <v>1</v>
      </c>
      <c r="BA1569">
        <f>SUM(Pre[[#This Row],[1]:[46]])</f>
        <v>4</v>
      </c>
    </row>
    <row r="1570" spans="1:53" x14ac:dyDescent="0.2">
      <c r="A1570" t="s">
        <v>57</v>
      </c>
      <c r="B1570" t="s">
        <v>54</v>
      </c>
      <c r="C1570">
        <v>1038</v>
      </c>
      <c r="D1570" t="s">
        <v>22</v>
      </c>
      <c r="E1570" t="s">
        <v>14</v>
      </c>
      <c r="F1570" t="s">
        <v>35</v>
      </c>
      <c r="AS1570">
        <v>2</v>
      </c>
      <c r="AT1570">
        <v>3</v>
      </c>
      <c r="AW1570">
        <v>1</v>
      </c>
      <c r="BA1570">
        <f>SUM(Pre[[#This Row],[1]:[46]])</f>
        <v>6</v>
      </c>
    </row>
    <row r="1571" spans="1:53" x14ac:dyDescent="0.2">
      <c r="A1571" t="s">
        <v>57</v>
      </c>
      <c r="B1571" t="s">
        <v>54</v>
      </c>
      <c r="C1571">
        <v>1081</v>
      </c>
      <c r="D1571" t="s">
        <v>22</v>
      </c>
      <c r="E1571" t="s">
        <v>14</v>
      </c>
      <c r="F1571" t="s">
        <v>35</v>
      </c>
      <c r="O1571">
        <v>2</v>
      </c>
      <c r="BA1571">
        <f>SUM(Pre[[#This Row],[1]:[46]])</f>
        <v>2</v>
      </c>
    </row>
    <row r="1572" spans="1:53" x14ac:dyDescent="0.2">
      <c r="A1572" t="s">
        <v>57</v>
      </c>
      <c r="B1572" t="s">
        <v>54</v>
      </c>
      <c r="C1572">
        <v>1231</v>
      </c>
      <c r="D1572" t="s">
        <v>22</v>
      </c>
      <c r="E1572" t="s">
        <v>14</v>
      </c>
      <c r="F1572" t="s">
        <v>19</v>
      </c>
      <c r="BA1572">
        <f>SUM(Pre[[#This Row],[1]:[46]])</f>
        <v>0</v>
      </c>
    </row>
    <row r="1573" spans="1:53" x14ac:dyDescent="0.2">
      <c r="A1573" t="s">
        <v>57</v>
      </c>
      <c r="B1573" t="s">
        <v>54</v>
      </c>
      <c r="C1573">
        <v>1231</v>
      </c>
      <c r="D1573" t="s">
        <v>22</v>
      </c>
      <c r="E1573" t="s">
        <v>14</v>
      </c>
      <c r="F1573" t="s">
        <v>20</v>
      </c>
      <c r="J1573">
        <v>1</v>
      </c>
      <c r="R1573">
        <v>1</v>
      </c>
      <c r="AD1573">
        <v>7</v>
      </c>
      <c r="BA1573">
        <f>SUM(Pre[[#This Row],[1]:[46]])</f>
        <v>9</v>
      </c>
    </row>
    <row r="1574" spans="1:53" x14ac:dyDescent="0.2">
      <c r="A1574" t="s">
        <v>57</v>
      </c>
      <c r="B1574" t="s">
        <v>54</v>
      </c>
      <c r="C1574">
        <v>5392</v>
      </c>
      <c r="D1574" t="s">
        <v>22</v>
      </c>
      <c r="E1574" t="s">
        <v>8</v>
      </c>
      <c r="F1574" t="s">
        <v>23</v>
      </c>
      <c r="P1574">
        <v>1</v>
      </c>
      <c r="AC1574">
        <v>1</v>
      </c>
      <c r="AQ1574">
        <v>1</v>
      </c>
      <c r="BA1574">
        <f>SUM(Pre[[#This Row],[1]:[46]])</f>
        <v>3</v>
      </c>
    </row>
    <row r="1575" spans="1:53" x14ac:dyDescent="0.2">
      <c r="A1575" t="s">
        <v>57</v>
      </c>
      <c r="B1575" t="s">
        <v>54</v>
      </c>
      <c r="C1575">
        <v>5871</v>
      </c>
      <c r="D1575" t="s">
        <v>22</v>
      </c>
      <c r="E1575" t="s">
        <v>8</v>
      </c>
      <c r="F1575" t="s">
        <v>23</v>
      </c>
      <c r="Q1575">
        <v>1</v>
      </c>
      <c r="AC1575">
        <v>1</v>
      </c>
      <c r="AQ1575">
        <v>1</v>
      </c>
      <c r="BA1575">
        <f>SUM(Pre[[#This Row],[1]:[46]])</f>
        <v>3</v>
      </c>
    </row>
    <row r="1576" spans="1:53" x14ac:dyDescent="0.2">
      <c r="A1576" t="s">
        <v>57</v>
      </c>
      <c r="B1576" t="s">
        <v>54</v>
      </c>
      <c r="C1576">
        <v>6077</v>
      </c>
      <c r="D1576" t="s">
        <v>22</v>
      </c>
      <c r="E1576" t="s">
        <v>8</v>
      </c>
      <c r="F1576" t="s">
        <v>23</v>
      </c>
      <c r="I1576">
        <v>1</v>
      </c>
      <c r="N1576">
        <v>2</v>
      </c>
      <c r="R1576">
        <v>1</v>
      </c>
      <c r="V1576">
        <v>1</v>
      </c>
      <c r="Y1576">
        <v>1</v>
      </c>
      <c r="AC1576">
        <v>1</v>
      </c>
      <c r="AG1576">
        <v>3</v>
      </c>
      <c r="BA1576">
        <f>SUM(Pre[[#This Row],[1]:[46]])</f>
        <v>10</v>
      </c>
    </row>
    <row r="1577" spans="1:53" x14ac:dyDescent="0.2">
      <c r="A1577" t="s">
        <v>57</v>
      </c>
      <c r="B1577" t="s">
        <v>54</v>
      </c>
      <c r="C1577">
        <v>8076</v>
      </c>
      <c r="D1577" t="s">
        <v>22</v>
      </c>
      <c r="E1577" t="s">
        <v>8</v>
      </c>
      <c r="F1577" t="s">
        <v>23</v>
      </c>
      <c r="P1577">
        <v>2</v>
      </c>
      <c r="AC1577">
        <v>1</v>
      </c>
      <c r="AV1577">
        <v>1</v>
      </c>
      <c r="BA1577">
        <f>SUM(Pre[[#This Row],[1]:[46]])</f>
        <v>4</v>
      </c>
    </row>
    <row r="1578" spans="1:53" x14ac:dyDescent="0.2">
      <c r="A1578" t="s">
        <v>57</v>
      </c>
      <c r="B1578" t="s">
        <v>54</v>
      </c>
      <c r="C1578">
        <v>8435</v>
      </c>
      <c r="D1578" t="s">
        <v>22</v>
      </c>
      <c r="E1578" t="s">
        <v>8</v>
      </c>
      <c r="F1578" t="s">
        <v>9</v>
      </c>
      <c r="G1578">
        <v>1</v>
      </c>
      <c r="V1578">
        <v>1</v>
      </c>
      <c r="AI1578">
        <v>1</v>
      </c>
      <c r="AW1578">
        <v>1</v>
      </c>
      <c r="BA1578">
        <f>SUM(Pre[[#This Row],[1]:[46]])</f>
        <v>4</v>
      </c>
    </row>
    <row r="1579" spans="1:53" x14ac:dyDescent="0.2">
      <c r="A1579" t="s">
        <v>57</v>
      </c>
      <c r="B1579" t="s">
        <v>54</v>
      </c>
      <c r="C1579">
        <v>9453</v>
      </c>
      <c r="D1579" t="s">
        <v>22</v>
      </c>
      <c r="E1579" t="s">
        <v>10</v>
      </c>
      <c r="F1579" t="s">
        <v>11</v>
      </c>
      <c r="AQ1579">
        <v>1</v>
      </c>
      <c r="BA1579">
        <f>SUM(Pre[[#This Row],[1]:[46]])</f>
        <v>1</v>
      </c>
    </row>
    <row r="1580" spans="1:53" x14ac:dyDescent="0.2">
      <c r="A1580" t="s">
        <v>57</v>
      </c>
      <c r="B1580" t="s">
        <v>54</v>
      </c>
      <c r="C1580">
        <v>9475</v>
      </c>
      <c r="D1580" t="s">
        <v>22</v>
      </c>
      <c r="E1580" t="s">
        <v>8</v>
      </c>
      <c r="F1580" t="s">
        <v>9</v>
      </c>
      <c r="N1580">
        <v>1</v>
      </c>
      <c r="AA1580">
        <v>1</v>
      </c>
      <c r="AF1580">
        <v>1</v>
      </c>
      <c r="AT1580">
        <v>1</v>
      </c>
      <c r="BA1580">
        <f>SUM(Pre[[#This Row],[1]:[46]])</f>
        <v>4</v>
      </c>
    </row>
    <row r="1581" spans="1:53" x14ac:dyDescent="0.2">
      <c r="A1581" t="s">
        <v>57</v>
      </c>
      <c r="B1581" t="s">
        <v>54</v>
      </c>
      <c r="C1581">
        <v>9694</v>
      </c>
      <c r="D1581" t="s">
        <v>22</v>
      </c>
      <c r="E1581" t="s">
        <v>8</v>
      </c>
      <c r="F1581" t="s">
        <v>9</v>
      </c>
      <c r="O1581">
        <v>1</v>
      </c>
      <c r="AG1581">
        <v>1</v>
      </c>
      <c r="AT1581">
        <v>1</v>
      </c>
      <c r="BA1581">
        <f>SUM(Pre[[#This Row],[1]:[46]])</f>
        <v>3</v>
      </c>
    </row>
    <row r="1582" spans="1:53" x14ac:dyDescent="0.2">
      <c r="A1582" t="s">
        <v>57</v>
      </c>
      <c r="B1582" t="s">
        <v>54</v>
      </c>
      <c r="C1582">
        <v>10126</v>
      </c>
      <c r="D1582" t="s">
        <v>22</v>
      </c>
      <c r="E1582" t="s">
        <v>8</v>
      </c>
      <c r="F1582" t="s">
        <v>23</v>
      </c>
      <c r="U1582">
        <v>1</v>
      </c>
      <c r="AI1582">
        <v>1</v>
      </c>
      <c r="AT1582">
        <v>1</v>
      </c>
      <c r="AW1582">
        <v>2</v>
      </c>
      <c r="BA1582">
        <f>SUM(Pre[[#This Row],[1]:[46]])</f>
        <v>5</v>
      </c>
    </row>
    <row r="1583" spans="1:53" x14ac:dyDescent="0.2">
      <c r="A1583" t="s">
        <v>57</v>
      </c>
      <c r="B1583" t="s">
        <v>54</v>
      </c>
      <c r="C1583">
        <v>10140</v>
      </c>
      <c r="D1583" t="s">
        <v>22</v>
      </c>
      <c r="E1583" t="s">
        <v>10</v>
      </c>
      <c r="F1583" t="s">
        <v>11</v>
      </c>
      <c r="BA1583">
        <f>SUM(Pre[[#This Row],[1]:[46]])</f>
        <v>0</v>
      </c>
    </row>
    <row r="1584" spans="1:53" x14ac:dyDescent="0.2">
      <c r="A1584" t="s">
        <v>57</v>
      </c>
      <c r="B1584" t="s">
        <v>54</v>
      </c>
      <c r="C1584">
        <v>12317</v>
      </c>
      <c r="D1584" t="s">
        <v>22</v>
      </c>
      <c r="E1584" t="s">
        <v>8</v>
      </c>
      <c r="F1584" t="s">
        <v>23</v>
      </c>
      <c r="Q1584">
        <v>1</v>
      </c>
      <c r="AD1584">
        <v>1</v>
      </c>
      <c r="AQ1584">
        <v>1</v>
      </c>
      <c r="AR1584">
        <v>1</v>
      </c>
      <c r="BA1584">
        <f>SUM(Pre[[#This Row],[1]:[46]])</f>
        <v>4</v>
      </c>
    </row>
    <row r="1585" spans="1:53" x14ac:dyDescent="0.2">
      <c r="A1585" t="s">
        <v>57</v>
      </c>
      <c r="B1585" t="s">
        <v>54</v>
      </c>
      <c r="C1585">
        <v>12997</v>
      </c>
      <c r="D1585" t="s">
        <v>22</v>
      </c>
      <c r="E1585" t="s">
        <v>8</v>
      </c>
      <c r="F1585" t="s">
        <v>23</v>
      </c>
      <c r="O1585">
        <v>1</v>
      </c>
      <c r="AB1585">
        <v>2</v>
      </c>
      <c r="AN1585">
        <v>1</v>
      </c>
      <c r="BA1585">
        <f>SUM(Pre[[#This Row],[1]:[46]])</f>
        <v>4</v>
      </c>
    </row>
    <row r="1586" spans="1:53" x14ac:dyDescent="0.2">
      <c r="A1586" t="s">
        <v>57</v>
      </c>
      <c r="B1586" t="s">
        <v>54</v>
      </c>
      <c r="C1586">
        <v>13753</v>
      </c>
      <c r="D1586" t="s">
        <v>22</v>
      </c>
      <c r="E1586" t="s">
        <v>14</v>
      </c>
      <c r="F1586" t="s">
        <v>21</v>
      </c>
      <c r="BA1586">
        <f>SUM(Pre[[#This Row],[1]:[46]])</f>
        <v>0</v>
      </c>
    </row>
    <row r="1587" spans="1:53" x14ac:dyDescent="0.2">
      <c r="A1587" t="s">
        <v>57</v>
      </c>
      <c r="B1587" t="s">
        <v>54</v>
      </c>
      <c r="C1587">
        <v>14747</v>
      </c>
      <c r="D1587" t="s">
        <v>22</v>
      </c>
      <c r="E1587" t="s">
        <v>8</v>
      </c>
      <c r="F1587" t="s">
        <v>23</v>
      </c>
      <c r="S1587">
        <v>1</v>
      </c>
      <c r="AF1587">
        <v>1</v>
      </c>
      <c r="AS1587">
        <v>1</v>
      </c>
      <c r="BA1587">
        <f>SUM(Pre[[#This Row],[1]:[46]])</f>
        <v>3</v>
      </c>
    </row>
    <row r="1588" spans="1:53" x14ac:dyDescent="0.2">
      <c r="A1588" t="s">
        <v>57</v>
      </c>
      <c r="B1588" t="s">
        <v>54</v>
      </c>
      <c r="C1588">
        <v>16091</v>
      </c>
      <c r="D1588" t="s">
        <v>22</v>
      </c>
      <c r="E1588" t="s">
        <v>8</v>
      </c>
      <c r="F1588" t="s">
        <v>23</v>
      </c>
      <c r="AV1588">
        <v>1</v>
      </c>
      <c r="AX1588">
        <v>1</v>
      </c>
      <c r="BA1588">
        <f>SUM(Pre[[#This Row],[1]:[46]])</f>
        <v>2</v>
      </c>
    </row>
    <row r="1589" spans="1:53" x14ac:dyDescent="0.2">
      <c r="A1589" t="s">
        <v>57</v>
      </c>
      <c r="B1589" t="s">
        <v>54</v>
      </c>
      <c r="C1589">
        <v>16645</v>
      </c>
      <c r="D1589" t="s">
        <v>22</v>
      </c>
      <c r="E1589" t="s">
        <v>10</v>
      </c>
      <c r="F1589" t="s">
        <v>11</v>
      </c>
      <c r="H1589">
        <v>1</v>
      </c>
      <c r="AE1589">
        <v>1</v>
      </c>
      <c r="BA1589">
        <f>SUM(Pre[[#This Row],[1]:[46]])</f>
        <v>2</v>
      </c>
    </row>
    <row r="1590" spans="1:53" x14ac:dyDescent="0.2">
      <c r="A1590" t="s">
        <v>57</v>
      </c>
      <c r="B1590" t="s">
        <v>54</v>
      </c>
      <c r="C1590">
        <v>18475</v>
      </c>
      <c r="D1590" t="s">
        <v>22</v>
      </c>
      <c r="E1590" t="s">
        <v>14</v>
      </c>
      <c r="F1590" t="s">
        <v>20</v>
      </c>
      <c r="M1590">
        <v>1</v>
      </c>
      <c r="X1590">
        <v>1</v>
      </c>
      <c r="AO1590">
        <v>1</v>
      </c>
      <c r="BA1590">
        <f>SUM(Pre[[#This Row],[1]:[46]])</f>
        <v>3</v>
      </c>
    </row>
    <row r="1591" spans="1:53" x14ac:dyDescent="0.2">
      <c r="A1591" t="s">
        <v>57</v>
      </c>
      <c r="B1591" t="s">
        <v>54</v>
      </c>
      <c r="C1591">
        <v>18915</v>
      </c>
      <c r="D1591" t="s">
        <v>22</v>
      </c>
      <c r="E1591" t="s">
        <v>8</v>
      </c>
      <c r="F1591" t="s">
        <v>23</v>
      </c>
      <c r="J1591">
        <v>1</v>
      </c>
      <c r="N1591">
        <v>1</v>
      </c>
      <c r="S1591">
        <v>1</v>
      </c>
      <c r="U1591">
        <v>1</v>
      </c>
      <c r="Z1591">
        <v>1</v>
      </c>
      <c r="AD1591">
        <v>1</v>
      </c>
      <c r="AI1591">
        <v>1</v>
      </c>
      <c r="AL1591">
        <v>1</v>
      </c>
      <c r="AO1591">
        <v>1</v>
      </c>
      <c r="AU1591">
        <v>1</v>
      </c>
      <c r="AY1591">
        <v>1</v>
      </c>
      <c r="BA1591">
        <f>SUM(Pre[[#This Row],[1]:[46]])</f>
        <v>11</v>
      </c>
    </row>
    <row r="1592" spans="1:53" x14ac:dyDescent="0.2">
      <c r="A1592" t="s">
        <v>57</v>
      </c>
      <c r="B1592" t="s">
        <v>54</v>
      </c>
      <c r="C1592">
        <v>19498</v>
      </c>
      <c r="D1592" t="s">
        <v>22</v>
      </c>
      <c r="E1592" t="s">
        <v>14</v>
      </c>
      <c r="F1592" t="s">
        <v>20</v>
      </c>
      <c r="N1592">
        <v>1</v>
      </c>
      <c r="BA1592">
        <f>SUM(Pre[[#This Row],[1]:[46]])</f>
        <v>1</v>
      </c>
    </row>
    <row r="1593" spans="1:53" x14ac:dyDescent="0.2">
      <c r="A1593" t="s">
        <v>57</v>
      </c>
      <c r="B1593" t="s">
        <v>54</v>
      </c>
      <c r="C1593">
        <v>19824</v>
      </c>
      <c r="D1593" t="s">
        <v>22</v>
      </c>
      <c r="E1593" t="s">
        <v>14</v>
      </c>
      <c r="F1593" t="s">
        <v>20</v>
      </c>
      <c r="L1593">
        <v>1</v>
      </c>
      <c r="AB1593">
        <v>1</v>
      </c>
      <c r="BA1593">
        <f>SUM(Pre[[#This Row],[1]:[46]])</f>
        <v>2</v>
      </c>
    </row>
    <row r="1594" spans="1:53" x14ac:dyDescent="0.2">
      <c r="A1594" t="s">
        <v>57</v>
      </c>
      <c r="B1594" t="s">
        <v>54</v>
      </c>
      <c r="C1594">
        <v>20202</v>
      </c>
      <c r="D1594" t="s">
        <v>22</v>
      </c>
      <c r="E1594" t="s">
        <v>14</v>
      </c>
      <c r="F1594" t="s">
        <v>20</v>
      </c>
      <c r="U1594">
        <v>1</v>
      </c>
      <c r="AA1594">
        <v>1</v>
      </c>
      <c r="AB1594">
        <v>1</v>
      </c>
      <c r="BA1594">
        <f>SUM(Pre[[#This Row],[1]:[46]])</f>
        <v>3</v>
      </c>
    </row>
    <row r="1595" spans="1:53" x14ac:dyDescent="0.2">
      <c r="A1595" t="s">
        <v>57</v>
      </c>
      <c r="B1595" t="s">
        <v>54</v>
      </c>
      <c r="C1595">
        <v>23207</v>
      </c>
      <c r="D1595" t="s">
        <v>22</v>
      </c>
      <c r="E1595" t="s">
        <v>8</v>
      </c>
      <c r="F1595" t="s">
        <v>29</v>
      </c>
      <c r="U1595">
        <v>1</v>
      </c>
      <c r="BA1595">
        <f>SUM(Pre[[#This Row],[1]:[46]])</f>
        <v>1</v>
      </c>
    </row>
    <row r="1596" spans="1:53" x14ac:dyDescent="0.2">
      <c r="A1596" t="s">
        <v>57</v>
      </c>
      <c r="B1596" t="s">
        <v>54</v>
      </c>
      <c r="C1596">
        <v>24885</v>
      </c>
      <c r="D1596" t="s">
        <v>22</v>
      </c>
      <c r="E1596" t="s">
        <v>8</v>
      </c>
      <c r="F1596" t="s">
        <v>23</v>
      </c>
      <c r="AD1596">
        <v>1</v>
      </c>
      <c r="AI1596">
        <v>1</v>
      </c>
      <c r="AN1596">
        <v>1</v>
      </c>
      <c r="AS1596">
        <v>2</v>
      </c>
      <c r="AW1596">
        <v>1</v>
      </c>
      <c r="BA1596">
        <f>SUM(Pre[[#This Row],[1]:[46]])</f>
        <v>6</v>
      </c>
    </row>
    <row r="1597" spans="1:53" x14ac:dyDescent="0.2">
      <c r="A1597" t="s">
        <v>57</v>
      </c>
      <c r="B1597" t="s">
        <v>54</v>
      </c>
      <c r="C1597">
        <v>24885</v>
      </c>
      <c r="D1597" t="s">
        <v>22</v>
      </c>
      <c r="E1597" t="s">
        <v>14</v>
      </c>
      <c r="F1597" t="s">
        <v>35</v>
      </c>
      <c r="AZ1597">
        <v>1</v>
      </c>
      <c r="BA1597">
        <f>SUM(Pre[[#This Row],[1]:[46]])</f>
        <v>1</v>
      </c>
    </row>
    <row r="1598" spans="1:53" x14ac:dyDescent="0.2">
      <c r="A1598" t="s">
        <v>57</v>
      </c>
      <c r="B1598" t="s">
        <v>54</v>
      </c>
      <c r="C1598">
        <v>24885</v>
      </c>
      <c r="D1598" t="s">
        <v>22</v>
      </c>
      <c r="E1598" t="s">
        <v>14</v>
      </c>
      <c r="F1598" t="s">
        <v>19</v>
      </c>
      <c r="AD1598">
        <v>1</v>
      </c>
      <c r="BA1598">
        <f>SUM(Pre[[#This Row],[1]:[46]])</f>
        <v>1</v>
      </c>
    </row>
    <row r="1599" spans="1:53" x14ac:dyDescent="0.2">
      <c r="A1599" t="s">
        <v>57</v>
      </c>
      <c r="B1599" t="s">
        <v>54</v>
      </c>
      <c r="C1599">
        <v>24885</v>
      </c>
      <c r="D1599" t="s">
        <v>22</v>
      </c>
      <c r="E1599" t="s">
        <v>14</v>
      </c>
      <c r="F1599" t="s">
        <v>20</v>
      </c>
      <c r="BA1599">
        <f>SUM(Pre[[#This Row],[1]:[46]])</f>
        <v>0</v>
      </c>
    </row>
    <row r="1600" spans="1:53" x14ac:dyDescent="0.2">
      <c r="A1600" t="s">
        <v>57</v>
      </c>
      <c r="B1600" t="s">
        <v>54</v>
      </c>
      <c r="C1600">
        <v>25652</v>
      </c>
      <c r="D1600" t="s">
        <v>22</v>
      </c>
      <c r="E1600" t="s">
        <v>26</v>
      </c>
      <c r="F1600" t="s">
        <v>27</v>
      </c>
      <c r="G1600">
        <v>1</v>
      </c>
      <c r="O1600">
        <v>1</v>
      </c>
      <c r="BA1600">
        <f>SUM(Pre[[#This Row],[1]:[46]])</f>
        <v>2</v>
      </c>
    </row>
    <row r="1601" spans="1:53" x14ac:dyDescent="0.2">
      <c r="A1601" t="s">
        <v>57</v>
      </c>
      <c r="B1601" t="s">
        <v>54</v>
      </c>
      <c r="C1601">
        <v>26285</v>
      </c>
      <c r="D1601" t="s">
        <v>22</v>
      </c>
      <c r="E1601" t="s">
        <v>8</v>
      </c>
      <c r="F1601" t="s">
        <v>9</v>
      </c>
      <c r="BA1601">
        <f>SUM(Pre[[#This Row],[1]:[46]])</f>
        <v>0</v>
      </c>
    </row>
    <row r="1602" spans="1:53" x14ac:dyDescent="0.2">
      <c r="A1602" t="s">
        <v>57</v>
      </c>
      <c r="B1602" t="s">
        <v>54</v>
      </c>
      <c r="C1602">
        <v>26318</v>
      </c>
      <c r="D1602" t="s">
        <v>22</v>
      </c>
      <c r="E1602" t="s">
        <v>14</v>
      </c>
      <c r="F1602" t="s">
        <v>21</v>
      </c>
      <c r="H1602">
        <v>1</v>
      </c>
      <c r="U1602">
        <v>1</v>
      </c>
      <c r="AH1602">
        <v>1</v>
      </c>
      <c r="AV1602">
        <v>1</v>
      </c>
      <c r="BA1602">
        <f>SUM(Pre[[#This Row],[1]:[46]])</f>
        <v>4</v>
      </c>
    </row>
    <row r="1603" spans="1:53" x14ac:dyDescent="0.2">
      <c r="A1603" t="s">
        <v>57</v>
      </c>
      <c r="B1603" t="s">
        <v>54</v>
      </c>
      <c r="C1603">
        <v>26480</v>
      </c>
      <c r="D1603" t="s">
        <v>22</v>
      </c>
      <c r="E1603" t="s">
        <v>14</v>
      </c>
      <c r="F1603" t="s">
        <v>19</v>
      </c>
      <c r="AS1603">
        <v>1</v>
      </c>
      <c r="BA1603">
        <f>SUM(Pre[[#This Row],[1]:[46]])</f>
        <v>1</v>
      </c>
    </row>
    <row r="1604" spans="1:53" x14ac:dyDescent="0.2">
      <c r="A1604" t="s">
        <v>57</v>
      </c>
      <c r="B1604" t="s">
        <v>54</v>
      </c>
      <c r="C1604">
        <v>26480</v>
      </c>
      <c r="D1604" t="s">
        <v>22</v>
      </c>
      <c r="E1604" t="s">
        <v>14</v>
      </c>
      <c r="F1604" t="s">
        <v>20</v>
      </c>
      <c r="AG1604">
        <v>2</v>
      </c>
      <c r="AK1604">
        <v>1</v>
      </c>
      <c r="BA1604">
        <f>SUM(Pre[[#This Row],[1]:[46]])</f>
        <v>3</v>
      </c>
    </row>
    <row r="1605" spans="1:53" x14ac:dyDescent="0.2">
      <c r="A1605" t="s">
        <v>57</v>
      </c>
      <c r="B1605" t="s">
        <v>54</v>
      </c>
      <c r="C1605">
        <v>26482</v>
      </c>
      <c r="D1605" t="s">
        <v>22</v>
      </c>
      <c r="E1605" t="s">
        <v>14</v>
      </c>
      <c r="F1605" t="s">
        <v>21</v>
      </c>
      <c r="AD1605">
        <v>1</v>
      </c>
      <c r="BA1605">
        <f>SUM(Pre[[#This Row],[1]:[46]])</f>
        <v>1</v>
      </c>
    </row>
    <row r="1606" spans="1:53" x14ac:dyDescent="0.2">
      <c r="A1606" t="s">
        <v>57</v>
      </c>
      <c r="B1606" t="s">
        <v>54</v>
      </c>
      <c r="C1606">
        <v>26653</v>
      </c>
      <c r="D1606" t="s">
        <v>22</v>
      </c>
      <c r="E1606" t="s">
        <v>8</v>
      </c>
      <c r="F1606" t="s">
        <v>23</v>
      </c>
      <c r="I1606">
        <v>1</v>
      </c>
      <c r="AB1606">
        <v>1</v>
      </c>
      <c r="AL1606">
        <v>1</v>
      </c>
      <c r="AY1606">
        <v>1</v>
      </c>
      <c r="BA1606">
        <f>SUM(Pre[[#This Row],[1]:[46]])</f>
        <v>4</v>
      </c>
    </row>
    <row r="1607" spans="1:53" x14ac:dyDescent="0.2">
      <c r="A1607" t="s">
        <v>57</v>
      </c>
      <c r="B1607" t="s">
        <v>54</v>
      </c>
      <c r="C1607">
        <v>26680</v>
      </c>
      <c r="D1607" t="s">
        <v>22</v>
      </c>
      <c r="E1607" t="s">
        <v>8</v>
      </c>
      <c r="F1607" t="s">
        <v>23</v>
      </c>
      <c r="U1607">
        <v>1</v>
      </c>
      <c r="BA1607">
        <f>SUM(Pre[[#This Row],[1]:[46]])</f>
        <v>1</v>
      </c>
    </row>
    <row r="1608" spans="1:53" x14ac:dyDescent="0.2">
      <c r="A1608" t="s">
        <v>57</v>
      </c>
      <c r="B1608" t="s">
        <v>54</v>
      </c>
      <c r="C1608">
        <v>26896</v>
      </c>
      <c r="D1608" t="s">
        <v>22</v>
      </c>
      <c r="E1608" t="s">
        <v>14</v>
      </c>
      <c r="F1608" t="s">
        <v>21</v>
      </c>
      <c r="R1608">
        <v>1</v>
      </c>
      <c r="AE1608">
        <v>1</v>
      </c>
      <c r="AR1608">
        <v>1</v>
      </c>
      <c r="BA1608">
        <f>SUM(Pre[[#This Row],[1]:[46]])</f>
        <v>3</v>
      </c>
    </row>
    <row r="1609" spans="1:53" x14ac:dyDescent="0.2">
      <c r="A1609" t="s">
        <v>57</v>
      </c>
      <c r="B1609" t="s">
        <v>54</v>
      </c>
      <c r="C1609">
        <v>26906</v>
      </c>
      <c r="D1609" t="s">
        <v>22</v>
      </c>
      <c r="E1609" t="s">
        <v>10</v>
      </c>
      <c r="F1609" t="s">
        <v>16</v>
      </c>
      <c r="BA1609">
        <f>SUM(Pre[[#This Row],[1]:[46]])</f>
        <v>0</v>
      </c>
    </row>
    <row r="1610" spans="1:53" x14ac:dyDescent="0.2">
      <c r="A1610" t="s">
        <v>57</v>
      </c>
      <c r="B1610" t="s">
        <v>54</v>
      </c>
      <c r="C1610">
        <v>26906</v>
      </c>
      <c r="D1610" t="s">
        <v>22</v>
      </c>
      <c r="E1610" t="s">
        <v>10</v>
      </c>
      <c r="F1610" t="s">
        <v>11</v>
      </c>
      <c r="AP1610">
        <v>1</v>
      </c>
      <c r="BA1610">
        <f>SUM(Pre[[#This Row],[1]:[46]])</f>
        <v>1</v>
      </c>
    </row>
    <row r="1611" spans="1:53" x14ac:dyDescent="0.2">
      <c r="A1611" t="s">
        <v>57</v>
      </c>
      <c r="B1611" t="s">
        <v>54</v>
      </c>
      <c r="C1611">
        <v>26906</v>
      </c>
      <c r="D1611" t="s">
        <v>22</v>
      </c>
      <c r="E1611" t="s">
        <v>14</v>
      </c>
      <c r="F1611" t="s">
        <v>31</v>
      </c>
      <c r="BA1611">
        <f>SUM(Pre[[#This Row],[1]:[46]])</f>
        <v>0</v>
      </c>
    </row>
    <row r="1612" spans="1:53" x14ac:dyDescent="0.2">
      <c r="A1612" t="s">
        <v>57</v>
      </c>
      <c r="B1612" t="s">
        <v>54</v>
      </c>
      <c r="C1612">
        <v>26906</v>
      </c>
      <c r="D1612" t="s">
        <v>22</v>
      </c>
      <c r="E1612" t="s">
        <v>14</v>
      </c>
      <c r="F1612" t="s">
        <v>20</v>
      </c>
      <c r="BA1612">
        <f>SUM(Pre[[#This Row],[1]:[46]])</f>
        <v>0</v>
      </c>
    </row>
    <row r="1613" spans="1:53" x14ac:dyDescent="0.2">
      <c r="A1613" t="s">
        <v>57</v>
      </c>
      <c r="B1613" t="s">
        <v>54</v>
      </c>
      <c r="C1613">
        <v>27592</v>
      </c>
      <c r="D1613" t="s">
        <v>22</v>
      </c>
      <c r="E1613" t="s">
        <v>8</v>
      </c>
      <c r="F1613" t="s">
        <v>23</v>
      </c>
      <c r="R1613">
        <v>2</v>
      </c>
      <c r="AE1613">
        <v>1</v>
      </c>
      <c r="AM1613">
        <v>2</v>
      </c>
      <c r="AZ1613">
        <v>1</v>
      </c>
      <c r="BA1613">
        <f>SUM(Pre[[#This Row],[1]:[46]])</f>
        <v>6</v>
      </c>
    </row>
    <row r="1614" spans="1:53" x14ac:dyDescent="0.2">
      <c r="A1614" t="s">
        <v>57</v>
      </c>
      <c r="B1614" t="s">
        <v>54</v>
      </c>
      <c r="C1614">
        <v>28304</v>
      </c>
      <c r="D1614" t="s">
        <v>22</v>
      </c>
      <c r="E1614" t="s">
        <v>8</v>
      </c>
      <c r="F1614" t="s">
        <v>23</v>
      </c>
      <c r="I1614">
        <v>1</v>
      </c>
      <c r="V1614">
        <v>1</v>
      </c>
      <c r="AG1614">
        <v>1</v>
      </c>
      <c r="AQ1614">
        <v>1</v>
      </c>
      <c r="BA1614">
        <f>SUM(Pre[[#This Row],[1]:[46]])</f>
        <v>4</v>
      </c>
    </row>
    <row r="1615" spans="1:53" x14ac:dyDescent="0.2">
      <c r="A1615" t="s">
        <v>57</v>
      </c>
      <c r="B1615" t="s">
        <v>54</v>
      </c>
      <c r="C1615">
        <v>28373</v>
      </c>
      <c r="D1615" t="s">
        <v>22</v>
      </c>
      <c r="E1615" t="s">
        <v>8</v>
      </c>
      <c r="F1615" t="s">
        <v>23</v>
      </c>
      <c r="M1615">
        <v>1</v>
      </c>
      <c r="Z1615">
        <v>1</v>
      </c>
      <c r="AL1615">
        <v>1</v>
      </c>
      <c r="BA1615">
        <f>SUM(Pre[[#This Row],[1]:[46]])</f>
        <v>3</v>
      </c>
    </row>
    <row r="1616" spans="1:53" x14ac:dyDescent="0.2">
      <c r="A1616" t="s">
        <v>57</v>
      </c>
      <c r="B1616" t="s">
        <v>54</v>
      </c>
      <c r="C1616">
        <v>29468</v>
      </c>
      <c r="D1616" t="s">
        <v>22</v>
      </c>
      <c r="E1616" t="s">
        <v>14</v>
      </c>
      <c r="F1616" t="s">
        <v>19</v>
      </c>
      <c r="S1616">
        <v>1</v>
      </c>
      <c r="AZ1616">
        <v>1</v>
      </c>
      <c r="BA1616">
        <f>SUM(Pre[[#This Row],[1]:[46]])</f>
        <v>2</v>
      </c>
    </row>
    <row r="1617" spans="1:53" x14ac:dyDescent="0.2">
      <c r="A1617" t="s">
        <v>57</v>
      </c>
      <c r="B1617" t="s">
        <v>54</v>
      </c>
      <c r="C1617">
        <v>30062</v>
      </c>
      <c r="D1617" t="s">
        <v>22</v>
      </c>
      <c r="E1617" t="s">
        <v>8</v>
      </c>
      <c r="F1617" t="s">
        <v>23</v>
      </c>
      <c r="M1617">
        <v>2</v>
      </c>
      <c r="Z1617">
        <v>1</v>
      </c>
      <c r="AN1617">
        <v>1</v>
      </c>
      <c r="AZ1617">
        <v>1</v>
      </c>
      <c r="BA1617">
        <f>SUM(Pre[[#This Row],[1]:[46]])</f>
        <v>5</v>
      </c>
    </row>
    <row r="1618" spans="1:53" x14ac:dyDescent="0.2">
      <c r="A1618" t="s">
        <v>57</v>
      </c>
      <c r="B1618" t="s">
        <v>54</v>
      </c>
      <c r="C1618">
        <v>32614</v>
      </c>
      <c r="D1618" t="s">
        <v>22</v>
      </c>
      <c r="E1618" t="s">
        <v>14</v>
      </c>
      <c r="F1618" t="s">
        <v>21</v>
      </c>
      <c r="O1618">
        <v>1</v>
      </c>
      <c r="AB1618">
        <v>1</v>
      </c>
      <c r="AM1618">
        <v>1</v>
      </c>
      <c r="AW1618">
        <v>2</v>
      </c>
      <c r="BA1618">
        <f>SUM(Pre[[#This Row],[1]:[46]])</f>
        <v>5</v>
      </c>
    </row>
    <row r="1619" spans="1:53" x14ac:dyDescent="0.2">
      <c r="A1619" t="s">
        <v>57</v>
      </c>
      <c r="B1619" t="s">
        <v>54</v>
      </c>
      <c r="C1619">
        <v>32846</v>
      </c>
      <c r="D1619" t="s">
        <v>22</v>
      </c>
      <c r="E1619" t="s">
        <v>8</v>
      </c>
      <c r="F1619" t="s">
        <v>23</v>
      </c>
      <c r="N1619">
        <v>1</v>
      </c>
      <c r="Z1619">
        <v>1</v>
      </c>
      <c r="AL1619">
        <v>1</v>
      </c>
      <c r="BA1619">
        <f>SUM(Pre[[#This Row],[1]:[46]])</f>
        <v>3</v>
      </c>
    </row>
    <row r="1620" spans="1:53" x14ac:dyDescent="0.2">
      <c r="A1620" t="s">
        <v>57</v>
      </c>
      <c r="B1620" t="s">
        <v>54</v>
      </c>
      <c r="C1620">
        <v>33371</v>
      </c>
      <c r="D1620" t="s">
        <v>22</v>
      </c>
      <c r="E1620" t="s">
        <v>10</v>
      </c>
      <c r="F1620" t="s">
        <v>11</v>
      </c>
      <c r="P1620">
        <v>1</v>
      </c>
      <c r="AC1620">
        <v>1</v>
      </c>
      <c r="BA1620">
        <f>SUM(Pre[[#This Row],[1]:[46]])</f>
        <v>2</v>
      </c>
    </row>
    <row r="1621" spans="1:53" x14ac:dyDescent="0.2">
      <c r="A1621" t="s">
        <v>57</v>
      </c>
      <c r="B1621" t="s">
        <v>54</v>
      </c>
      <c r="C1621">
        <v>636</v>
      </c>
      <c r="D1621" t="s">
        <v>7</v>
      </c>
      <c r="E1621" t="s">
        <v>8</v>
      </c>
      <c r="F1621" t="s">
        <v>23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2</v>
      </c>
      <c r="S1621">
        <v>1</v>
      </c>
      <c r="BA1621">
        <f>SUM(Pre[[#This Row],[1]:[46]])</f>
        <v>14</v>
      </c>
    </row>
    <row r="1622" spans="1:53" x14ac:dyDescent="0.2">
      <c r="A1622" t="s">
        <v>57</v>
      </c>
      <c r="B1622" t="s">
        <v>54</v>
      </c>
      <c r="C1622">
        <v>1039</v>
      </c>
      <c r="D1622" t="s">
        <v>7</v>
      </c>
      <c r="E1622" t="s">
        <v>14</v>
      </c>
      <c r="F1622" t="s">
        <v>19</v>
      </c>
      <c r="K1622">
        <v>1</v>
      </c>
      <c r="BA1622">
        <f>SUM(Pre[[#This Row],[1]:[46]])</f>
        <v>1</v>
      </c>
    </row>
    <row r="1623" spans="1:53" x14ac:dyDescent="0.2">
      <c r="A1623" t="s">
        <v>57</v>
      </c>
      <c r="B1623" t="s">
        <v>54</v>
      </c>
      <c r="C1623">
        <v>2472</v>
      </c>
      <c r="D1623" t="s">
        <v>7</v>
      </c>
      <c r="E1623" t="s">
        <v>10</v>
      </c>
      <c r="F1623" t="s">
        <v>16</v>
      </c>
      <c r="G1623">
        <v>1</v>
      </c>
      <c r="K1623">
        <v>1</v>
      </c>
      <c r="O1623">
        <v>1</v>
      </c>
      <c r="S1623">
        <v>1</v>
      </c>
      <c r="W1623">
        <v>1</v>
      </c>
      <c r="AA1623">
        <v>1</v>
      </c>
      <c r="AE1623">
        <v>1</v>
      </c>
      <c r="AI1623">
        <v>1</v>
      </c>
      <c r="AM1623">
        <v>1</v>
      </c>
      <c r="AQ1623">
        <v>1</v>
      </c>
      <c r="AU1623">
        <v>1</v>
      </c>
      <c r="BA1623">
        <f>SUM(Pre[[#This Row],[1]:[46]])</f>
        <v>11</v>
      </c>
    </row>
    <row r="1624" spans="1:53" x14ac:dyDescent="0.2">
      <c r="A1624" t="s">
        <v>57</v>
      </c>
      <c r="B1624" t="s">
        <v>54</v>
      </c>
      <c r="C1624">
        <v>4700</v>
      </c>
      <c r="D1624" t="s">
        <v>7</v>
      </c>
      <c r="E1624" t="s">
        <v>14</v>
      </c>
      <c r="F1624" t="s">
        <v>20</v>
      </c>
      <c r="BA1624">
        <f>SUM(Pre[[#This Row],[1]:[46]])</f>
        <v>0</v>
      </c>
    </row>
    <row r="1625" spans="1:53" x14ac:dyDescent="0.2">
      <c r="A1625" t="s">
        <v>57</v>
      </c>
      <c r="B1625" t="s">
        <v>54</v>
      </c>
      <c r="C1625">
        <v>4941</v>
      </c>
      <c r="D1625" t="s">
        <v>7</v>
      </c>
      <c r="E1625" t="s">
        <v>8</v>
      </c>
      <c r="F1625" t="s">
        <v>34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BA1625">
        <f>SUM(Pre[[#This Row],[1]:[46]])</f>
        <v>32</v>
      </c>
    </row>
    <row r="1626" spans="1:53" x14ac:dyDescent="0.2">
      <c r="A1626" t="s">
        <v>57</v>
      </c>
      <c r="B1626" t="s">
        <v>54</v>
      </c>
      <c r="C1626">
        <v>4941</v>
      </c>
      <c r="D1626" t="s">
        <v>7</v>
      </c>
      <c r="E1626" t="s">
        <v>14</v>
      </c>
      <c r="F1626" t="s">
        <v>31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BA1626">
        <f>SUM(Pre[[#This Row],[1]:[46]])</f>
        <v>32</v>
      </c>
    </row>
    <row r="1627" spans="1:53" x14ac:dyDescent="0.2">
      <c r="A1627" t="s">
        <v>57</v>
      </c>
      <c r="B1627" t="s">
        <v>54</v>
      </c>
      <c r="C1627">
        <v>5551</v>
      </c>
      <c r="D1627" t="s">
        <v>7</v>
      </c>
      <c r="E1627" t="s">
        <v>10</v>
      </c>
      <c r="F1627" t="s">
        <v>11</v>
      </c>
      <c r="BA1627">
        <f>SUM(Pre[[#This Row],[1]:[46]])</f>
        <v>0</v>
      </c>
    </row>
    <row r="1628" spans="1:53" x14ac:dyDescent="0.2">
      <c r="A1628" t="s">
        <v>57</v>
      </c>
      <c r="B1628" t="s">
        <v>54</v>
      </c>
      <c r="C1628">
        <v>5551</v>
      </c>
      <c r="D1628" t="s">
        <v>7</v>
      </c>
      <c r="E1628" t="s">
        <v>14</v>
      </c>
      <c r="F1628" t="s">
        <v>31</v>
      </c>
      <c r="BA1628">
        <f>SUM(Pre[[#This Row],[1]:[46]])</f>
        <v>0</v>
      </c>
    </row>
    <row r="1629" spans="1:53" x14ac:dyDescent="0.2">
      <c r="A1629" t="s">
        <v>57</v>
      </c>
      <c r="B1629" t="s">
        <v>54</v>
      </c>
      <c r="C1629">
        <v>6406</v>
      </c>
      <c r="D1629" t="s">
        <v>7</v>
      </c>
      <c r="E1629" t="s">
        <v>14</v>
      </c>
      <c r="F1629" t="s">
        <v>28</v>
      </c>
      <c r="I1629">
        <v>1</v>
      </c>
      <c r="BA1629">
        <f>SUM(Pre[[#This Row],[1]:[46]])</f>
        <v>1</v>
      </c>
    </row>
    <row r="1630" spans="1:53" x14ac:dyDescent="0.2">
      <c r="A1630" t="s">
        <v>57</v>
      </c>
      <c r="B1630" t="s">
        <v>54</v>
      </c>
      <c r="C1630">
        <v>8047</v>
      </c>
      <c r="D1630" t="s">
        <v>7</v>
      </c>
      <c r="E1630" t="s">
        <v>14</v>
      </c>
      <c r="F1630" t="s">
        <v>31</v>
      </c>
      <c r="U1630">
        <v>1</v>
      </c>
      <c r="Y1630">
        <v>1</v>
      </c>
      <c r="AD1630">
        <v>1</v>
      </c>
      <c r="AI1630">
        <v>1</v>
      </c>
      <c r="AM1630">
        <v>1</v>
      </c>
      <c r="AR1630">
        <v>1</v>
      </c>
      <c r="AW1630">
        <v>2</v>
      </c>
      <c r="BA1630">
        <f>SUM(Pre[[#This Row],[1]:[46]])</f>
        <v>8</v>
      </c>
    </row>
    <row r="1631" spans="1:53" x14ac:dyDescent="0.2">
      <c r="A1631" t="s">
        <v>57</v>
      </c>
      <c r="B1631" t="s">
        <v>54</v>
      </c>
      <c r="C1631">
        <v>8582</v>
      </c>
      <c r="D1631" t="s">
        <v>7</v>
      </c>
      <c r="E1631" t="s">
        <v>8</v>
      </c>
      <c r="F1631" t="s">
        <v>23</v>
      </c>
      <c r="N1631">
        <v>1</v>
      </c>
      <c r="AC1631">
        <v>1</v>
      </c>
      <c r="AP1631">
        <v>1</v>
      </c>
      <c r="BA1631">
        <f>SUM(Pre[[#This Row],[1]:[46]])</f>
        <v>3</v>
      </c>
    </row>
    <row r="1632" spans="1:53" x14ac:dyDescent="0.2">
      <c r="A1632" t="s">
        <v>57</v>
      </c>
      <c r="B1632" t="s">
        <v>54</v>
      </c>
      <c r="C1632">
        <v>8664</v>
      </c>
      <c r="D1632" t="s">
        <v>7</v>
      </c>
      <c r="E1632" t="s">
        <v>14</v>
      </c>
      <c r="F1632" t="s">
        <v>20</v>
      </c>
      <c r="K1632">
        <v>1</v>
      </c>
      <c r="W1632">
        <v>1</v>
      </c>
      <c r="AJ1632">
        <v>1</v>
      </c>
      <c r="AU1632">
        <v>1</v>
      </c>
      <c r="BA1632">
        <f>SUM(Pre[[#This Row],[1]:[46]])</f>
        <v>4</v>
      </c>
    </row>
    <row r="1633" spans="1:53" x14ac:dyDescent="0.2">
      <c r="A1633" t="s">
        <v>57</v>
      </c>
      <c r="B1633" t="s">
        <v>54</v>
      </c>
      <c r="C1633">
        <v>11746</v>
      </c>
      <c r="D1633" t="s">
        <v>7</v>
      </c>
      <c r="E1633" t="s">
        <v>14</v>
      </c>
      <c r="F1633" t="s">
        <v>21</v>
      </c>
      <c r="G1633">
        <v>1</v>
      </c>
      <c r="K1633">
        <v>1</v>
      </c>
      <c r="N1633">
        <v>1</v>
      </c>
      <c r="V1633">
        <v>1</v>
      </c>
      <c r="Z1633">
        <v>1</v>
      </c>
      <c r="AG1633">
        <v>1</v>
      </c>
      <c r="AK1633">
        <v>1</v>
      </c>
      <c r="AP1633">
        <v>1</v>
      </c>
      <c r="AU1633">
        <v>1</v>
      </c>
      <c r="AZ1633">
        <v>1</v>
      </c>
      <c r="BA1633">
        <f>SUM(Pre[[#This Row],[1]:[46]])</f>
        <v>10</v>
      </c>
    </row>
    <row r="1634" spans="1:53" x14ac:dyDescent="0.2">
      <c r="A1634" t="s">
        <v>57</v>
      </c>
      <c r="B1634" t="s">
        <v>54</v>
      </c>
      <c r="C1634">
        <v>13742</v>
      </c>
      <c r="D1634" t="s">
        <v>7</v>
      </c>
      <c r="E1634" t="s">
        <v>14</v>
      </c>
      <c r="F1634" t="s">
        <v>15</v>
      </c>
      <c r="O1634">
        <v>1</v>
      </c>
      <c r="AD1634">
        <v>1</v>
      </c>
      <c r="AR1634">
        <v>1</v>
      </c>
      <c r="BA1634">
        <f>SUM(Pre[[#This Row],[1]:[46]])</f>
        <v>3</v>
      </c>
    </row>
    <row r="1635" spans="1:53" x14ac:dyDescent="0.2">
      <c r="A1635" t="s">
        <v>57</v>
      </c>
      <c r="B1635" t="s">
        <v>54</v>
      </c>
      <c r="C1635">
        <v>14437</v>
      </c>
      <c r="D1635" t="s">
        <v>7</v>
      </c>
      <c r="E1635" t="s">
        <v>14</v>
      </c>
      <c r="F1635" t="s">
        <v>35</v>
      </c>
      <c r="G1635">
        <v>1</v>
      </c>
      <c r="T1635">
        <v>1</v>
      </c>
      <c r="AG1635">
        <v>1</v>
      </c>
      <c r="BA1635">
        <f>SUM(Pre[[#This Row],[1]:[46]])</f>
        <v>3</v>
      </c>
    </row>
    <row r="1636" spans="1:53" x14ac:dyDescent="0.2">
      <c r="A1636" t="s">
        <v>57</v>
      </c>
      <c r="B1636" t="s">
        <v>54</v>
      </c>
      <c r="C1636">
        <v>16232</v>
      </c>
      <c r="D1636" t="s">
        <v>7</v>
      </c>
      <c r="E1636" t="s">
        <v>14</v>
      </c>
      <c r="F1636" t="s">
        <v>19</v>
      </c>
      <c r="P1636">
        <v>1</v>
      </c>
      <c r="BA1636">
        <f>SUM(Pre[[#This Row],[1]:[46]])</f>
        <v>1</v>
      </c>
    </row>
    <row r="1637" spans="1:53" x14ac:dyDescent="0.2">
      <c r="A1637" t="s">
        <v>57</v>
      </c>
      <c r="B1637" t="s">
        <v>54</v>
      </c>
      <c r="C1637">
        <v>16232</v>
      </c>
      <c r="D1637" t="s">
        <v>7</v>
      </c>
      <c r="E1637" t="s">
        <v>14</v>
      </c>
      <c r="F1637" t="s">
        <v>21</v>
      </c>
      <c r="P1637">
        <v>1</v>
      </c>
      <c r="BA1637">
        <f>SUM(Pre[[#This Row],[1]:[46]])</f>
        <v>1</v>
      </c>
    </row>
    <row r="1638" spans="1:53" x14ac:dyDescent="0.2">
      <c r="A1638" t="s">
        <v>57</v>
      </c>
      <c r="B1638" t="s">
        <v>54</v>
      </c>
      <c r="C1638">
        <v>17223</v>
      </c>
      <c r="D1638" t="s">
        <v>7</v>
      </c>
      <c r="E1638" t="s">
        <v>14</v>
      </c>
      <c r="F1638" t="s">
        <v>19</v>
      </c>
      <c r="I1638">
        <v>1</v>
      </c>
      <c r="BA1638">
        <f>SUM(Pre[[#This Row],[1]:[46]])</f>
        <v>1</v>
      </c>
    </row>
    <row r="1639" spans="1:53" x14ac:dyDescent="0.2">
      <c r="A1639" t="s">
        <v>57</v>
      </c>
      <c r="B1639" t="s">
        <v>54</v>
      </c>
      <c r="C1639">
        <v>19412</v>
      </c>
      <c r="D1639" t="s">
        <v>7</v>
      </c>
      <c r="E1639" t="s">
        <v>14</v>
      </c>
      <c r="F1639" t="s">
        <v>20</v>
      </c>
      <c r="X1639">
        <v>1</v>
      </c>
      <c r="AM1639">
        <v>1</v>
      </c>
      <c r="BA1639">
        <f>SUM(Pre[[#This Row],[1]:[46]])</f>
        <v>2</v>
      </c>
    </row>
    <row r="1640" spans="1:53" x14ac:dyDescent="0.2">
      <c r="A1640" t="s">
        <v>57</v>
      </c>
      <c r="B1640" t="s">
        <v>54</v>
      </c>
      <c r="C1640">
        <v>19722</v>
      </c>
      <c r="D1640" t="s">
        <v>7</v>
      </c>
      <c r="E1640" t="s">
        <v>14</v>
      </c>
      <c r="F1640" t="s">
        <v>31</v>
      </c>
      <c r="G1640">
        <v>1</v>
      </c>
      <c r="M1640">
        <v>1</v>
      </c>
      <c r="Q1640">
        <v>1</v>
      </c>
      <c r="V1640">
        <v>2</v>
      </c>
      <c r="AA1640">
        <v>1</v>
      </c>
      <c r="AF1640">
        <v>1</v>
      </c>
      <c r="AK1640">
        <v>1</v>
      </c>
      <c r="AQ1640">
        <v>1</v>
      </c>
      <c r="AV1640">
        <v>1</v>
      </c>
      <c r="BA1640">
        <f>SUM(Pre[[#This Row],[1]:[46]])</f>
        <v>10</v>
      </c>
    </row>
    <row r="1641" spans="1:53" x14ac:dyDescent="0.2">
      <c r="A1641" t="s">
        <v>57</v>
      </c>
      <c r="B1641" t="s">
        <v>54</v>
      </c>
      <c r="C1641">
        <v>19722</v>
      </c>
      <c r="D1641" t="s">
        <v>7</v>
      </c>
      <c r="E1641" t="s">
        <v>14</v>
      </c>
      <c r="F1641" t="s">
        <v>28</v>
      </c>
      <c r="BA1641">
        <f>SUM(Pre[[#This Row],[1]:[46]])</f>
        <v>0</v>
      </c>
    </row>
    <row r="1642" spans="1:53" x14ac:dyDescent="0.2">
      <c r="A1642" t="s">
        <v>57</v>
      </c>
      <c r="B1642" t="s">
        <v>54</v>
      </c>
      <c r="C1642">
        <v>20002</v>
      </c>
      <c r="D1642" t="s">
        <v>7</v>
      </c>
      <c r="E1642" t="s">
        <v>8</v>
      </c>
      <c r="F1642" t="s">
        <v>30</v>
      </c>
      <c r="AF1642">
        <v>1</v>
      </c>
      <c r="BA1642">
        <f>SUM(Pre[[#This Row],[1]:[46]])</f>
        <v>1</v>
      </c>
    </row>
    <row r="1643" spans="1:53" x14ac:dyDescent="0.2">
      <c r="A1643" t="s">
        <v>57</v>
      </c>
      <c r="B1643" t="s">
        <v>54</v>
      </c>
      <c r="C1643">
        <v>20002</v>
      </c>
      <c r="D1643" t="s">
        <v>7</v>
      </c>
      <c r="E1643" t="s">
        <v>8</v>
      </c>
      <c r="F1643" t="s">
        <v>29</v>
      </c>
      <c r="AI1643">
        <v>1</v>
      </c>
      <c r="BA1643">
        <f>SUM(Pre[[#This Row],[1]:[46]])</f>
        <v>1</v>
      </c>
    </row>
    <row r="1644" spans="1:53" x14ac:dyDescent="0.2">
      <c r="A1644" t="s">
        <v>57</v>
      </c>
      <c r="B1644" t="s">
        <v>54</v>
      </c>
      <c r="C1644">
        <v>20002</v>
      </c>
      <c r="D1644" t="s">
        <v>7</v>
      </c>
      <c r="E1644" t="s">
        <v>26</v>
      </c>
      <c r="F1644" t="s">
        <v>27</v>
      </c>
      <c r="AL1644">
        <v>1</v>
      </c>
      <c r="BA1644">
        <f>SUM(Pre[[#This Row],[1]:[46]])</f>
        <v>1</v>
      </c>
    </row>
    <row r="1645" spans="1:53" x14ac:dyDescent="0.2">
      <c r="A1645" t="s">
        <v>57</v>
      </c>
      <c r="B1645" t="s">
        <v>54</v>
      </c>
      <c r="C1645">
        <v>21982</v>
      </c>
      <c r="D1645" t="s">
        <v>7</v>
      </c>
      <c r="E1645" t="s">
        <v>10</v>
      </c>
      <c r="F1645" t="s">
        <v>16</v>
      </c>
      <c r="AB1645">
        <v>1</v>
      </c>
      <c r="AE1645">
        <v>1</v>
      </c>
      <c r="BA1645">
        <f>SUM(Pre[[#This Row],[1]:[46]])</f>
        <v>2</v>
      </c>
    </row>
    <row r="1646" spans="1:53" x14ac:dyDescent="0.2">
      <c r="A1646" t="s">
        <v>57</v>
      </c>
      <c r="B1646" t="s">
        <v>54</v>
      </c>
      <c r="C1646">
        <v>21982</v>
      </c>
      <c r="D1646" t="s">
        <v>7</v>
      </c>
      <c r="E1646" t="s">
        <v>10</v>
      </c>
      <c r="F1646" t="s">
        <v>11</v>
      </c>
      <c r="AG1646">
        <v>1</v>
      </c>
      <c r="BA1646">
        <f>SUM(Pre[[#This Row],[1]:[46]])</f>
        <v>1</v>
      </c>
    </row>
    <row r="1647" spans="1:53" x14ac:dyDescent="0.2">
      <c r="A1647" t="s">
        <v>57</v>
      </c>
      <c r="B1647" t="s">
        <v>54</v>
      </c>
      <c r="C1647">
        <v>22636</v>
      </c>
      <c r="D1647" t="s">
        <v>7</v>
      </c>
      <c r="E1647" t="s">
        <v>14</v>
      </c>
      <c r="F1647" t="s">
        <v>31</v>
      </c>
      <c r="I1647">
        <v>1</v>
      </c>
      <c r="M1647">
        <v>2</v>
      </c>
      <c r="Q1647">
        <v>1</v>
      </c>
      <c r="U1647">
        <v>1</v>
      </c>
      <c r="Y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N1647">
        <v>3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f>SUM(Pre[[#This Row],[1]:[46]])</f>
        <v>31</v>
      </c>
    </row>
    <row r="1648" spans="1:53" x14ac:dyDescent="0.2">
      <c r="A1648" t="s">
        <v>57</v>
      </c>
      <c r="B1648" t="s">
        <v>54</v>
      </c>
      <c r="C1648">
        <v>22869</v>
      </c>
      <c r="D1648" t="s">
        <v>7</v>
      </c>
      <c r="E1648" t="s">
        <v>10</v>
      </c>
      <c r="F1648" t="s">
        <v>11</v>
      </c>
      <c r="AK1648">
        <v>1</v>
      </c>
      <c r="BA1648">
        <f>SUM(Pre[[#This Row],[1]:[46]])</f>
        <v>1</v>
      </c>
    </row>
    <row r="1649" spans="1:53" x14ac:dyDescent="0.2">
      <c r="A1649" t="s">
        <v>57</v>
      </c>
      <c r="B1649" t="s">
        <v>54</v>
      </c>
      <c r="C1649">
        <v>26814</v>
      </c>
      <c r="D1649" t="s">
        <v>7</v>
      </c>
      <c r="E1649" t="s">
        <v>10</v>
      </c>
      <c r="F1649" t="s">
        <v>11</v>
      </c>
      <c r="BA1649">
        <f>SUM(Pre[[#This Row],[1]:[46]])</f>
        <v>0</v>
      </c>
    </row>
    <row r="1650" spans="1:53" x14ac:dyDescent="0.2">
      <c r="A1650" t="s">
        <v>57</v>
      </c>
      <c r="B1650" t="s">
        <v>54</v>
      </c>
      <c r="C1650">
        <v>29531</v>
      </c>
      <c r="D1650" t="s">
        <v>7</v>
      </c>
      <c r="E1650" t="s">
        <v>14</v>
      </c>
      <c r="F1650" t="s">
        <v>20</v>
      </c>
      <c r="K1650">
        <v>1</v>
      </c>
      <c r="R1650">
        <v>1</v>
      </c>
      <c r="AA1650">
        <v>1</v>
      </c>
      <c r="AR1650">
        <v>1</v>
      </c>
      <c r="BA1650">
        <f>SUM(Pre[[#This Row],[1]:[46]])</f>
        <v>4</v>
      </c>
    </row>
    <row r="1651" spans="1:53" x14ac:dyDescent="0.2">
      <c r="A1651" t="s">
        <v>57</v>
      </c>
      <c r="B1651" t="s">
        <v>54</v>
      </c>
      <c r="C1651">
        <v>33300</v>
      </c>
      <c r="D1651" t="s">
        <v>7</v>
      </c>
      <c r="E1651" t="s">
        <v>14</v>
      </c>
      <c r="F1651" t="s">
        <v>21</v>
      </c>
      <c r="K1651">
        <v>1</v>
      </c>
      <c r="X1651">
        <v>1</v>
      </c>
      <c r="AJ1651">
        <v>1</v>
      </c>
      <c r="AX1651">
        <v>1</v>
      </c>
      <c r="BA1651">
        <f>SUM(Pre[[#This Row],[1]:[46]])</f>
        <v>4</v>
      </c>
    </row>
    <row r="1652" spans="1:53" x14ac:dyDescent="0.2">
      <c r="A1652" t="s">
        <v>57</v>
      </c>
      <c r="B1652" t="s">
        <v>54</v>
      </c>
      <c r="C1652">
        <v>33519</v>
      </c>
      <c r="D1652" t="s">
        <v>7</v>
      </c>
      <c r="E1652" t="s">
        <v>14</v>
      </c>
      <c r="F1652" t="s">
        <v>31</v>
      </c>
      <c r="AA1652">
        <v>2</v>
      </c>
      <c r="BA1652">
        <f>SUM(Pre[[#This Row],[1]:[46]])</f>
        <v>2</v>
      </c>
    </row>
    <row r="1653" spans="1:53" x14ac:dyDescent="0.2">
      <c r="A1653" t="s">
        <v>57</v>
      </c>
      <c r="B1653" t="s">
        <v>54</v>
      </c>
      <c r="C1653">
        <v>723</v>
      </c>
      <c r="D1653" t="s">
        <v>22</v>
      </c>
      <c r="E1653" t="s">
        <v>8</v>
      </c>
      <c r="F1653" t="s">
        <v>23</v>
      </c>
      <c r="J1653">
        <v>1</v>
      </c>
      <c r="L1653">
        <v>1</v>
      </c>
      <c r="O1653">
        <v>1</v>
      </c>
      <c r="S1653">
        <v>1</v>
      </c>
      <c r="X1653">
        <v>1</v>
      </c>
      <c r="BA1653">
        <f>SUM(Pre[[#This Row],[1]:[46]])</f>
        <v>5</v>
      </c>
    </row>
    <row r="1654" spans="1:53" x14ac:dyDescent="0.2">
      <c r="A1654" t="s">
        <v>57</v>
      </c>
      <c r="B1654" t="s">
        <v>54</v>
      </c>
      <c r="C1654">
        <v>2078</v>
      </c>
      <c r="D1654" t="s">
        <v>22</v>
      </c>
      <c r="E1654" t="s">
        <v>10</v>
      </c>
      <c r="F1654" t="s">
        <v>11</v>
      </c>
      <c r="BA1654">
        <f>SUM(Pre[[#This Row],[1]:[46]])</f>
        <v>0</v>
      </c>
    </row>
    <row r="1655" spans="1:53" x14ac:dyDescent="0.2">
      <c r="A1655" t="s">
        <v>57</v>
      </c>
      <c r="B1655" t="s">
        <v>54</v>
      </c>
      <c r="C1655">
        <v>2078</v>
      </c>
      <c r="D1655" t="s">
        <v>22</v>
      </c>
      <c r="E1655" t="s">
        <v>14</v>
      </c>
      <c r="F1655" t="s">
        <v>20</v>
      </c>
      <c r="K1655">
        <v>1</v>
      </c>
      <c r="AA1655">
        <v>1</v>
      </c>
      <c r="AJ1655">
        <v>2</v>
      </c>
      <c r="BA1655">
        <f>SUM(Pre[[#This Row],[1]:[46]])</f>
        <v>4</v>
      </c>
    </row>
    <row r="1656" spans="1:53" x14ac:dyDescent="0.2">
      <c r="A1656" t="s">
        <v>57</v>
      </c>
      <c r="B1656" t="s">
        <v>54</v>
      </c>
      <c r="C1656">
        <v>2538</v>
      </c>
      <c r="D1656" t="s">
        <v>22</v>
      </c>
      <c r="E1656" t="s">
        <v>10</v>
      </c>
      <c r="F1656" t="s">
        <v>11</v>
      </c>
      <c r="BA1656">
        <f>SUM(Pre[[#This Row],[1]:[46]])</f>
        <v>0</v>
      </c>
    </row>
    <row r="1657" spans="1:53" x14ac:dyDescent="0.2">
      <c r="A1657" t="s">
        <v>57</v>
      </c>
      <c r="B1657" t="s">
        <v>54</v>
      </c>
      <c r="C1657">
        <v>3377</v>
      </c>
      <c r="D1657" t="s">
        <v>22</v>
      </c>
      <c r="E1657" t="s">
        <v>8</v>
      </c>
      <c r="F1657" t="s">
        <v>23</v>
      </c>
      <c r="G1657">
        <v>1</v>
      </c>
      <c r="I1657">
        <v>1</v>
      </c>
      <c r="K1657">
        <v>1</v>
      </c>
      <c r="M1657">
        <v>1</v>
      </c>
      <c r="O1657">
        <v>1</v>
      </c>
      <c r="Q1657">
        <v>1</v>
      </c>
      <c r="S1657">
        <v>1</v>
      </c>
      <c r="U1657">
        <v>1</v>
      </c>
      <c r="W1657">
        <v>1</v>
      </c>
      <c r="Y1657">
        <v>1</v>
      </c>
      <c r="AA1657">
        <v>1</v>
      </c>
      <c r="AC1657">
        <v>1</v>
      </c>
      <c r="AE1657">
        <v>1</v>
      </c>
      <c r="AG1657">
        <v>1</v>
      </c>
      <c r="AJ1657">
        <v>1</v>
      </c>
      <c r="AM1657">
        <v>1</v>
      </c>
      <c r="AO1657">
        <v>2</v>
      </c>
      <c r="AQ1657">
        <v>1</v>
      </c>
      <c r="AS1657">
        <v>1</v>
      </c>
      <c r="AU1657">
        <v>1</v>
      </c>
      <c r="AW1657">
        <v>1</v>
      </c>
      <c r="AY1657">
        <v>1</v>
      </c>
      <c r="BA1657">
        <f>SUM(Pre[[#This Row],[1]:[46]])</f>
        <v>23</v>
      </c>
    </row>
    <row r="1658" spans="1:53" x14ac:dyDescent="0.2">
      <c r="A1658" t="s">
        <v>57</v>
      </c>
      <c r="B1658" t="s">
        <v>54</v>
      </c>
      <c r="C1658">
        <v>3377</v>
      </c>
      <c r="D1658" t="s">
        <v>22</v>
      </c>
      <c r="E1658" t="s">
        <v>14</v>
      </c>
      <c r="F1658" t="s">
        <v>20</v>
      </c>
      <c r="G1658">
        <v>1</v>
      </c>
      <c r="I1658">
        <v>1</v>
      </c>
      <c r="K1658">
        <v>1</v>
      </c>
      <c r="M1658">
        <v>1</v>
      </c>
      <c r="O1658">
        <v>1</v>
      </c>
      <c r="Q1658">
        <v>1</v>
      </c>
      <c r="S1658">
        <v>1</v>
      </c>
      <c r="U1658">
        <v>1</v>
      </c>
      <c r="W1658">
        <v>1</v>
      </c>
      <c r="Y1658">
        <v>1</v>
      </c>
      <c r="AA1658">
        <v>1</v>
      </c>
      <c r="AC1658">
        <v>1</v>
      </c>
      <c r="AE1658">
        <v>1</v>
      </c>
      <c r="AG1658">
        <v>1</v>
      </c>
      <c r="AJ1658">
        <v>1</v>
      </c>
      <c r="AM1658">
        <v>1</v>
      </c>
      <c r="AO1658">
        <v>1</v>
      </c>
      <c r="AQ1658">
        <v>1</v>
      </c>
      <c r="BA1658">
        <f>SUM(Pre[[#This Row],[1]:[46]])</f>
        <v>18</v>
      </c>
    </row>
    <row r="1659" spans="1:53" x14ac:dyDescent="0.2">
      <c r="A1659" t="s">
        <v>57</v>
      </c>
      <c r="B1659" t="s">
        <v>54</v>
      </c>
      <c r="C1659">
        <v>3962</v>
      </c>
      <c r="D1659" t="s">
        <v>22</v>
      </c>
      <c r="E1659" t="s">
        <v>8</v>
      </c>
      <c r="F1659" t="s">
        <v>23</v>
      </c>
      <c r="O1659">
        <v>1</v>
      </c>
      <c r="AD1659">
        <v>1</v>
      </c>
      <c r="AQ1659">
        <v>1</v>
      </c>
      <c r="BA1659">
        <f>SUM(Pre[[#This Row],[1]:[46]])</f>
        <v>3</v>
      </c>
    </row>
    <row r="1660" spans="1:53" x14ac:dyDescent="0.2">
      <c r="A1660" t="s">
        <v>57</v>
      </c>
      <c r="B1660" t="s">
        <v>54</v>
      </c>
      <c r="C1660">
        <v>4449</v>
      </c>
      <c r="D1660" t="s">
        <v>22</v>
      </c>
      <c r="E1660" t="s">
        <v>8</v>
      </c>
      <c r="F1660" t="s">
        <v>30</v>
      </c>
      <c r="O1660">
        <v>1</v>
      </c>
      <c r="AC1660">
        <v>1</v>
      </c>
      <c r="AP1660">
        <v>1</v>
      </c>
      <c r="BA1660">
        <f>SUM(Pre[[#This Row],[1]:[46]])</f>
        <v>3</v>
      </c>
    </row>
    <row r="1661" spans="1:53" x14ac:dyDescent="0.2">
      <c r="A1661" t="s">
        <v>57</v>
      </c>
      <c r="B1661" t="s">
        <v>54</v>
      </c>
      <c r="C1661">
        <v>5550</v>
      </c>
      <c r="D1661" t="s">
        <v>22</v>
      </c>
      <c r="E1661" t="s">
        <v>12</v>
      </c>
      <c r="F1661" t="s">
        <v>13</v>
      </c>
      <c r="O1661">
        <v>1</v>
      </c>
      <c r="AA1661">
        <v>1</v>
      </c>
      <c r="BA1661">
        <f>SUM(Pre[[#This Row],[1]:[46]])</f>
        <v>2</v>
      </c>
    </row>
    <row r="1662" spans="1:53" x14ac:dyDescent="0.2">
      <c r="A1662" t="s">
        <v>57</v>
      </c>
      <c r="B1662" t="s">
        <v>54</v>
      </c>
      <c r="C1662">
        <v>5782</v>
      </c>
      <c r="D1662" t="s">
        <v>22</v>
      </c>
      <c r="E1662" t="s">
        <v>14</v>
      </c>
      <c r="F1662" t="s">
        <v>31</v>
      </c>
      <c r="AW1662">
        <v>1</v>
      </c>
      <c r="BA1662">
        <f>SUM(Pre[[#This Row],[1]:[46]])</f>
        <v>1</v>
      </c>
    </row>
    <row r="1663" spans="1:53" x14ac:dyDescent="0.2">
      <c r="A1663" t="s">
        <v>57</v>
      </c>
      <c r="B1663" t="s">
        <v>54</v>
      </c>
      <c r="C1663">
        <v>5782</v>
      </c>
      <c r="D1663" t="s">
        <v>22</v>
      </c>
      <c r="E1663" t="s">
        <v>14</v>
      </c>
      <c r="F1663" t="s">
        <v>28</v>
      </c>
      <c r="AK1663">
        <v>1</v>
      </c>
      <c r="AW1663">
        <v>1</v>
      </c>
      <c r="BA1663">
        <f>SUM(Pre[[#This Row],[1]:[46]])</f>
        <v>2</v>
      </c>
    </row>
    <row r="1664" spans="1:53" x14ac:dyDescent="0.2">
      <c r="A1664" t="s">
        <v>57</v>
      </c>
      <c r="B1664" t="s">
        <v>54</v>
      </c>
      <c r="C1664">
        <v>5808</v>
      </c>
      <c r="D1664" t="s">
        <v>22</v>
      </c>
      <c r="E1664" t="s">
        <v>10</v>
      </c>
      <c r="F1664" t="s">
        <v>11</v>
      </c>
      <c r="J1664">
        <v>1</v>
      </c>
      <c r="Q1664">
        <v>1</v>
      </c>
      <c r="AC1664">
        <v>1</v>
      </c>
      <c r="AO1664">
        <v>1</v>
      </c>
      <c r="BA1664">
        <f>SUM(Pre[[#This Row],[1]:[46]])</f>
        <v>4</v>
      </c>
    </row>
    <row r="1665" spans="1:53" x14ac:dyDescent="0.2">
      <c r="A1665" t="s">
        <v>57</v>
      </c>
      <c r="B1665" t="s">
        <v>54</v>
      </c>
      <c r="C1665">
        <v>5808</v>
      </c>
      <c r="D1665" t="s">
        <v>22</v>
      </c>
      <c r="E1665" t="s">
        <v>14</v>
      </c>
      <c r="F1665" t="s">
        <v>19</v>
      </c>
      <c r="BA1665">
        <f>SUM(Pre[[#This Row],[1]:[46]])</f>
        <v>0</v>
      </c>
    </row>
    <row r="1666" spans="1:53" x14ac:dyDescent="0.2">
      <c r="A1666" t="s">
        <v>57</v>
      </c>
      <c r="B1666" t="s">
        <v>54</v>
      </c>
      <c r="C1666">
        <v>5808</v>
      </c>
      <c r="D1666" t="s">
        <v>22</v>
      </c>
      <c r="E1666" t="s">
        <v>14</v>
      </c>
      <c r="F1666" t="s">
        <v>21</v>
      </c>
      <c r="BA1666">
        <f>SUM(Pre[[#This Row],[1]:[46]])</f>
        <v>0</v>
      </c>
    </row>
    <row r="1667" spans="1:53" x14ac:dyDescent="0.2">
      <c r="A1667" t="s">
        <v>57</v>
      </c>
      <c r="B1667" t="s">
        <v>54</v>
      </c>
      <c r="C1667">
        <v>6781</v>
      </c>
      <c r="D1667" t="s">
        <v>22</v>
      </c>
      <c r="E1667" t="s">
        <v>10</v>
      </c>
      <c r="F1667" t="s">
        <v>11</v>
      </c>
      <c r="BA1667">
        <f>SUM(Pre[[#This Row],[1]:[46]])</f>
        <v>0</v>
      </c>
    </row>
    <row r="1668" spans="1:53" x14ac:dyDescent="0.2">
      <c r="A1668" t="s">
        <v>57</v>
      </c>
      <c r="B1668" t="s">
        <v>54</v>
      </c>
      <c r="C1668">
        <v>6781</v>
      </c>
      <c r="D1668" t="s">
        <v>22</v>
      </c>
      <c r="E1668" t="s">
        <v>14</v>
      </c>
      <c r="F1668" t="s">
        <v>20</v>
      </c>
      <c r="H1668">
        <v>1</v>
      </c>
      <c r="BA1668">
        <f>SUM(Pre[[#This Row],[1]:[46]])</f>
        <v>1</v>
      </c>
    </row>
    <row r="1669" spans="1:53" x14ac:dyDescent="0.2">
      <c r="A1669" t="s">
        <v>57</v>
      </c>
      <c r="B1669" t="s">
        <v>54</v>
      </c>
      <c r="C1669">
        <v>6800</v>
      </c>
      <c r="D1669" t="s">
        <v>22</v>
      </c>
      <c r="E1669" t="s">
        <v>14</v>
      </c>
      <c r="F1669" t="s">
        <v>20</v>
      </c>
      <c r="AF1669">
        <v>1</v>
      </c>
      <c r="BA1669">
        <f>SUM(Pre[[#This Row],[1]:[46]])</f>
        <v>1</v>
      </c>
    </row>
    <row r="1670" spans="1:53" x14ac:dyDescent="0.2">
      <c r="A1670" t="s">
        <v>57</v>
      </c>
      <c r="B1670" t="s">
        <v>54</v>
      </c>
      <c r="C1670">
        <v>7588</v>
      </c>
      <c r="D1670" t="s">
        <v>22</v>
      </c>
      <c r="E1670" t="s">
        <v>8</v>
      </c>
      <c r="F1670" t="s">
        <v>9</v>
      </c>
      <c r="Q1670">
        <v>1</v>
      </c>
      <c r="AO1670">
        <v>1</v>
      </c>
      <c r="BA1670">
        <f>SUM(Pre[[#This Row],[1]:[46]])</f>
        <v>2</v>
      </c>
    </row>
    <row r="1671" spans="1:53" x14ac:dyDescent="0.2">
      <c r="A1671" t="s">
        <v>57</v>
      </c>
      <c r="B1671" t="s">
        <v>54</v>
      </c>
      <c r="C1671">
        <v>7588</v>
      </c>
      <c r="D1671" t="s">
        <v>22</v>
      </c>
      <c r="E1671" t="s">
        <v>8</v>
      </c>
      <c r="F1671" t="s">
        <v>29</v>
      </c>
      <c r="BA1671">
        <f>SUM(Pre[[#This Row],[1]:[46]])</f>
        <v>0</v>
      </c>
    </row>
    <row r="1672" spans="1:53" x14ac:dyDescent="0.2">
      <c r="A1672" t="s">
        <v>57</v>
      </c>
      <c r="B1672" t="s">
        <v>54</v>
      </c>
      <c r="C1672">
        <v>7732</v>
      </c>
      <c r="D1672" t="s">
        <v>22</v>
      </c>
      <c r="E1672" t="s">
        <v>14</v>
      </c>
      <c r="F1672" t="s">
        <v>35</v>
      </c>
      <c r="G1672">
        <v>1</v>
      </c>
      <c r="K1672">
        <v>1</v>
      </c>
      <c r="O1672">
        <v>1</v>
      </c>
      <c r="R1672">
        <v>1</v>
      </c>
      <c r="Y1672">
        <v>1</v>
      </c>
      <c r="AB1672">
        <v>1</v>
      </c>
      <c r="BA1672">
        <f>SUM(Pre[[#This Row],[1]:[46]])</f>
        <v>6</v>
      </c>
    </row>
    <row r="1673" spans="1:53" x14ac:dyDescent="0.2">
      <c r="A1673" t="s">
        <v>57</v>
      </c>
      <c r="B1673" t="s">
        <v>54</v>
      </c>
      <c r="C1673">
        <v>7732</v>
      </c>
      <c r="D1673" t="s">
        <v>22</v>
      </c>
      <c r="E1673" t="s">
        <v>14</v>
      </c>
      <c r="F1673" t="s">
        <v>21</v>
      </c>
      <c r="AF1673">
        <v>1</v>
      </c>
      <c r="AS1673">
        <v>1</v>
      </c>
      <c r="BA1673">
        <f>SUM(Pre[[#This Row],[1]:[46]])</f>
        <v>2</v>
      </c>
    </row>
    <row r="1674" spans="1:53" x14ac:dyDescent="0.2">
      <c r="A1674" t="s">
        <v>57</v>
      </c>
      <c r="B1674" t="s">
        <v>54</v>
      </c>
      <c r="C1674">
        <v>8046</v>
      </c>
      <c r="D1674" t="s">
        <v>22</v>
      </c>
      <c r="E1674" t="s">
        <v>8</v>
      </c>
      <c r="F1674" t="s">
        <v>23</v>
      </c>
      <c r="G1674">
        <v>1</v>
      </c>
      <c r="AK1674">
        <v>1</v>
      </c>
      <c r="BA1674">
        <f>SUM(Pre[[#This Row],[1]:[46]])</f>
        <v>2</v>
      </c>
    </row>
    <row r="1675" spans="1:53" x14ac:dyDescent="0.2">
      <c r="A1675" t="s">
        <v>57</v>
      </c>
      <c r="B1675" t="s">
        <v>54</v>
      </c>
      <c r="C1675">
        <v>8091</v>
      </c>
      <c r="D1675" t="s">
        <v>22</v>
      </c>
      <c r="E1675" t="s">
        <v>14</v>
      </c>
      <c r="F1675" t="s">
        <v>20</v>
      </c>
      <c r="I1675">
        <v>1</v>
      </c>
      <c r="L1675">
        <v>1</v>
      </c>
      <c r="P1675">
        <v>1</v>
      </c>
      <c r="T1675">
        <v>1</v>
      </c>
      <c r="X1675">
        <v>1</v>
      </c>
      <c r="AB1675">
        <v>1</v>
      </c>
      <c r="AF1675">
        <v>1</v>
      </c>
      <c r="AL1675">
        <v>1</v>
      </c>
      <c r="AN1675">
        <v>1</v>
      </c>
      <c r="AR1675">
        <v>1</v>
      </c>
      <c r="AV1675">
        <v>1</v>
      </c>
      <c r="AZ1675">
        <v>1</v>
      </c>
      <c r="BA1675">
        <f>SUM(Pre[[#This Row],[1]:[46]])</f>
        <v>12</v>
      </c>
    </row>
    <row r="1676" spans="1:53" x14ac:dyDescent="0.2">
      <c r="A1676" t="s">
        <v>57</v>
      </c>
      <c r="B1676" t="s">
        <v>54</v>
      </c>
      <c r="C1676">
        <v>8420</v>
      </c>
      <c r="D1676" t="s">
        <v>22</v>
      </c>
      <c r="E1676" t="s">
        <v>8</v>
      </c>
      <c r="F1676" t="s">
        <v>9</v>
      </c>
      <c r="H1676">
        <v>1</v>
      </c>
      <c r="Q1676">
        <v>1</v>
      </c>
      <c r="T1676">
        <v>1</v>
      </c>
      <c r="X1676">
        <v>2</v>
      </c>
      <c r="AB1676">
        <v>1</v>
      </c>
      <c r="AF1676">
        <v>1</v>
      </c>
      <c r="AJ1676">
        <v>1</v>
      </c>
      <c r="AN1676">
        <v>1</v>
      </c>
      <c r="AS1676">
        <v>1</v>
      </c>
      <c r="AW1676">
        <v>1</v>
      </c>
      <c r="BA1676">
        <f>SUM(Pre[[#This Row],[1]:[46]])</f>
        <v>11</v>
      </c>
    </row>
    <row r="1677" spans="1:53" x14ac:dyDescent="0.2">
      <c r="A1677" t="s">
        <v>57</v>
      </c>
      <c r="B1677" t="s">
        <v>54</v>
      </c>
      <c r="C1677">
        <v>8614</v>
      </c>
      <c r="D1677" t="s">
        <v>22</v>
      </c>
      <c r="E1677" t="s">
        <v>14</v>
      </c>
      <c r="F1677" t="s">
        <v>20</v>
      </c>
      <c r="T1677">
        <v>1</v>
      </c>
      <c r="AE1677">
        <v>1</v>
      </c>
      <c r="AR1677">
        <v>1</v>
      </c>
      <c r="BA1677">
        <f>SUM(Pre[[#This Row],[1]:[46]])</f>
        <v>3</v>
      </c>
    </row>
    <row r="1678" spans="1:53" x14ac:dyDescent="0.2">
      <c r="A1678" t="s">
        <v>57</v>
      </c>
      <c r="B1678" t="s">
        <v>54</v>
      </c>
      <c r="C1678">
        <v>9038</v>
      </c>
      <c r="D1678" t="s">
        <v>22</v>
      </c>
      <c r="E1678" t="s">
        <v>10</v>
      </c>
      <c r="F1678" t="s">
        <v>11</v>
      </c>
      <c r="T1678">
        <v>1</v>
      </c>
      <c r="AR1678">
        <v>1</v>
      </c>
      <c r="BA1678">
        <f>SUM(Pre[[#This Row],[1]:[46]])</f>
        <v>2</v>
      </c>
    </row>
    <row r="1679" spans="1:53" x14ac:dyDescent="0.2">
      <c r="A1679" t="s">
        <v>57</v>
      </c>
      <c r="B1679" t="s">
        <v>54</v>
      </c>
      <c r="C1679">
        <v>9386</v>
      </c>
      <c r="D1679" t="s">
        <v>22</v>
      </c>
      <c r="E1679" t="s">
        <v>8</v>
      </c>
      <c r="F1679" t="s">
        <v>29</v>
      </c>
      <c r="G1679">
        <v>1</v>
      </c>
      <c r="T1679">
        <v>1</v>
      </c>
      <c r="AB1679">
        <v>1</v>
      </c>
      <c r="AQ1679">
        <v>1</v>
      </c>
      <c r="BA1679">
        <f>SUM(Pre[[#This Row],[1]:[46]])</f>
        <v>4</v>
      </c>
    </row>
    <row r="1680" spans="1:53" x14ac:dyDescent="0.2">
      <c r="A1680" t="s">
        <v>57</v>
      </c>
      <c r="B1680" t="s">
        <v>54</v>
      </c>
      <c r="C1680">
        <v>9386</v>
      </c>
      <c r="D1680" t="s">
        <v>22</v>
      </c>
      <c r="E1680" t="s">
        <v>14</v>
      </c>
      <c r="F1680" t="s">
        <v>21</v>
      </c>
      <c r="AB1680">
        <v>1</v>
      </c>
      <c r="BA1680">
        <f>SUM(Pre[[#This Row],[1]:[46]])</f>
        <v>1</v>
      </c>
    </row>
    <row r="1681" spans="1:53" x14ac:dyDescent="0.2">
      <c r="A1681" t="s">
        <v>57</v>
      </c>
      <c r="B1681" t="s">
        <v>54</v>
      </c>
      <c r="C1681">
        <v>9464</v>
      </c>
      <c r="D1681" t="s">
        <v>22</v>
      </c>
      <c r="E1681" t="s">
        <v>8</v>
      </c>
      <c r="F1681" t="s">
        <v>23</v>
      </c>
      <c r="O1681">
        <v>1</v>
      </c>
      <c r="AJ1681">
        <v>1</v>
      </c>
      <c r="AX1681">
        <v>1</v>
      </c>
      <c r="BA1681">
        <f>SUM(Pre[[#This Row],[1]:[46]])</f>
        <v>3</v>
      </c>
    </row>
    <row r="1682" spans="1:53" x14ac:dyDescent="0.2">
      <c r="A1682" t="s">
        <v>57</v>
      </c>
      <c r="B1682" t="s">
        <v>54</v>
      </c>
      <c r="C1682">
        <v>9562</v>
      </c>
      <c r="D1682" t="s">
        <v>22</v>
      </c>
      <c r="E1682" t="s">
        <v>8</v>
      </c>
      <c r="F1682" t="s">
        <v>23</v>
      </c>
      <c r="K1682">
        <v>1</v>
      </c>
      <c r="W1682">
        <v>1</v>
      </c>
      <c r="AI1682">
        <v>1</v>
      </c>
      <c r="AV1682">
        <v>1</v>
      </c>
      <c r="BA1682">
        <f>SUM(Pre[[#This Row],[1]:[46]])</f>
        <v>4</v>
      </c>
    </row>
    <row r="1683" spans="1:53" x14ac:dyDescent="0.2">
      <c r="A1683" t="s">
        <v>57</v>
      </c>
      <c r="B1683" t="s">
        <v>54</v>
      </c>
      <c r="C1683">
        <v>10103</v>
      </c>
      <c r="D1683" t="s">
        <v>22</v>
      </c>
      <c r="E1683" t="s">
        <v>14</v>
      </c>
      <c r="F1683" t="s">
        <v>20</v>
      </c>
      <c r="O1683">
        <v>2</v>
      </c>
      <c r="U1683">
        <v>1</v>
      </c>
      <c r="W1683">
        <v>1</v>
      </c>
      <c r="AG1683">
        <v>1</v>
      </c>
      <c r="AO1683">
        <v>1</v>
      </c>
      <c r="AW1683">
        <v>2</v>
      </c>
      <c r="BA1683">
        <f>SUM(Pre[[#This Row],[1]:[46]])</f>
        <v>8</v>
      </c>
    </row>
    <row r="1684" spans="1:53" x14ac:dyDescent="0.2">
      <c r="A1684" t="s">
        <v>57</v>
      </c>
      <c r="B1684" t="s">
        <v>54</v>
      </c>
      <c r="C1684">
        <v>12312</v>
      </c>
      <c r="D1684" t="s">
        <v>22</v>
      </c>
      <c r="E1684" t="s">
        <v>14</v>
      </c>
      <c r="F1684" t="s">
        <v>19</v>
      </c>
      <c r="Q1684">
        <v>2</v>
      </c>
      <c r="R1684">
        <v>1</v>
      </c>
      <c r="BA1684">
        <f>SUM(Pre[[#This Row],[1]:[46]])</f>
        <v>3</v>
      </c>
    </row>
    <row r="1685" spans="1:53" x14ac:dyDescent="0.2">
      <c r="A1685" t="s">
        <v>57</v>
      </c>
      <c r="B1685" t="s">
        <v>54</v>
      </c>
      <c r="C1685">
        <v>12312</v>
      </c>
      <c r="D1685" t="s">
        <v>22</v>
      </c>
      <c r="E1685" t="s">
        <v>14</v>
      </c>
      <c r="F1685" t="s">
        <v>21</v>
      </c>
      <c r="P1685">
        <v>1</v>
      </c>
      <c r="Q1685">
        <v>1</v>
      </c>
      <c r="R1685">
        <v>1</v>
      </c>
      <c r="BA1685">
        <f>SUM(Pre[[#This Row],[1]:[46]])</f>
        <v>3</v>
      </c>
    </row>
    <row r="1686" spans="1:53" x14ac:dyDescent="0.2">
      <c r="A1686" t="s">
        <v>57</v>
      </c>
      <c r="B1686" t="s">
        <v>54</v>
      </c>
      <c r="C1686">
        <v>12312</v>
      </c>
      <c r="D1686" t="s">
        <v>22</v>
      </c>
      <c r="E1686" t="s">
        <v>14</v>
      </c>
      <c r="F1686" t="s">
        <v>20</v>
      </c>
      <c r="AN1686">
        <v>1</v>
      </c>
      <c r="AR1686">
        <v>1</v>
      </c>
      <c r="AW1686">
        <v>1</v>
      </c>
      <c r="BA1686">
        <f>SUM(Pre[[#This Row],[1]:[46]])</f>
        <v>3</v>
      </c>
    </row>
    <row r="1687" spans="1:53" x14ac:dyDescent="0.2">
      <c r="A1687" t="s">
        <v>57</v>
      </c>
      <c r="B1687" t="s">
        <v>54</v>
      </c>
      <c r="C1687">
        <v>12743</v>
      </c>
      <c r="D1687" t="s">
        <v>22</v>
      </c>
      <c r="E1687" t="s">
        <v>10</v>
      </c>
      <c r="F1687" t="s">
        <v>11</v>
      </c>
      <c r="AG1687">
        <v>1</v>
      </c>
      <c r="BA1687">
        <f>SUM(Pre[[#This Row],[1]:[46]])</f>
        <v>1</v>
      </c>
    </row>
    <row r="1688" spans="1:53" x14ac:dyDescent="0.2">
      <c r="A1688" t="s">
        <v>57</v>
      </c>
      <c r="B1688" t="s">
        <v>54</v>
      </c>
      <c r="C1688">
        <v>13535</v>
      </c>
      <c r="D1688" t="s">
        <v>22</v>
      </c>
      <c r="E1688" t="s">
        <v>14</v>
      </c>
      <c r="F1688" t="s">
        <v>20</v>
      </c>
      <c r="H1688">
        <v>1</v>
      </c>
      <c r="AD1688">
        <v>1</v>
      </c>
      <c r="AO1688">
        <v>1</v>
      </c>
      <c r="BA1688">
        <f>SUM(Pre[[#This Row],[1]:[46]])</f>
        <v>3</v>
      </c>
    </row>
    <row r="1689" spans="1:53" x14ac:dyDescent="0.2">
      <c r="A1689" t="s">
        <v>57</v>
      </c>
      <c r="B1689" t="s">
        <v>54</v>
      </c>
      <c r="C1689">
        <v>14993</v>
      </c>
      <c r="D1689" t="s">
        <v>22</v>
      </c>
      <c r="E1689" t="s">
        <v>14</v>
      </c>
      <c r="F1689" t="s">
        <v>20</v>
      </c>
      <c r="G1689">
        <v>1</v>
      </c>
      <c r="M1689">
        <v>1</v>
      </c>
      <c r="AJ1689">
        <v>2</v>
      </c>
      <c r="BA1689">
        <f>SUM(Pre[[#This Row],[1]:[46]])</f>
        <v>4</v>
      </c>
    </row>
    <row r="1690" spans="1:53" x14ac:dyDescent="0.2">
      <c r="A1690" t="s">
        <v>57</v>
      </c>
      <c r="B1690" t="s">
        <v>54</v>
      </c>
      <c r="C1690">
        <v>15086</v>
      </c>
      <c r="D1690" t="s">
        <v>22</v>
      </c>
      <c r="E1690" t="s">
        <v>14</v>
      </c>
      <c r="F1690" t="s">
        <v>20</v>
      </c>
      <c r="AI1690">
        <v>2</v>
      </c>
      <c r="BA1690">
        <f>SUM(Pre[[#This Row],[1]:[46]])</f>
        <v>2</v>
      </c>
    </row>
    <row r="1691" spans="1:53" x14ac:dyDescent="0.2">
      <c r="A1691" t="s">
        <v>57</v>
      </c>
      <c r="B1691" t="s">
        <v>54</v>
      </c>
      <c r="C1691">
        <v>16033</v>
      </c>
      <c r="D1691" t="s">
        <v>22</v>
      </c>
      <c r="E1691" t="s">
        <v>14</v>
      </c>
      <c r="F1691" t="s">
        <v>20</v>
      </c>
      <c r="AC1691">
        <v>2</v>
      </c>
      <c r="BA1691">
        <f>SUM(Pre[[#This Row],[1]:[46]])</f>
        <v>2</v>
      </c>
    </row>
    <row r="1692" spans="1:53" x14ac:dyDescent="0.2">
      <c r="A1692" t="s">
        <v>57</v>
      </c>
      <c r="B1692" t="s">
        <v>54</v>
      </c>
      <c r="C1692">
        <v>16202</v>
      </c>
      <c r="D1692" t="s">
        <v>22</v>
      </c>
      <c r="E1692" t="s">
        <v>14</v>
      </c>
      <c r="F1692" t="s">
        <v>19</v>
      </c>
      <c r="J1692">
        <v>1</v>
      </c>
      <c r="P1692">
        <v>1</v>
      </c>
      <c r="V1692">
        <v>1</v>
      </c>
      <c r="Z1692">
        <v>1</v>
      </c>
      <c r="AE1692">
        <v>1</v>
      </c>
      <c r="AN1692">
        <v>1</v>
      </c>
      <c r="BA1692">
        <f>SUM(Pre[[#This Row],[1]:[46]])</f>
        <v>6</v>
      </c>
    </row>
    <row r="1693" spans="1:53" x14ac:dyDescent="0.2">
      <c r="A1693" t="s">
        <v>57</v>
      </c>
      <c r="B1693" t="s">
        <v>54</v>
      </c>
      <c r="C1693">
        <v>17448</v>
      </c>
      <c r="D1693" t="s">
        <v>22</v>
      </c>
      <c r="E1693" t="s">
        <v>10</v>
      </c>
      <c r="F1693" t="s">
        <v>11</v>
      </c>
      <c r="BA1693">
        <f>SUM(Pre[[#This Row],[1]:[46]])</f>
        <v>0</v>
      </c>
    </row>
    <row r="1694" spans="1:53" x14ac:dyDescent="0.2">
      <c r="A1694" t="s">
        <v>57</v>
      </c>
      <c r="B1694" t="s">
        <v>54</v>
      </c>
      <c r="C1694">
        <v>17448</v>
      </c>
      <c r="D1694" t="s">
        <v>22</v>
      </c>
      <c r="E1694" t="s">
        <v>14</v>
      </c>
      <c r="F1694" t="s">
        <v>21</v>
      </c>
      <c r="L1694">
        <v>1</v>
      </c>
      <c r="V1694">
        <v>1</v>
      </c>
      <c r="AD1694">
        <v>2</v>
      </c>
      <c r="AT1694">
        <v>1</v>
      </c>
      <c r="BA1694">
        <f>SUM(Pre[[#This Row],[1]:[46]])</f>
        <v>5</v>
      </c>
    </row>
    <row r="1695" spans="1:53" x14ac:dyDescent="0.2">
      <c r="A1695" t="s">
        <v>57</v>
      </c>
      <c r="B1695" t="s">
        <v>54</v>
      </c>
      <c r="C1695">
        <v>17950</v>
      </c>
      <c r="D1695" t="s">
        <v>22</v>
      </c>
      <c r="E1695" t="s">
        <v>8</v>
      </c>
      <c r="F1695" t="s">
        <v>23</v>
      </c>
      <c r="H1695">
        <v>1</v>
      </c>
      <c r="U1695">
        <v>1</v>
      </c>
      <c r="AH1695">
        <v>1</v>
      </c>
      <c r="AL1695">
        <v>1</v>
      </c>
      <c r="AY1695">
        <v>1</v>
      </c>
      <c r="BA1695">
        <f>SUM(Pre[[#This Row],[1]:[46]])</f>
        <v>5</v>
      </c>
    </row>
    <row r="1696" spans="1:53" x14ac:dyDescent="0.2">
      <c r="A1696" t="s">
        <v>57</v>
      </c>
      <c r="B1696" t="s">
        <v>54</v>
      </c>
      <c r="C1696">
        <v>17950</v>
      </c>
      <c r="D1696" t="s">
        <v>22</v>
      </c>
      <c r="E1696" t="s">
        <v>14</v>
      </c>
      <c r="F1696" t="s">
        <v>20</v>
      </c>
      <c r="L1696">
        <v>1</v>
      </c>
      <c r="Y1696">
        <v>1</v>
      </c>
      <c r="AL1696">
        <v>1</v>
      </c>
      <c r="AY1696">
        <v>2</v>
      </c>
      <c r="BA1696">
        <f>SUM(Pre[[#This Row],[1]:[46]])</f>
        <v>5</v>
      </c>
    </row>
    <row r="1697" spans="1:53" x14ac:dyDescent="0.2">
      <c r="A1697" t="s">
        <v>57</v>
      </c>
      <c r="B1697" t="s">
        <v>54</v>
      </c>
      <c r="C1697">
        <v>18034</v>
      </c>
      <c r="D1697" t="s">
        <v>22</v>
      </c>
      <c r="E1697" t="s">
        <v>8</v>
      </c>
      <c r="F1697" t="s">
        <v>23</v>
      </c>
      <c r="H1697">
        <v>1</v>
      </c>
      <c r="L1697">
        <v>1</v>
      </c>
      <c r="P1697">
        <v>1</v>
      </c>
      <c r="S1697">
        <v>1</v>
      </c>
      <c r="W1697">
        <v>1</v>
      </c>
      <c r="AB1697">
        <v>1</v>
      </c>
      <c r="AK1697">
        <v>1</v>
      </c>
      <c r="AO1697">
        <v>1</v>
      </c>
      <c r="BA1697">
        <f>SUM(Pre[[#This Row],[1]:[46]])</f>
        <v>8</v>
      </c>
    </row>
    <row r="1698" spans="1:53" x14ac:dyDescent="0.2">
      <c r="A1698" t="s">
        <v>57</v>
      </c>
      <c r="B1698" t="s">
        <v>54</v>
      </c>
      <c r="C1698">
        <v>18703</v>
      </c>
      <c r="D1698" t="s">
        <v>22</v>
      </c>
      <c r="E1698" t="s">
        <v>14</v>
      </c>
      <c r="F1698" t="s">
        <v>19</v>
      </c>
      <c r="L1698">
        <v>1</v>
      </c>
      <c r="S1698">
        <v>1</v>
      </c>
      <c r="AD1698">
        <v>1</v>
      </c>
      <c r="AQ1698">
        <v>1</v>
      </c>
      <c r="BA1698">
        <f>SUM(Pre[[#This Row],[1]:[46]])</f>
        <v>4</v>
      </c>
    </row>
    <row r="1699" spans="1:53" x14ac:dyDescent="0.2">
      <c r="A1699" t="s">
        <v>57</v>
      </c>
      <c r="B1699" t="s">
        <v>54</v>
      </c>
      <c r="C1699">
        <v>19004</v>
      </c>
      <c r="D1699" t="s">
        <v>22</v>
      </c>
      <c r="E1699" t="s">
        <v>14</v>
      </c>
      <c r="F1699" t="s">
        <v>21</v>
      </c>
      <c r="K1699">
        <v>1</v>
      </c>
      <c r="O1699">
        <v>1</v>
      </c>
      <c r="S1699">
        <v>1</v>
      </c>
      <c r="AB1699">
        <v>2</v>
      </c>
      <c r="AS1699">
        <v>4</v>
      </c>
      <c r="BA1699">
        <f>SUM(Pre[[#This Row],[1]:[46]])</f>
        <v>9</v>
      </c>
    </row>
    <row r="1700" spans="1:53" x14ac:dyDescent="0.2">
      <c r="A1700" t="s">
        <v>57</v>
      </c>
      <c r="B1700" t="s">
        <v>54</v>
      </c>
      <c r="C1700">
        <v>19954</v>
      </c>
      <c r="D1700" t="s">
        <v>22</v>
      </c>
      <c r="E1700" t="s">
        <v>8</v>
      </c>
      <c r="F1700" t="s">
        <v>30</v>
      </c>
      <c r="AM1700">
        <v>1</v>
      </c>
      <c r="AN1700">
        <v>1</v>
      </c>
      <c r="BA1700">
        <f>SUM(Pre[[#This Row],[1]:[46]])</f>
        <v>2</v>
      </c>
    </row>
    <row r="1701" spans="1:53" x14ac:dyDescent="0.2">
      <c r="A1701" t="s">
        <v>57</v>
      </c>
      <c r="B1701" t="s">
        <v>54</v>
      </c>
      <c r="C1701">
        <v>21663</v>
      </c>
      <c r="D1701" t="s">
        <v>22</v>
      </c>
      <c r="E1701" t="s">
        <v>14</v>
      </c>
      <c r="F1701" t="s">
        <v>20</v>
      </c>
      <c r="M1701">
        <v>1</v>
      </c>
      <c r="T1701">
        <v>1</v>
      </c>
      <c r="AB1701">
        <v>1</v>
      </c>
      <c r="AL1701">
        <v>1</v>
      </c>
      <c r="AV1701">
        <v>1</v>
      </c>
      <c r="BA1701">
        <f>SUM(Pre[[#This Row],[1]:[46]])</f>
        <v>5</v>
      </c>
    </row>
    <row r="1702" spans="1:53" x14ac:dyDescent="0.2">
      <c r="A1702" t="s">
        <v>57</v>
      </c>
      <c r="B1702" t="s">
        <v>54</v>
      </c>
      <c r="C1702">
        <v>23766</v>
      </c>
      <c r="D1702" t="s">
        <v>22</v>
      </c>
      <c r="E1702" t="s">
        <v>14</v>
      </c>
      <c r="F1702" t="s">
        <v>35</v>
      </c>
      <c r="U1702">
        <v>1</v>
      </c>
      <c r="AM1702">
        <v>1</v>
      </c>
      <c r="AZ1702">
        <v>1</v>
      </c>
      <c r="BA1702">
        <f>SUM(Pre[[#This Row],[1]:[46]])</f>
        <v>3</v>
      </c>
    </row>
    <row r="1703" spans="1:53" x14ac:dyDescent="0.2">
      <c r="A1703" t="s">
        <v>57</v>
      </c>
      <c r="B1703" t="s">
        <v>54</v>
      </c>
      <c r="C1703">
        <v>23766</v>
      </c>
      <c r="D1703" t="s">
        <v>22</v>
      </c>
      <c r="E1703" t="s">
        <v>14</v>
      </c>
      <c r="F1703" t="s">
        <v>19</v>
      </c>
      <c r="AH1703">
        <v>1</v>
      </c>
      <c r="BA1703">
        <f>SUM(Pre[[#This Row],[1]:[46]])</f>
        <v>1</v>
      </c>
    </row>
    <row r="1704" spans="1:53" x14ac:dyDescent="0.2">
      <c r="A1704" t="s">
        <v>57</v>
      </c>
      <c r="B1704" t="s">
        <v>54</v>
      </c>
      <c r="C1704">
        <v>26610</v>
      </c>
      <c r="D1704" t="s">
        <v>22</v>
      </c>
      <c r="E1704" t="s">
        <v>14</v>
      </c>
      <c r="F1704" t="s">
        <v>19</v>
      </c>
      <c r="AQ1704">
        <v>1</v>
      </c>
      <c r="BA1704">
        <f>SUM(Pre[[#This Row],[1]:[46]])</f>
        <v>1</v>
      </c>
    </row>
    <row r="1705" spans="1:53" x14ac:dyDescent="0.2">
      <c r="A1705" t="s">
        <v>57</v>
      </c>
      <c r="B1705" t="s">
        <v>54</v>
      </c>
      <c r="C1705">
        <v>26610</v>
      </c>
      <c r="D1705" t="s">
        <v>22</v>
      </c>
      <c r="E1705" t="s">
        <v>14</v>
      </c>
      <c r="F1705" t="s">
        <v>21</v>
      </c>
      <c r="H1705">
        <v>1</v>
      </c>
      <c r="J1705">
        <v>1</v>
      </c>
      <c r="BA1705">
        <f>SUM(Pre[[#This Row],[1]:[46]])</f>
        <v>2</v>
      </c>
    </row>
    <row r="1706" spans="1:53" x14ac:dyDescent="0.2">
      <c r="A1706" t="s">
        <v>57</v>
      </c>
      <c r="B1706" t="s">
        <v>54</v>
      </c>
      <c r="C1706">
        <v>26839</v>
      </c>
      <c r="D1706" t="s">
        <v>22</v>
      </c>
      <c r="E1706" t="s">
        <v>14</v>
      </c>
      <c r="F1706" t="s">
        <v>21</v>
      </c>
      <c r="S1706">
        <v>1</v>
      </c>
      <c r="AG1706">
        <v>1</v>
      </c>
      <c r="AT1706">
        <v>1</v>
      </c>
      <c r="BA1706">
        <f>SUM(Pre[[#This Row],[1]:[46]])</f>
        <v>3</v>
      </c>
    </row>
    <row r="1707" spans="1:53" x14ac:dyDescent="0.2">
      <c r="A1707" t="s">
        <v>57</v>
      </c>
      <c r="B1707" t="s">
        <v>54</v>
      </c>
      <c r="C1707">
        <v>27144</v>
      </c>
      <c r="D1707" t="s">
        <v>22</v>
      </c>
      <c r="E1707" t="s">
        <v>14</v>
      </c>
      <c r="F1707" t="s">
        <v>31</v>
      </c>
      <c r="P1707">
        <v>1</v>
      </c>
      <c r="AP1707">
        <v>1</v>
      </c>
      <c r="BA1707">
        <f>SUM(Pre[[#This Row],[1]:[46]])</f>
        <v>2</v>
      </c>
    </row>
    <row r="1708" spans="1:53" x14ac:dyDescent="0.2">
      <c r="A1708" t="s">
        <v>57</v>
      </c>
      <c r="B1708" t="s">
        <v>54</v>
      </c>
      <c r="C1708">
        <v>28140</v>
      </c>
      <c r="D1708" t="s">
        <v>22</v>
      </c>
      <c r="E1708" t="s">
        <v>14</v>
      </c>
      <c r="F1708" t="s">
        <v>19</v>
      </c>
      <c r="H1708">
        <v>1</v>
      </c>
      <c r="M1708">
        <v>1</v>
      </c>
      <c r="S1708">
        <v>1</v>
      </c>
      <c r="Y1708">
        <v>1</v>
      </c>
      <c r="AD1708">
        <v>1</v>
      </c>
      <c r="AJ1708">
        <v>1</v>
      </c>
      <c r="AP1708">
        <v>1</v>
      </c>
      <c r="AV1708">
        <v>1</v>
      </c>
      <c r="BA1708">
        <f>SUM(Pre[[#This Row],[1]:[46]])</f>
        <v>8</v>
      </c>
    </row>
    <row r="1709" spans="1:53" x14ac:dyDescent="0.2">
      <c r="A1709" t="s">
        <v>57</v>
      </c>
      <c r="B1709" t="s">
        <v>54</v>
      </c>
      <c r="C1709">
        <v>28572</v>
      </c>
      <c r="D1709" t="s">
        <v>22</v>
      </c>
      <c r="E1709" t="s">
        <v>14</v>
      </c>
      <c r="F1709" t="s">
        <v>19</v>
      </c>
      <c r="S1709">
        <v>1</v>
      </c>
      <c r="AH1709">
        <v>1</v>
      </c>
      <c r="AY1709">
        <v>1</v>
      </c>
      <c r="BA1709">
        <f>SUM(Pre[[#This Row],[1]:[46]])</f>
        <v>3</v>
      </c>
    </row>
    <row r="1710" spans="1:53" x14ac:dyDescent="0.2">
      <c r="A1710" t="s">
        <v>57</v>
      </c>
      <c r="B1710" t="s">
        <v>54</v>
      </c>
      <c r="C1710">
        <v>29950</v>
      </c>
      <c r="D1710" t="s">
        <v>22</v>
      </c>
      <c r="E1710" t="s">
        <v>8</v>
      </c>
      <c r="F1710" t="s">
        <v>23</v>
      </c>
      <c r="J1710">
        <v>1</v>
      </c>
      <c r="S1710">
        <v>1</v>
      </c>
      <c r="BA1710">
        <f>SUM(Pre[[#This Row],[1]:[46]])</f>
        <v>2</v>
      </c>
    </row>
    <row r="1711" spans="1:53" x14ac:dyDescent="0.2">
      <c r="A1711" t="s">
        <v>57</v>
      </c>
      <c r="B1711" t="s">
        <v>54</v>
      </c>
      <c r="C1711">
        <v>30421</v>
      </c>
      <c r="D1711" t="s">
        <v>22</v>
      </c>
      <c r="E1711" t="s">
        <v>14</v>
      </c>
      <c r="F1711" t="s">
        <v>15</v>
      </c>
      <c r="H1711">
        <v>2</v>
      </c>
      <c r="T1711">
        <v>1</v>
      </c>
      <c r="AG1711">
        <v>1</v>
      </c>
      <c r="AY1711">
        <v>1</v>
      </c>
      <c r="BA1711">
        <f>SUM(Pre[[#This Row],[1]:[46]])</f>
        <v>5</v>
      </c>
    </row>
    <row r="1712" spans="1:53" x14ac:dyDescent="0.2">
      <c r="A1712" t="s">
        <v>57</v>
      </c>
      <c r="B1712" t="s">
        <v>54</v>
      </c>
      <c r="C1712">
        <v>30441</v>
      </c>
      <c r="D1712" t="s">
        <v>22</v>
      </c>
      <c r="E1712" t="s">
        <v>10</v>
      </c>
      <c r="F1712" t="s">
        <v>11</v>
      </c>
      <c r="BA1712">
        <f>SUM(Pre[[#This Row],[1]:[46]])</f>
        <v>0</v>
      </c>
    </row>
    <row r="1713" spans="1:53" x14ac:dyDescent="0.2">
      <c r="A1713" t="s">
        <v>57</v>
      </c>
      <c r="B1713" t="s">
        <v>54</v>
      </c>
      <c r="C1713">
        <v>30441</v>
      </c>
      <c r="D1713" t="s">
        <v>22</v>
      </c>
      <c r="E1713" t="s">
        <v>14</v>
      </c>
      <c r="F1713" t="s">
        <v>21</v>
      </c>
      <c r="H1713">
        <v>1</v>
      </c>
      <c r="V1713">
        <v>1</v>
      </c>
      <c r="AI1713">
        <v>1</v>
      </c>
      <c r="AR1713">
        <v>1</v>
      </c>
      <c r="BA1713">
        <f>SUM(Pre[[#This Row],[1]:[46]])</f>
        <v>4</v>
      </c>
    </row>
    <row r="1714" spans="1:53" x14ac:dyDescent="0.2">
      <c r="A1714" t="s">
        <v>57</v>
      </c>
      <c r="B1714" t="s">
        <v>54</v>
      </c>
      <c r="C1714">
        <v>32634</v>
      </c>
      <c r="D1714" t="s">
        <v>22</v>
      </c>
      <c r="E1714" t="s">
        <v>14</v>
      </c>
      <c r="F1714" t="s">
        <v>35</v>
      </c>
      <c r="K1714">
        <v>1</v>
      </c>
      <c r="BA1714">
        <f>SUM(Pre[[#This Row],[1]:[46]])</f>
        <v>1</v>
      </c>
    </row>
    <row r="1715" spans="1:53" x14ac:dyDescent="0.2">
      <c r="A1715" t="s">
        <v>57</v>
      </c>
      <c r="B1715" t="s">
        <v>54</v>
      </c>
      <c r="C1715">
        <v>32709</v>
      </c>
      <c r="D1715" t="s">
        <v>22</v>
      </c>
      <c r="E1715" t="s">
        <v>14</v>
      </c>
      <c r="F1715" t="s">
        <v>21</v>
      </c>
      <c r="P1715">
        <v>1</v>
      </c>
      <c r="AD1715">
        <v>1</v>
      </c>
      <c r="AP1715">
        <v>1</v>
      </c>
      <c r="BA1715">
        <f>SUM(Pre[[#This Row],[1]:[46]])</f>
        <v>3</v>
      </c>
    </row>
    <row r="1716" spans="1:53" x14ac:dyDescent="0.2">
      <c r="A1716" t="s">
        <v>57</v>
      </c>
      <c r="B1716" t="s">
        <v>54</v>
      </c>
      <c r="C1716">
        <v>33120</v>
      </c>
      <c r="D1716" t="s">
        <v>22</v>
      </c>
      <c r="E1716" t="s">
        <v>14</v>
      </c>
      <c r="F1716" t="s">
        <v>19</v>
      </c>
      <c r="BA1716">
        <f>SUM(Pre[[#This Row],[1]:[46]])</f>
        <v>0</v>
      </c>
    </row>
    <row r="1717" spans="1:53" x14ac:dyDescent="0.2">
      <c r="A1717" t="s">
        <v>57</v>
      </c>
      <c r="B1717" t="s">
        <v>54</v>
      </c>
      <c r="C1717">
        <v>33263</v>
      </c>
      <c r="D1717" t="s">
        <v>22</v>
      </c>
      <c r="E1717" t="s">
        <v>14</v>
      </c>
      <c r="F1717" t="s">
        <v>20</v>
      </c>
      <c r="N1717">
        <v>1</v>
      </c>
      <c r="Y1717">
        <v>1</v>
      </c>
      <c r="AJ1717">
        <v>1</v>
      </c>
      <c r="AW1717">
        <v>1</v>
      </c>
      <c r="BA1717">
        <f>SUM(Pre[[#This Row],[1]:[46]])</f>
        <v>4</v>
      </c>
    </row>
    <row r="1718" spans="1:53" x14ac:dyDescent="0.2">
      <c r="A1718" t="s">
        <v>57</v>
      </c>
      <c r="B1718" t="s">
        <v>54</v>
      </c>
      <c r="C1718">
        <v>33715</v>
      </c>
      <c r="D1718" t="s">
        <v>22</v>
      </c>
      <c r="E1718" t="s">
        <v>8</v>
      </c>
      <c r="F1718" t="s">
        <v>9</v>
      </c>
      <c r="I1718">
        <v>1</v>
      </c>
      <c r="T1718">
        <v>1</v>
      </c>
      <c r="Z1718">
        <v>3</v>
      </c>
      <c r="AM1718">
        <v>1</v>
      </c>
      <c r="AY1718">
        <v>1</v>
      </c>
      <c r="BA1718">
        <f>SUM(Pre[[#This Row],[1]:[46]])</f>
        <v>7</v>
      </c>
    </row>
    <row r="1719" spans="1:53" x14ac:dyDescent="0.2">
      <c r="A1719" t="s">
        <v>57</v>
      </c>
      <c r="B1719" t="s">
        <v>54</v>
      </c>
      <c r="C1719">
        <v>7733</v>
      </c>
      <c r="D1719" t="s">
        <v>7</v>
      </c>
      <c r="E1719" t="s">
        <v>14</v>
      </c>
      <c r="F1719" t="s">
        <v>35</v>
      </c>
      <c r="G1719">
        <v>1</v>
      </c>
      <c r="R1719">
        <v>1</v>
      </c>
      <c r="Y1719">
        <v>1</v>
      </c>
      <c r="AF1719">
        <v>1</v>
      </c>
      <c r="BA1719">
        <f>SUM(Pre[[#This Row],[1]:[46]])</f>
        <v>4</v>
      </c>
    </row>
    <row r="1720" spans="1:53" x14ac:dyDescent="0.2">
      <c r="A1720" t="s">
        <v>57</v>
      </c>
      <c r="B1720" t="s">
        <v>54</v>
      </c>
      <c r="C1720">
        <v>7733</v>
      </c>
      <c r="D1720" t="s">
        <v>7</v>
      </c>
      <c r="E1720" t="s">
        <v>14</v>
      </c>
      <c r="F1720" t="s">
        <v>21</v>
      </c>
      <c r="AH1720">
        <v>1</v>
      </c>
      <c r="AS1720">
        <v>1</v>
      </c>
      <c r="BA1720">
        <f>SUM(Pre[[#This Row],[1]:[46]])</f>
        <v>2</v>
      </c>
    </row>
    <row r="1721" spans="1:53" x14ac:dyDescent="0.2">
      <c r="A1721" t="s">
        <v>57</v>
      </c>
      <c r="B1721" t="s">
        <v>54</v>
      </c>
      <c r="C1721">
        <v>23767</v>
      </c>
      <c r="D1721" t="s">
        <v>7</v>
      </c>
      <c r="E1721" t="s">
        <v>10</v>
      </c>
      <c r="F1721" t="s">
        <v>11</v>
      </c>
      <c r="AM1721">
        <v>1</v>
      </c>
      <c r="AV1721">
        <v>2</v>
      </c>
      <c r="AZ1721">
        <v>1</v>
      </c>
      <c r="BA1721">
        <f>SUM(Pre[[#This Row],[1]:[46]])</f>
        <v>4</v>
      </c>
    </row>
    <row r="1722" spans="1:53" x14ac:dyDescent="0.2">
      <c r="A1722" t="s">
        <v>57</v>
      </c>
      <c r="B1722" t="s">
        <v>54</v>
      </c>
      <c r="C1722">
        <v>26365</v>
      </c>
      <c r="D1722" t="s">
        <v>7</v>
      </c>
      <c r="E1722" t="s">
        <v>14</v>
      </c>
      <c r="F1722" t="s">
        <v>31</v>
      </c>
      <c r="I1722">
        <v>1</v>
      </c>
      <c r="X1722">
        <v>1</v>
      </c>
      <c r="AK1722">
        <v>1</v>
      </c>
      <c r="AX1722">
        <v>1</v>
      </c>
      <c r="BA1722">
        <f>SUM(Pre[[#This Row],[1]:[46]])</f>
        <v>4</v>
      </c>
    </row>
    <row r="1723" spans="1:53" x14ac:dyDescent="0.2">
      <c r="A1723" t="s">
        <v>57</v>
      </c>
      <c r="B1723" t="s">
        <v>54</v>
      </c>
      <c r="C1723">
        <v>29000</v>
      </c>
      <c r="D1723" t="s">
        <v>7</v>
      </c>
      <c r="E1723" t="s">
        <v>32</v>
      </c>
      <c r="F1723" t="s">
        <v>33</v>
      </c>
      <c r="H1723">
        <v>1</v>
      </c>
      <c r="P1723">
        <v>1</v>
      </c>
      <c r="T1723">
        <v>1</v>
      </c>
      <c r="AB1723">
        <v>1</v>
      </c>
      <c r="AF1723">
        <v>1</v>
      </c>
      <c r="AN1723">
        <v>1</v>
      </c>
      <c r="AR1723">
        <v>2</v>
      </c>
      <c r="AZ1723">
        <v>1</v>
      </c>
      <c r="BA1723">
        <f>SUM(Pre[[#This Row],[1]:[46]])</f>
        <v>9</v>
      </c>
    </row>
    <row r="1724" spans="1:53" x14ac:dyDescent="0.2">
      <c r="A1724" t="s">
        <v>57</v>
      </c>
      <c r="B1724" t="s">
        <v>54</v>
      </c>
      <c r="C1724">
        <v>19857</v>
      </c>
      <c r="D1724" t="s">
        <v>22</v>
      </c>
      <c r="E1724" t="s">
        <v>14</v>
      </c>
      <c r="F1724" t="s">
        <v>28</v>
      </c>
      <c r="AS1724">
        <v>1</v>
      </c>
      <c r="BA1724">
        <f>SUM(Pre[[#This Row],[1]:[46]])</f>
        <v>1</v>
      </c>
    </row>
    <row r="1725" spans="1:53" x14ac:dyDescent="0.2">
      <c r="A1725" t="s">
        <v>57</v>
      </c>
      <c r="B1725" t="s">
        <v>54</v>
      </c>
      <c r="C1725">
        <v>1132</v>
      </c>
      <c r="D1725" t="s">
        <v>7</v>
      </c>
      <c r="E1725" t="s">
        <v>14</v>
      </c>
      <c r="F1725" t="s">
        <v>20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f>SUM(Pre[[#This Row],[1]:[46]])</f>
        <v>46</v>
      </c>
    </row>
    <row r="1726" spans="1:53" x14ac:dyDescent="0.2">
      <c r="A1726" t="s">
        <v>57</v>
      </c>
      <c r="B1726" t="s">
        <v>54</v>
      </c>
      <c r="C1726">
        <v>2109</v>
      </c>
      <c r="D1726" t="s">
        <v>7</v>
      </c>
      <c r="E1726" t="s">
        <v>14</v>
      </c>
      <c r="F1726" t="s">
        <v>19</v>
      </c>
      <c r="R1726">
        <v>1</v>
      </c>
      <c r="AF1726">
        <v>1</v>
      </c>
      <c r="AM1726">
        <v>2</v>
      </c>
      <c r="BA1726">
        <f>SUM(Pre[[#This Row],[1]:[46]])</f>
        <v>4</v>
      </c>
    </row>
    <row r="1727" spans="1:53" x14ac:dyDescent="0.2">
      <c r="A1727" t="s">
        <v>57</v>
      </c>
      <c r="B1727" t="s">
        <v>54</v>
      </c>
      <c r="C1727">
        <v>2833</v>
      </c>
      <c r="D1727" t="s">
        <v>7</v>
      </c>
      <c r="E1727" t="s">
        <v>10</v>
      </c>
      <c r="F1727" t="s">
        <v>11</v>
      </c>
      <c r="H1727">
        <v>2</v>
      </c>
      <c r="Q1727">
        <v>1</v>
      </c>
      <c r="BA1727">
        <f>SUM(Pre[[#This Row],[1]:[46]])</f>
        <v>3</v>
      </c>
    </row>
    <row r="1728" spans="1:53" x14ac:dyDescent="0.2">
      <c r="A1728" t="s">
        <v>57</v>
      </c>
      <c r="B1728" t="s">
        <v>54</v>
      </c>
      <c r="C1728">
        <v>4208</v>
      </c>
      <c r="D1728" t="s">
        <v>7</v>
      </c>
      <c r="E1728" t="s">
        <v>14</v>
      </c>
      <c r="F1728" t="s">
        <v>31</v>
      </c>
      <c r="O1728">
        <v>1</v>
      </c>
      <c r="AI1728">
        <v>1</v>
      </c>
      <c r="AW1728">
        <v>1</v>
      </c>
      <c r="BA1728">
        <f>SUM(Pre[[#This Row],[1]:[46]])</f>
        <v>3</v>
      </c>
    </row>
    <row r="1729" spans="1:53" x14ac:dyDescent="0.2">
      <c r="A1729" t="s">
        <v>57</v>
      </c>
      <c r="B1729" t="s">
        <v>54</v>
      </c>
      <c r="C1729">
        <v>5567</v>
      </c>
      <c r="D1729" t="s">
        <v>7</v>
      </c>
      <c r="E1729" t="s">
        <v>17</v>
      </c>
      <c r="F1729" t="s">
        <v>18</v>
      </c>
      <c r="AN1729">
        <v>1</v>
      </c>
      <c r="BA1729">
        <f>SUM(Pre[[#This Row],[1]:[46]])</f>
        <v>1</v>
      </c>
    </row>
    <row r="1730" spans="1:53" x14ac:dyDescent="0.2">
      <c r="A1730" t="s">
        <v>57</v>
      </c>
      <c r="B1730" t="s">
        <v>54</v>
      </c>
      <c r="C1730">
        <v>5567</v>
      </c>
      <c r="D1730" t="s">
        <v>7</v>
      </c>
      <c r="E1730" t="s">
        <v>14</v>
      </c>
      <c r="F1730" t="s">
        <v>21</v>
      </c>
      <c r="AB1730">
        <v>1</v>
      </c>
      <c r="AN1730">
        <v>1</v>
      </c>
      <c r="BA1730">
        <f>SUM(Pre[[#This Row],[1]:[46]])</f>
        <v>2</v>
      </c>
    </row>
    <row r="1731" spans="1:53" x14ac:dyDescent="0.2">
      <c r="A1731" t="s">
        <v>57</v>
      </c>
      <c r="B1731" t="s">
        <v>54</v>
      </c>
      <c r="C1731">
        <v>33808</v>
      </c>
      <c r="D1731" t="s">
        <v>7</v>
      </c>
      <c r="E1731" t="s">
        <v>14</v>
      </c>
      <c r="F1731" t="s">
        <v>20</v>
      </c>
      <c r="K1731">
        <v>1</v>
      </c>
      <c r="X1731">
        <v>1</v>
      </c>
      <c r="AK1731">
        <v>1</v>
      </c>
      <c r="AX1731">
        <v>1</v>
      </c>
      <c r="BA1731">
        <f>SUM(Pre[[#This Row],[1]:[46]])</f>
        <v>4</v>
      </c>
    </row>
    <row r="1732" spans="1:53" x14ac:dyDescent="0.2">
      <c r="A1732" t="s">
        <v>57</v>
      </c>
      <c r="B1732" t="s">
        <v>54</v>
      </c>
      <c r="C1732">
        <v>4449</v>
      </c>
      <c r="D1732" t="s">
        <v>22</v>
      </c>
      <c r="E1732" t="s">
        <v>14</v>
      </c>
      <c r="F1732" t="s">
        <v>21</v>
      </c>
      <c r="O1732">
        <v>1</v>
      </c>
      <c r="AC1732">
        <v>1</v>
      </c>
      <c r="AP1732">
        <v>1</v>
      </c>
      <c r="BA1732">
        <f>SUM(Pre[[#This Row],[1]:[46]])</f>
        <v>3</v>
      </c>
    </row>
    <row r="1733" spans="1:53" x14ac:dyDescent="0.2">
      <c r="A1733" t="s">
        <v>57</v>
      </c>
      <c r="B1733" t="s">
        <v>54</v>
      </c>
      <c r="C1733">
        <v>5055</v>
      </c>
      <c r="D1733" t="s">
        <v>22</v>
      </c>
      <c r="E1733" t="s">
        <v>14</v>
      </c>
      <c r="F1733" t="s">
        <v>19</v>
      </c>
      <c r="AK1733">
        <v>1</v>
      </c>
      <c r="BA1733">
        <f>SUM(Pre[[#This Row],[1]:[46]])</f>
        <v>1</v>
      </c>
    </row>
    <row r="1734" spans="1:53" x14ac:dyDescent="0.2">
      <c r="A1734" t="s">
        <v>57</v>
      </c>
      <c r="B1734" t="s">
        <v>54</v>
      </c>
      <c r="C1734">
        <v>5055</v>
      </c>
      <c r="D1734" t="s">
        <v>22</v>
      </c>
      <c r="E1734" t="s">
        <v>14</v>
      </c>
      <c r="F1734" t="s">
        <v>20</v>
      </c>
      <c r="AG1734">
        <v>1</v>
      </c>
      <c r="BA1734">
        <f>SUM(Pre[[#This Row],[1]:[46]])</f>
        <v>1</v>
      </c>
    </row>
    <row r="1735" spans="1:53" x14ac:dyDescent="0.2">
      <c r="A1735" t="s">
        <v>57</v>
      </c>
      <c r="B1735" t="s">
        <v>54</v>
      </c>
      <c r="C1735">
        <v>14912</v>
      </c>
      <c r="D1735" t="s">
        <v>22</v>
      </c>
      <c r="E1735" t="s">
        <v>14</v>
      </c>
      <c r="F1735" t="s">
        <v>31</v>
      </c>
      <c r="G1735">
        <v>2</v>
      </c>
      <c r="L1735">
        <v>1</v>
      </c>
      <c r="P1735">
        <v>1</v>
      </c>
      <c r="T1735">
        <v>1</v>
      </c>
      <c r="Y1735">
        <v>1</v>
      </c>
      <c r="AA1735">
        <v>1</v>
      </c>
      <c r="AG1735">
        <v>1</v>
      </c>
      <c r="AL1735">
        <v>1</v>
      </c>
      <c r="AT1735">
        <v>2</v>
      </c>
      <c r="BA1735">
        <f>SUM(Pre[[#This Row],[1]:[46]])</f>
        <v>11</v>
      </c>
    </row>
    <row r="1736" spans="1:53" x14ac:dyDescent="0.2">
      <c r="A1736" t="s">
        <v>57</v>
      </c>
      <c r="B1736" t="s">
        <v>54</v>
      </c>
      <c r="C1736">
        <v>30019</v>
      </c>
      <c r="D1736" t="s">
        <v>22</v>
      </c>
      <c r="E1736" t="s">
        <v>14</v>
      </c>
      <c r="F1736" t="s">
        <v>31</v>
      </c>
      <c r="BA1736">
        <f>SUM(Pre[[#This Row],[1]:[46]])</f>
        <v>0</v>
      </c>
    </row>
    <row r="1737" spans="1:53" x14ac:dyDescent="0.2">
      <c r="A1737" t="s">
        <v>57</v>
      </c>
      <c r="B1737" t="s">
        <v>54</v>
      </c>
      <c r="C1737">
        <v>30019</v>
      </c>
      <c r="D1737" t="s">
        <v>22</v>
      </c>
      <c r="E1737" t="s">
        <v>14</v>
      </c>
      <c r="F1737" t="s">
        <v>19</v>
      </c>
      <c r="BA1737">
        <f>SUM(Pre[[#This Row],[1]:[46]])</f>
        <v>0</v>
      </c>
    </row>
    <row r="1738" spans="1:53" x14ac:dyDescent="0.2">
      <c r="A1738" t="s">
        <v>57</v>
      </c>
      <c r="B1738" t="s">
        <v>54</v>
      </c>
      <c r="C1738">
        <v>11345</v>
      </c>
      <c r="D1738" t="s">
        <v>7</v>
      </c>
      <c r="E1738" t="s">
        <v>10</v>
      </c>
      <c r="F1738" t="s">
        <v>11</v>
      </c>
      <c r="BA1738">
        <f>SUM(Pre[[#This Row],[1]:[46]])</f>
        <v>0</v>
      </c>
    </row>
    <row r="1739" spans="1:53" x14ac:dyDescent="0.2">
      <c r="A1739" t="s">
        <v>57</v>
      </c>
      <c r="B1739" t="s">
        <v>54</v>
      </c>
      <c r="C1739">
        <v>962</v>
      </c>
      <c r="D1739" t="s">
        <v>22</v>
      </c>
      <c r="E1739" t="s">
        <v>10</v>
      </c>
      <c r="F1739" t="s">
        <v>11</v>
      </c>
      <c r="R1739">
        <v>1</v>
      </c>
      <c r="AG1739">
        <v>1</v>
      </c>
      <c r="AV1739">
        <v>1</v>
      </c>
      <c r="BA1739">
        <f>SUM(Pre[[#This Row],[1]:[46]])</f>
        <v>3</v>
      </c>
    </row>
    <row r="1740" spans="1:53" x14ac:dyDescent="0.2">
      <c r="A1740" t="s">
        <v>57</v>
      </c>
      <c r="B1740" t="s">
        <v>54</v>
      </c>
      <c r="C1740">
        <v>5989</v>
      </c>
      <c r="D1740" t="s">
        <v>22</v>
      </c>
      <c r="E1740" t="s">
        <v>10</v>
      </c>
      <c r="F1740" t="s">
        <v>11</v>
      </c>
      <c r="BA1740">
        <f>SUM(Pre[[#This Row],[1]:[46]])</f>
        <v>0</v>
      </c>
    </row>
    <row r="1741" spans="1:53" x14ac:dyDescent="0.2">
      <c r="A1741" t="s">
        <v>57</v>
      </c>
      <c r="B1741" t="s">
        <v>54</v>
      </c>
      <c r="C1741">
        <v>27592</v>
      </c>
      <c r="D1741" t="s">
        <v>22</v>
      </c>
      <c r="E1741" t="s">
        <v>14</v>
      </c>
      <c r="F1741" t="s">
        <v>31</v>
      </c>
      <c r="W1741">
        <v>1</v>
      </c>
      <c r="AM1741">
        <v>2</v>
      </c>
      <c r="BA1741">
        <f>SUM(Pre[[#This Row],[1]:[46]])</f>
        <v>3</v>
      </c>
    </row>
    <row r="1742" spans="1:53" x14ac:dyDescent="0.2">
      <c r="A1742" t="s">
        <v>57</v>
      </c>
      <c r="B1742" t="s">
        <v>54</v>
      </c>
      <c r="C1742">
        <v>28806</v>
      </c>
      <c r="D1742" t="s">
        <v>22</v>
      </c>
      <c r="E1742" t="s">
        <v>10</v>
      </c>
      <c r="F1742" t="s">
        <v>11</v>
      </c>
      <c r="V1742">
        <v>1</v>
      </c>
      <c r="BA1742">
        <f>SUM(Pre[[#This Row],[1]:[46]])</f>
        <v>1</v>
      </c>
    </row>
    <row r="1743" spans="1:53" x14ac:dyDescent="0.2">
      <c r="A1743" t="s">
        <v>57</v>
      </c>
      <c r="B1743" t="s">
        <v>54</v>
      </c>
      <c r="C1743">
        <v>9356</v>
      </c>
      <c r="D1743" t="s">
        <v>7</v>
      </c>
      <c r="E1743" t="s">
        <v>14</v>
      </c>
      <c r="F1743" t="s">
        <v>21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f>SUM(Pre[[#This Row],[1]:[46]])</f>
        <v>46</v>
      </c>
    </row>
    <row r="1744" spans="1:53" x14ac:dyDescent="0.2">
      <c r="A1744" t="s">
        <v>57</v>
      </c>
      <c r="B1744" t="s">
        <v>54</v>
      </c>
      <c r="C1744">
        <v>20479</v>
      </c>
      <c r="D1744" t="s">
        <v>7</v>
      </c>
      <c r="E1744" t="s">
        <v>14</v>
      </c>
      <c r="F1744" t="s">
        <v>21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f>SUM(Pre[[#This Row],[1]:[46]])</f>
        <v>46</v>
      </c>
    </row>
    <row r="1745" spans="1:53" x14ac:dyDescent="0.2">
      <c r="A1745" t="s">
        <v>57</v>
      </c>
      <c r="B1745" t="s">
        <v>54</v>
      </c>
      <c r="C1745">
        <v>221</v>
      </c>
      <c r="D1745" t="s">
        <v>22</v>
      </c>
      <c r="E1745" t="s">
        <v>14</v>
      </c>
      <c r="F1745" t="s">
        <v>20</v>
      </c>
      <c r="R1745">
        <v>1</v>
      </c>
      <c r="AF1745">
        <v>1</v>
      </c>
      <c r="AN1745">
        <v>2</v>
      </c>
      <c r="BA1745">
        <f>SUM(Pre[[#This Row],[1]:[46]])</f>
        <v>4</v>
      </c>
    </row>
    <row r="1746" spans="1:53" x14ac:dyDescent="0.2">
      <c r="A1746" t="s">
        <v>57</v>
      </c>
      <c r="B1746" t="s">
        <v>54</v>
      </c>
      <c r="C1746">
        <v>613</v>
      </c>
      <c r="D1746" t="s">
        <v>22</v>
      </c>
      <c r="E1746" t="s">
        <v>10</v>
      </c>
      <c r="F1746" t="s">
        <v>11</v>
      </c>
      <c r="J1746">
        <v>1</v>
      </c>
      <c r="S1746">
        <v>1</v>
      </c>
      <c r="AA1746">
        <v>1</v>
      </c>
      <c r="AM1746">
        <v>2</v>
      </c>
      <c r="AU1746">
        <v>1</v>
      </c>
      <c r="BA1746">
        <f>SUM(Pre[[#This Row],[1]:[46]])</f>
        <v>6</v>
      </c>
    </row>
    <row r="1747" spans="1:53" x14ac:dyDescent="0.2">
      <c r="A1747" t="s">
        <v>57</v>
      </c>
      <c r="B1747" t="s">
        <v>54</v>
      </c>
      <c r="C1747">
        <v>3962</v>
      </c>
      <c r="D1747" t="s">
        <v>22</v>
      </c>
      <c r="E1747" t="s">
        <v>14</v>
      </c>
      <c r="F1747" t="s">
        <v>31</v>
      </c>
      <c r="AD1747">
        <v>1</v>
      </c>
      <c r="AQ1747">
        <v>1</v>
      </c>
      <c r="BA1747">
        <f>SUM(Pre[[#This Row],[1]:[46]])</f>
        <v>2</v>
      </c>
    </row>
    <row r="1748" spans="1:53" x14ac:dyDescent="0.2">
      <c r="A1748" t="s">
        <v>57</v>
      </c>
      <c r="B1748" t="s">
        <v>54</v>
      </c>
      <c r="C1748">
        <v>3962</v>
      </c>
      <c r="D1748" t="s">
        <v>22</v>
      </c>
      <c r="E1748" t="s">
        <v>14</v>
      </c>
      <c r="F1748" t="s">
        <v>28</v>
      </c>
      <c r="O1748">
        <v>1</v>
      </c>
      <c r="BA1748">
        <f>SUM(Pre[[#This Row],[1]:[46]])</f>
        <v>1</v>
      </c>
    </row>
    <row r="1749" spans="1:53" x14ac:dyDescent="0.2">
      <c r="A1749" t="s">
        <v>57</v>
      </c>
      <c r="B1749" t="s">
        <v>54</v>
      </c>
      <c r="C1749">
        <v>3962</v>
      </c>
      <c r="D1749" t="s">
        <v>22</v>
      </c>
      <c r="E1749" t="s">
        <v>14</v>
      </c>
      <c r="F1749" t="s">
        <v>19</v>
      </c>
      <c r="BA1749">
        <f>SUM(Pre[[#This Row],[1]:[46]])</f>
        <v>0</v>
      </c>
    </row>
    <row r="1750" spans="1:53" x14ac:dyDescent="0.2">
      <c r="A1750" t="s">
        <v>57</v>
      </c>
      <c r="B1750" t="s">
        <v>54</v>
      </c>
      <c r="C1750">
        <v>8420</v>
      </c>
      <c r="D1750" t="s">
        <v>22</v>
      </c>
      <c r="E1750" t="s">
        <v>14</v>
      </c>
      <c r="F1750" t="s">
        <v>35</v>
      </c>
      <c r="H1750">
        <v>1</v>
      </c>
      <c r="Q1750">
        <v>1</v>
      </c>
      <c r="T1750">
        <v>1</v>
      </c>
      <c r="X1750">
        <v>2</v>
      </c>
      <c r="AB1750">
        <v>1</v>
      </c>
      <c r="AF1750">
        <v>1</v>
      </c>
      <c r="AJ1750">
        <v>1</v>
      </c>
      <c r="AN1750">
        <v>1</v>
      </c>
      <c r="AS1750">
        <v>1</v>
      </c>
      <c r="AW1750">
        <v>1</v>
      </c>
      <c r="BA1750">
        <f>SUM(Pre[[#This Row],[1]:[46]])</f>
        <v>11</v>
      </c>
    </row>
    <row r="1751" spans="1:53" x14ac:dyDescent="0.2">
      <c r="A1751" t="s">
        <v>57</v>
      </c>
      <c r="B1751" t="s">
        <v>54</v>
      </c>
      <c r="C1751">
        <v>9464</v>
      </c>
      <c r="D1751" t="s">
        <v>22</v>
      </c>
      <c r="E1751" t="s">
        <v>14</v>
      </c>
      <c r="F1751" t="s">
        <v>20</v>
      </c>
      <c r="K1751">
        <v>2</v>
      </c>
      <c r="X1751">
        <v>1</v>
      </c>
      <c r="AJ1751">
        <v>1</v>
      </c>
      <c r="AX1751">
        <v>1</v>
      </c>
      <c r="BA1751">
        <f>SUM(Pre[[#This Row],[1]:[46]])</f>
        <v>5</v>
      </c>
    </row>
    <row r="1752" spans="1:53" x14ac:dyDescent="0.2">
      <c r="A1752" t="s">
        <v>57</v>
      </c>
      <c r="B1752" t="s">
        <v>54</v>
      </c>
      <c r="C1752">
        <v>13383</v>
      </c>
      <c r="D1752" t="s">
        <v>22</v>
      </c>
      <c r="E1752" t="s">
        <v>10</v>
      </c>
      <c r="F1752" t="s">
        <v>11</v>
      </c>
      <c r="G1752">
        <v>1</v>
      </c>
      <c r="H1752">
        <v>1</v>
      </c>
      <c r="I1752">
        <v>2</v>
      </c>
      <c r="J1752">
        <v>1</v>
      </c>
      <c r="L1752">
        <v>1</v>
      </c>
      <c r="M1752">
        <v>1</v>
      </c>
      <c r="N1752">
        <v>3</v>
      </c>
      <c r="P1752">
        <v>1</v>
      </c>
      <c r="Q1752">
        <v>2</v>
      </c>
      <c r="R1752">
        <v>1</v>
      </c>
      <c r="S1752">
        <v>1</v>
      </c>
      <c r="T1752">
        <v>1</v>
      </c>
      <c r="U1752">
        <v>1</v>
      </c>
      <c r="V1752">
        <v>2</v>
      </c>
      <c r="W1752">
        <v>1</v>
      </c>
      <c r="X1752">
        <v>1</v>
      </c>
      <c r="Y1752">
        <v>2</v>
      </c>
      <c r="Z1752">
        <v>1</v>
      </c>
      <c r="AA1752">
        <v>1</v>
      </c>
      <c r="AB1752">
        <v>1</v>
      </c>
      <c r="AC1752">
        <v>1</v>
      </c>
      <c r="AD1752">
        <v>2</v>
      </c>
      <c r="AE1752">
        <v>1</v>
      </c>
      <c r="AF1752">
        <v>1</v>
      </c>
      <c r="AG1752">
        <v>3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2</v>
      </c>
      <c r="AO1752">
        <v>1</v>
      </c>
      <c r="AP1752">
        <v>1</v>
      </c>
      <c r="AQ1752">
        <v>2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f>SUM(Pre[[#This Row],[1]:[46]])</f>
        <v>55</v>
      </c>
    </row>
    <row r="1753" spans="1:53" x14ac:dyDescent="0.2">
      <c r="A1753" t="s">
        <v>57</v>
      </c>
      <c r="B1753" t="s">
        <v>54</v>
      </c>
      <c r="C1753">
        <v>18034</v>
      </c>
      <c r="D1753" t="s">
        <v>22</v>
      </c>
      <c r="E1753" t="s">
        <v>10</v>
      </c>
      <c r="F1753" t="s">
        <v>11</v>
      </c>
      <c r="H1753">
        <v>1</v>
      </c>
      <c r="L1753">
        <v>1</v>
      </c>
      <c r="P1753">
        <v>1</v>
      </c>
      <c r="S1753">
        <v>1</v>
      </c>
      <c r="W1753">
        <v>1</v>
      </c>
      <c r="AB1753">
        <v>1</v>
      </c>
      <c r="AG1753">
        <v>1</v>
      </c>
      <c r="AL1753">
        <v>1</v>
      </c>
      <c r="AO1753">
        <v>1</v>
      </c>
      <c r="BA1753">
        <f>SUM(Pre[[#This Row],[1]:[46]])</f>
        <v>9</v>
      </c>
    </row>
    <row r="1754" spans="1:53" x14ac:dyDescent="0.2">
      <c r="A1754" t="s">
        <v>57</v>
      </c>
      <c r="B1754" t="s">
        <v>54</v>
      </c>
      <c r="C1754">
        <v>29950</v>
      </c>
      <c r="D1754" t="s">
        <v>22</v>
      </c>
      <c r="E1754" t="s">
        <v>10</v>
      </c>
      <c r="F1754" t="s">
        <v>11</v>
      </c>
      <c r="BA1754">
        <f>SUM(Pre[[#This Row],[1]:[46]])</f>
        <v>0</v>
      </c>
    </row>
    <row r="1755" spans="1:53" x14ac:dyDescent="0.2">
      <c r="A1755" t="s">
        <v>57</v>
      </c>
      <c r="B1755" t="s">
        <v>54</v>
      </c>
      <c r="C1755">
        <v>33715</v>
      </c>
      <c r="D1755" t="s">
        <v>22</v>
      </c>
      <c r="E1755" t="s">
        <v>10</v>
      </c>
      <c r="F1755" t="s">
        <v>11</v>
      </c>
      <c r="AP1755">
        <v>1</v>
      </c>
      <c r="BA1755">
        <f>SUM(Pre[[#This Row],[1]:[46]])</f>
        <v>1</v>
      </c>
    </row>
    <row r="1756" spans="1:53" x14ac:dyDescent="0.2">
      <c r="A1756" t="s">
        <v>57</v>
      </c>
      <c r="B1756" t="s">
        <v>54</v>
      </c>
      <c r="C1756">
        <v>33715</v>
      </c>
      <c r="D1756" t="s">
        <v>22</v>
      </c>
      <c r="E1756" t="s">
        <v>14</v>
      </c>
      <c r="F1756" t="s">
        <v>15</v>
      </c>
      <c r="P1756">
        <v>1</v>
      </c>
      <c r="V1756">
        <v>1</v>
      </c>
      <c r="X1756">
        <v>1</v>
      </c>
      <c r="AA1756">
        <v>1</v>
      </c>
      <c r="AU1756">
        <v>1</v>
      </c>
      <c r="BA1756">
        <f>SUM(Pre[[#This Row],[1]:[46]])</f>
        <v>5</v>
      </c>
    </row>
    <row r="1757" spans="1:53" x14ac:dyDescent="0.2">
      <c r="A1757" t="s">
        <v>57</v>
      </c>
      <c r="B1757" t="s">
        <v>54</v>
      </c>
      <c r="C1757">
        <v>21700</v>
      </c>
      <c r="D1757" t="s">
        <v>7</v>
      </c>
      <c r="E1757" t="s">
        <v>14</v>
      </c>
      <c r="F1757" t="s">
        <v>31</v>
      </c>
      <c r="G1757">
        <v>1</v>
      </c>
      <c r="Z1757">
        <v>1</v>
      </c>
      <c r="AH1757">
        <v>1</v>
      </c>
      <c r="BA1757">
        <f>SUM(Pre[[#This Row],[1]:[46]])</f>
        <v>3</v>
      </c>
    </row>
    <row r="1758" spans="1:53" x14ac:dyDescent="0.2">
      <c r="A1758" t="s">
        <v>57</v>
      </c>
      <c r="B1758" t="s">
        <v>54</v>
      </c>
      <c r="C1758">
        <v>20002</v>
      </c>
      <c r="D1758" t="s">
        <v>7</v>
      </c>
      <c r="E1758" t="s">
        <v>14</v>
      </c>
      <c r="F1758" t="s">
        <v>21</v>
      </c>
      <c r="AF1758">
        <v>1</v>
      </c>
      <c r="BA1758">
        <f>SUM(Pre[[#This Row],[1]:[46]])</f>
        <v>1</v>
      </c>
    </row>
    <row r="1759" spans="1:53" x14ac:dyDescent="0.2">
      <c r="A1759" t="s">
        <v>57</v>
      </c>
      <c r="B1759" t="s">
        <v>54</v>
      </c>
      <c r="C1759">
        <v>20002</v>
      </c>
      <c r="D1759" t="s">
        <v>7</v>
      </c>
      <c r="E1759" t="s">
        <v>14</v>
      </c>
      <c r="F1759" t="s">
        <v>20</v>
      </c>
      <c r="AJ1759">
        <v>1</v>
      </c>
      <c r="AM1759">
        <v>1</v>
      </c>
      <c r="BA1759">
        <f>SUM(Pre[[#This Row],[1]:[46]])</f>
        <v>2</v>
      </c>
    </row>
    <row r="1760" spans="1:53" x14ac:dyDescent="0.2">
      <c r="A1760" t="s">
        <v>57</v>
      </c>
      <c r="B1760" t="s">
        <v>54</v>
      </c>
      <c r="C1760">
        <v>723</v>
      </c>
      <c r="D1760" t="s">
        <v>22</v>
      </c>
      <c r="E1760" t="s">
        <v>14</v>
      </c>
      <c r="F1760" t="s">
        <v>35</v>
      </c>
      <c r="J1760">
        <v>1</v>
      </c>
      <c r="L1760">
        <v>1</v>
      </c>
      <c r="O1760">
        <v>1</v>
      </c>
      <c r="S1760">
        <v>1</v>
      </c>
      <c r="X1760">
        <v>1</v>
      </c>
      <c r="BA1760">
        <f>SUM(Pre[[#This Row],[1]:[46]])</f>
        <v>5</v>
      </c>
    </row>
    <row r="1761" spans="1:53" x14ac:dyDescent="0.2">
      <c r="A1761" t="s">
        <v>57</v>
      </c>
      <c r="B1761" t="s">
        <v>54</v>
      </c>
      <c r="C1761">
        <v>6624</v>
      </c>
      <c r="D1761" t="s">
        <v>22</v>
      </c>
      <c r="E1761" t="s">
        <v>14</v>
      </c>
      <c r="F1761" t="s">
        <v>20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f>SUM(Pre[[#This Row],[1]:[46]])</f>
        <v>46</v>
      </c>
    </row>
    <row r="1762" spans="1:53" x14ac:dyDescent="0.2">
      <c r="A1762" t="s">
        <v>57</v>
      </c>
      <c r="B1762" t="s">
        <v>54</v>
      </c>
      <c r="C1762">
        <v>8046</v>
      </c>
      <c r="D1762" t="s">
        <v>22</v>
      </c>
      <c r="E1762" t="s">
        <v>10</v>
      </c>
      <c r="F1762" t="s">
        <v>11</v>
      </c>
      <c r="K1762">
        <v>1</v>
      </c>
      <c r="AD1762">
        <v>1</v>
      </c>
      <c r="BA1762">
        <f>SUM(Pre[[#This Row],[1]:[46]])</f>
        <v>2</v>
      </c>
    </row>
    <row r="1763" spans="1:53" x14ac:dyDescent="0.2">
      <c r="A1763" t="s">
        <v>57</v>
      </c>
      <c r="B1763" t="s">
        <v>54</v>
      </c>
      <c r="C1763">
        <v>8046</v>
      </c>
      <c r="D1763" t="s">
        <v>22</v>
      </c>
      <c r="E1763" t="s">
        <v>14</v>
      </c>
      <c r="F1763" t="s">
        <v>19</v>
      </c>
      <c r="AR1763">
        <v>1</v>
      </c>
      <c r="AV1763">
        <v>2</v>
      </c>
      <c r="BA1763">
        <f>SUM(Pre[[#This Row],[1]:[46]])</f>
        <v>3</v>
      </c>
    </row>
    <row r="1764" spans="1:53" x14ac:dyDescent="0.2">
      <c r="A1764" t="s">
        <v>57</v>
      </c>
      <c r="B1764" t="s">
        <v>54</v>
      </c>
      <c r="C1764">
        <v>8046</v>
      </c>
      <c r="D1764" t="s">
        <v>22</v>
      </c>
      <c r="E1764" t="s">
        <v>14</v>
      </c>
      <c r="F1764" t="s">
        <v>21</v>
      </c>
      <c r="BA1764">
        <f>SUM(Pre[[#This Row],[1]:[46]])</f>
        <v>0</v>
      </c>
    </row>
    <row r="1765" spans="1:53" x14ac:dyDescent="0.2">
      <c r="A1765" t="s">
        <v>57</v>
      </c>
      <c r="B1765" t="s">
        <v>54</v>
      </c>
      <c r="C1765">
        <v>1667</v>
      </c>
      <c r="D1765" t="s">
        <v>7</v>
      </c>
      <c r="E1765" t="s">
        <v>8</v>
      </c>
      <c r="F1765" t="s">
        <v>23</v>
      </c>
      <c r="Q1765">
        <v>1</v>
      </c>
      <c r="AD1765">
        <v>1</v>
      </c>
      <c r="AQ1765">
        <v>1</v>
      </c>
      <c r="BA1765">
        <f>SUM(Pre[[#This Row],[1]:[46]])</f>
        <v>3</v>
      </c>
    </row>
    <row r="1766" spans="1:53" x14ac:dyDescent="0.2">
      <c r="A1766" t="s">
        <v>57</v>
      </c>
      <c r="B1766" t="s">
        <v>54</v>
      </c>
      <c r="C1766">
        <v>2322</v>
      </c>
      <c r="D1766" t="s">
        <v>7</v>
      </c>
      <c r="E1766" t="s">
        <v>8</v>
      </c>
      <c r="F1766" t="s">
        <v>9</v>
      </c>
      <c r="BA1766">
        <f>SUM(Pre[[#This Row],[1]:[46]])</f>
        <v>0</v>
      </c>
    </row>
    <row r="1767" spans="1:53" x14ac:dyDescent="0.2">
      <c r="A1767" t="s">
        <v>57</v>
      </c>
      <c r="B1767" t="s">
        <v>54</v>
      </c>
      <c r="C1767">
        <v>3556</v>
      </c>
      <c r="D1767" t="s">
        <v>7</v>
      </c>
      <c r="E1767" t="s">
        <v>8</v>
      </c>
      <c r="F1767" t="s">
        <v>9</v>
      </c>
      <c r="K1767">
        <v>2</v>
      </c>
      <c r="Q1767">
        <v>2</v>
      </c>
      <c r="R1767">
        <v>6</v>
      </c>
      <c r="U1767">
        <v>2</v>
      </c>
      <c r="Y1767">
        <v>2</v>
      </c>
      <c r="AC1767">
        <v>2</v>
      </c>
      <c r="AD1767">
        <v>2</v>
      </c>
      <c r="AF1767">
        <v>2</v>
      </c>
      <c r="AH1767">
        <v>2</v>
      </c>
      <c r="AK1767">
        <v>2</v>
      </c>
      <c r="AL1767">
        <v>2</v>
      </c>
      <c r="AP1767">
        <v>2</v>
      </c>
      <c r="AR1767">
        <v>2</v>
      </c>
      <c r="AT1767">
        <v>2</v>
      </c>
      <c r="AV1767">
        <v>2</v>
      </c>
      <c r="AX1767">
        <v>2</v>
      </c>
      <c r="AZ1767">
        <v>2</v>
      </c>
      <c r="BA1767">
        <f>SUM(Pre[[#This Row],[1]:[46]])</f>
        <v>38</v>
      </c>
    </row>
    <row r="1768" spans="1:53" x14ac:dyDescent="0.2">
      <c r="A1768" t="s">
        <v>57</v>
      </c>
      <c r="B1768" t="s">
        <v>54</v>
      </c>
      <c r="C1768">
        <v>3963</v>
      </c>
      <c r="D1768" t="s">
        <v>7</v>
      </c>
      <c r="E1768" t="s">
        <v>8</v>
      </c>
      <c r="F1768" t="s">
        <v>23</v>
      </c>
      <c r="Q1768">
        <v>1</v>
      </c>
      <c r="AE1768">
        <v>1</v>
      </c>
      <c r="AO1768">
        <v>1</v>
      </c>
      <c r="BA1768">
        <f>SUM(Pre[[#This Row],[1]:[46]])</f>
        <v>3</v>
      </c>
    </row>
    <row r="1769" spans="1:53" x14ac:dyDescent="0.2">
      <c r="A1769" t="s">
        <v>57</v>
      </c>
      <c r="B1769" t="s">
        <v>54</v>
      </c>
      <c r="C1769">
        <v>8050</v>
      </c>
      <c r="D1769" t="s">
        <v>7</v>
      </c>
      <c r="E1769" t="s">
        <v>8</v>
      </c>
      <c r="F1769" t="s">
        <v>9</v>
      </c>
      <c r="T1769">
        <v>1</v>
      </c>
      <c r="AG1769">
        <v>1</v>
      </c>
      <c r="AS1769">
        <v>1</v>
      </c>
      <c r="BA1769">
        <f>SUM(Pre[[#This Row],[1]:[46]])</f>
        <v>3</v>
      </c>
    </row>
    <row r="1770" spans="1:53" x14ac:dyDescent="0.2">
      <c r="A1770" t="s">
        <v>57</v>
      </c>
      <c r="B1770" t="s">
        <v>54</v>
      </c>
      <c r="C1770">
        <v>11987</v>
      </c>
      <c r="D1770" t="s">
        <v>7</v>
      </c>
      <c r="E1770" t="s">
        <v>8</v>
      </c>
      <c r="F1770" t="s">
        <v>29</v>
      </c>
      <c r="T1770">
        <v>1</v>
      </c>
      <c r="AF1770">
        <v>1</v>
      </c>
      <c r="AT1770">
        <v>1</v>
      </c>
      <c r="BA1770">
        <f>SUM(Pre[[#This Row],[1]:[46]])</f>
        <v>3</v>
      </c>
    </row>
    <row r="1771" spans="1:53" x14ac:dyDescent="0.2">
      <c r="A1771" t="s">
        <v>57</v>
      </c>
      <c r="B1771" t="s">
        <v>54</v>
      </c>
      <c r="C1771">
        <v>25633</v>
      </c>
      <c r="D1771" t="s">
        <v>7</v>
      </c>
      <c r="E1771" t="s">
        <v>8</v>
      </c>
      <c r="F1771" t="s">
        <v>23</v>
      </c>
      <c r="H1771">
        <v>2</v>
      </c>
      <c r="L1771">
        <v>1</v>
      </c>
      <c r="Q1771">
        <v>1</v>
      </c>
      <c r="U1771">
        <v>1</v>
      </c>
      <c r="Y1771">
        <v>1</v>
      </c>
      <c r="AD1771">
        <v>2</v>
      </c>
      <c r="AP1771">
        <v>1</v>
      </c>
      <c r="BA1771">
        <f>SUM(Pre[[#This Row],[1]:[46]])</f>
        <v>9</v>
      </c>
    </row>
    <row r="1772" spans="1:53" x14ac:dyDescent="0.2">
      <c r="A1772" t="s">
        <v>57</v>
      </c>
      <c r="B1772" t="s">
        <v>54</v>
      </c>
      <c r="C1772">
        <v>28462</v>
      </c>
      <c r="D1772" t="s">
        <v>7</v>
      </c>
      <c r="E1772" t="s">
        <v>8</v>
      </c>
      <c r="F1772" t="s">
        <v>23</v>
      </c>
      <c r="R1772">
        <v>1</v>
      </c>
      <c r="AD1772">
        <v>1</v>
      </c>
      <c r="AR1772">
        <v>1</v>
      </c>
      <c r="BA1772">
        <f>SUM(Pre[[#This Row],[1]:[46]])</f>
        <v>3</v>
      </c>
    </row>
    <row r="1773" spans="1:53" x14ac:dyDescent="0.2">
      <c r="A1773" t="s">
        <v>57</v>
      </c>
      <c r="B1773" t="s">
        <v>54</v>
      </c>
      <c r="C1773">
        <v>271</v>
      </c>
      <c r="D1773" t="s">
        <v>22</v>
      </c>
      <c r="E1773" t="s">
        <v>8</v>
      </c>
      <c r="F1773" t="s">
        <v>29</v>
      </c>
      <c r="AQ1773">
        <v>1</v>
      </c>
      <c r="BA1773">
        <f>SUM(Pre[[#This Row],[1]:[46]])</f>
        <v>1</v>
      </c>
    </row>
    <row r="1774" spans="1:53" x14ac:dyDescent="0.2">
      <c r="A1774" t="s">
        <v>57</v>
      </c>
      <c r="B1774" t="s">
        <v>54</v>
      </c>
      <c r="C1774">
        <v>336</v>
      </c>
      <c r="D1774" t="s">
        <v>22</v>
      </c>
      <c r="E1774" t="s">
        <v>8</v>
      </c>
      <c r="F1774" t="s">
        <v>23</v>
      </c>
      <c r="G1774">
        <v>1</v>
      </c>
      <c r="Q1774">
        <v>1</v>
      </c>
      <c r="AA1774">
        <v>2</v>
      </c>
      <c r="AJ1774">
        <v>1</v>
      </c>
      <c r="AT1774">
        <v>1</v>
      </c>
      <c r="BA1774">
        <f>SUM(Pre[[#This Row],[1]:[46]])</f>
        <v>6</v>
      </c>
    </row>
    <row r="1775" spans="1:53" x14ac:dyDescent="0.2">
      <c r="A1775" t="s">
        <v>57</v>
      </c>
      <c r="B1775" t="s">
        <v>54</v>
      </c>
      <c r="C1775">
        <v>1038</v>
      </c>
      <c r="D1775" t="s">
        <v>22</v>
      </c>
      <c r="E1775" t="s">
        <v>8</v>
      </c>
      <c r="F1775" t="s">
        <v>29</v>
      </c>
      <c r="AT1775">
        <v>1</v>
      </c>
      <c r="AW1775">
        <v>1</v>
      </c>
      <c r="BA1775">
        <f>SUM(Pre[[#This Row],[1]:[46]])</f>
        <v>2</v>
      </c>
    </row>
    <row r="1776" spans="1:53" x14ac:dyDescent="0.2">
      <c r="A1776" t="s">
        <v>57</v>
      </c>
      <c r="B1776" t="s">
        <v>54</v>
      </c>
      <c r="C1776">
        <v>1488</v>
      </c>
      <c r="D1776" t="s">
        <v>22</v>
      </c>
      <c r="E1776" t="s">
        <v>8</v>
      </c>
      <c r="F1776" t="s">
        <v>29</v>
      </c>
      <c r="M1776">
        <v>1</v>
      </c>
      <c r="Y1776">
        <v>1</v>
      </c>
      <c r="AK1776">
        <v>1</v>
      </c>
      <c r="AY1776">
        <v>1</v>
      </c>
      <c r="BA1776">
        <f>SUM(Pre[[#This Row],[1]:[46]])</f>
        <v>4</v>
      </c>
    </row>
    <row r="1777" spans="1:53" x14ac:dyDescent="0.2">
      <c r="A1777" t="s">
        <v>57</v>
      </c>
      <c r="B1777" t="s">
        <v>54</v>
      </c>
      <c r="C1777">
        <v>4303</v>
      </c>
      <c r="D1777" t="s">
        <v>22</v>
      </c>
      <c r="E1777" t="s">
        <v>8</v>
      </c>
      <c r="F1777" t="s">
        <v>23</v>
      </c>
      <c r="M1777">
        <v>1</v>
      </c>
      <c r="Z1777">
        <v>1</v>
      </c>
      <c r="AM1777">
        <v>1</v>
      </c>
      <c r="BA1777">
        <f>SUM(Pre[[#This Row],[1]:[46]])</f>
        <v>3</v>
      </c>
    </row>
    <row r="1778" spans="1:53" x14ac:dyDescent="0.2">
      <c r="A1778" t="s">
        <v>57</v>
      </c>
      <c r="B1778" t="s">
        <v>54</v>
      </c>
      <c r="C1778">
        <v>6634</v>
      </c>
      <c r="D1778" t="s">
        <v>22</v>
      </c>
      <c r="E1778" t="s">
        <v>8</v>
      </c>
      <c r="F1778" t="s">
        <v>9</v>
      </c>
      <c r="S1778">
        <v>1</v>
      </c>
      <c r="AF1778">
        <v>1</v>
      </c>
      <c r="AS1778">
        <v>1</v>
      </c>
      <c r="BA1778">
        <f>SUM(Pre[[#This Row],[1]:[46]])</f>
        <v>3</v>
      </c>
    </row>
    <row r="1779" spans="1:53" x14ac:dyDescent="0.2">
      <c r="A1779" t="s">
        <v>57</v>
      </c>
      <c r="B1779" t="s">
        <v>54</v>
      </c>
      <c r="C1779">
        <v>8333</v>
      </c>
      <c r="D1779" t="s">
        <v>22</v>
      </c>
      <c r="E1779" t="s">
        <v>8</v>
      </c>
      <c r="F1779" t="s">
        <v>9</v>
      </c>
      <c r="U1779">
        <v>1</v>
      </c>
      <c r="AH1779">
        <v>1</v>
      </c>
      <c r="AU1779">
        <v>1</v>
      </c>
      <c r="BA1779">
        <f>SUM(Pre[[#This Row],[1]:[46]])</f>
        <v>3</v>
      </c>
    </row>
    <row r="1780" spans="1:53" x14ac:dyDescent="0.2">
      <c r="A1780" t="s">
        <v>57</v>
      </c>
      <c r="B1780" t="s">
        <v>54</v>
      </c>
      <c r="C1780">
        <v>9247</v>
      </c>
      <c r="D1780" t="s">
        <v>22</v>
      </c>
      <c r="E1780" t="s">
        <v>8</v>
      </c>
      <c r="F1780" t="s">
        <v>9</v>
      </c>
      <c r="R1780">
        <v>1</v>
      </c>
      <c r="S1780">
        <v>1</v>
      </c>
      <c r="AG1780">
        <v>1</v>
      </c>
      <c r="AT1780">
        <v>1</v>
      </c>
      <c r="BA1780">
        <f>SUM(Pre[[#This Row],[1]:[46]])</f>
        <v>4</v>
      </c>
    </row>
    <row r="1781" spans="1:53" x14ac:dyDescent="0.2">
      <c r="A1781" t="s">
        <v>57</v>
      </c>
      <c r="B1781" t="s">
        <v>54</v>
      </c>
      <c r="C1781">
        <v>9299</v>
      </c>
      <c r="D1781" t="s">
        <v>22</v>
      </c>
      <c r="E1781" t="s">
        <v>8</v>
      </c>
      <c r="F1781" t="s">
        <v>23</v>
      </c>
      <c r="H1781">
        <v>1</v>
      </c>
      <c r="V1781">
        <v>1</v>
      </c>
      <c r="AI1781">
        <v>1</v>
      </c>
      <c r="AU1781">
        <v>1</v>
      </c>
      <c r="BA1781">
        <f>SUM(Pre[[#This Row],[1]:[46]])</f>
        <v>4</v>
      </c>
    </row>
    <row r="1782" spans="1:53" x14ac:dyDescent="0.2">
      <c r="A1782" t="s">
        <v>57</v>
      </c>
      <c r="B1782" t="s">
        <v>54</v>
      </c>
      <c r="C1782">
        <v>10196</v>
      </c>
      <c r="D1782" t="s">
        <v>22</v>
      </c>
      <c r="E1782" t="s">
        <v>8</v>
      </c>
      <c r="F1782" t="s">
        <v>23</v>
      </c>
      <c r="P1782">
        <v>1</v>
      </c>
      <c r="AB1782">
        <v>1</v>
      </c>
      <c r="AO1782">
        <v>1</v>
      </c>
      <c r="BA1782">
        <f>SUM(Pre[[#This Row],[1]:[46]])</f>
        <v>3</v>
      </c>
    </row>
    <row r="1783" spans="1:53" x14ac:dyDescent="0.2">
      <c r="A1783" t="s">
        <v>57</v>
      </c>
      <c r="B1783" t="s">
        <v>54</v>
      </c>
      <c r="C1783">
        <v>10907</v>
      </c>
      <c r="D1783" t="s">
        <v>22</v>
      </c>
      <c r="E1783" t="s">
        <v>8</v>
      </c>
      <c r="F1783" t="s">
        <v>23</v>
      </c>
      <c r="H1783">
        <v>1</v>
      </c>
      <c r="W1783">
        <v>1</v>
      </c>
      <c r="BA1783">
        <f>SUM(Pre[[#This Row],[1]:[46]])</f>
        <v>2</v>
      </c>
    </row>
    <row r="1784" spans="1:53" x14ac:dyDescent="0.2">
      <c r="A1784" t="s">
        <v>57</v>
      </c>
      <c r="B1784" t="s">
        <v>54</v>
      </c>
      <c r="C1784">
        <v>11809</v>
      </c>
      <c r="D1784" t="s">
        <v>22</v>
      </c>
      <c r="E1784" t="s">
        <v>8</v>
      </c>
      <c r="F1784" t="s">
        <v>29</v>
      </c>
      <c r="Y1784">
        <v>2</v>
      </c>
      <c r="AS1784">
        <v>1</v>
      </c>
      <c r="AT1784">
        <v>3</v>
      </c>
      <c r="BA1784">
        <f>SUM(Pre[[#This Row],[1]:[46]])</f>
        <v>6</v>
      </c>
    </row>
    <row r="1785" spans="1:53" x14ac:dyDescent="0.2">
      <c r="A1785" t="s">
        <v>57</v>
      </c>
      <c r="B1785" t="s">
        <v>54</v>
      </c>
      <c r="C1785">
        <v>11948</v>
      </c>
      <c r="D1785" t="s">
        <v>22</v>
      </c>
      <c r="E1785" t="s">
        <v>8</v>
      </c>
      <c r="F1785" t="s">
        <v>23</v>
      </c>
      <c r="Q1785">
        <v>1</v>
      </c>
      <c r="U1785">
        <v>1</v>
      </c>
      <c r="BA1785">
        <f>SUM(Pre[[#This Row],[1]:[46]])</f>
        <v>2</v>
      </c>
    </row>
    <row r="1786" spans="1:53" x14ac:dyDescent="0.2">
      <c r="A1786" t="s">
        <v>57</v>
      </c>
      <c r="B1786" t="s">
        <v>54</v>
      </c>
      <c r="C1786">
        <v>12136</v>
      </c>
      <c r="D1786" t="s">
        <v>22</v>
      </c>
      <c r="E1786" t="s">
        <v>8</v>
      </c>
      <c r="F1786" t="s">
        <v>9</v>
      </c>
      <c r="AA1786">
        <v>1</v>
      </c>
      <c r="BA1786">
        <f>SUM(Pre[[#This Row],[1]:[46]])</f>
        <v>1</v>
      </c>
    </row>
    <row r="1787" spans="1:53" x14ac:dyDescent="0.2">
      <c r="A1787" t="s">
        <v>57</v>
      </c>
      <c r="B1787" t="s">
        <v>54</v>
      </c>
      <c r="C1787">
        <v>13667</v>
      </c>
      <c r="D1787" t="s">
        <v>22</v>
      </c>
      <c r="E1787" t="s">
        <v>8</v>
      </c>
      <c r="F1787" t="s">
        <v>9</v>
      </c>
      <c r="Q1787">
        <v>1</v>
      </c>
      <c r="S1787">
        <v>1</v>
      </c>
      <c r="AE1787">
        <v>1</v>
      </c>
      <c r="AP1787">
        <v>1</v>
      </c>
      <c r="AZ1787">
        <v>1</v>
      </c>
      <c r="BA1787">
        <f>SUM(Pre[[#This Row],[1]:[46]])</f>
        <v>5</v>
      </c>
    </row>
    <row r="1788" spans="1:53" x14ac:dyDescent="0.2">
      <c r="A1788" t="s">
        <v>57</v>
      </c>
      <c r="B1788" t="s">
        <v>54</v>
      </c>
      <c r="C1788">
        <v>16392</v>
      </c>
      <c r="D1788" t="s">
        <v>22</v>
      </c>
      <c r="E1788" t="s">
        <v>8</v>
      </c>
      <c r="F1788" t="s">
        <v>9</v>
      </c>
      <c r="AJ1788">
        <v>2</v>
      </c>
      <c r="AX1788">
        <v>1</v>
      </c>
      <c r="BA1788">
        <f>SUM(Pre[[#This Row],[1]:[46]])</f>
        <v>3</v>
      </c>
    </row>
    <row r="1789" spans="1:53" x14ac:dyDescent="0.2">
      <c r="A1789" t="s">
        <v>57</v>
      </c>
      <c r="B1789" t="s">
        <v>54</v>
      </c>
      <c r="C1789">
        <v>17455</v>
      </c>
      <c r="D1789" t="s">
        <v>22</v>
      </c>
      <c r="E1789" t="s">
        <v>8</v>
      </c>
      <c r="F1789" t="s">
        <v>9</v>
      </c>
      <c r="Q1789">
        <v>1</v>
      </c>
      <c r="X1789">
        <v>1</v>
      </c>
      <c r="BA1789">
        <f>SUM(Pre[[#This Row],[1]:[46]])</f>
        <v>2</v>
      </c>
    </row>
    <row r="1790" spans="1:53" x14ac:dyDescent="0.2">
      <c r="A1790" t="s">
        <v>57</v>
      </c>
      <c r="B1790" t="s">
        <v>54</v>
      </c>
      <c r="C1790">
        <v>18475</v>
      </c>
      <c r="D1790" t="s">
        <v>22</v>
      </c>
      <c r="E1790" t="s">
        <v>8</v>
      </c>
      <c r="F1790" t="s">
        <v>23</v>
      </c>
      <c r="M1790">
        <v>1</v>
      </c>
      <c r="P1790">
        <v>1</v>
      </c>
      <c r="X1790">
        <v>1</v>
      </c>
      <c r="AC1790">
        <v>1</v>
      </c>
      <c r="AO1790">
        <v>1</v>
      </c>
      <c r="BA1790">
        <f>SUM(Pre[[#This Row],[1]:[46]])</f>
        <v>5</v>
      </c>
    </row>
    <row r="1791" spans="1:53" x14ac:dyDescent="0.2">
      <c r="A1791" t="s">
        <v>57</v>
      </c>
      <c r="B1791" t="s">
        <v>54</v>
      </c>
      <c r="C1791">
        <v>19857</v>
      </c>
      <c r="D1791" t="s">
        <v>22</v>
      </c>
      <c r="E1791" t="s">
        <v>8</v>
      </c>
      <c r="F1791" t="s">
        <v>29</v>
      </c>
      <c r="Q1791">
        <v>1</v>
      </c>
      <c r="V1791">
        <v>1</v>
      </c>
      <c r="Z1791">
        <v>1</v>
      </c>
      <c r="AE1791">
        <v>1</v>
      </c>
      <c r="AI1791">
        <v>1</v>
      </c>
      <c r="AM1791">
        <v>1</v>
      </c>
      <c r="AR1791">
        <v>1</v>
      </c>
      <c r="AU1791">
        <v>1</v>
      </c>
      <c r="AZ1791">
        <v>1</v>
      </c>
      <c r="BA1791">
        <f>SUM(Pre[[#This Row],[1]:[46]])</f>
        <v>9</v>
      </c>
    </row>
    <row r="1792" spans="1:53" x14ac:dyDescent="0.2">
      <c r="A1792" t="s">
        <v>57</v>
      </c>
      <c r="B1792" t="s">
        <v>54</v>
      </c>
      <c r="C1792">
        <v>21715</v>
      </c>
      <c r="D1792" t="s">
        <v>22</v>
      </c>
      <c r="E1792" t="s">
        <v>8</v>
      </c>
      <c r="F1792" t="s">
        <v>23</v>
      </c>
      <c r="H1792">
        <v>1</v>
      </c>
      <c r="L1792">
        <v>1</v>
      </c>
      <c r="O1792">
        <v>1</v>
      </c>
      <c r="V1792">
        <v>1</v>
      </c>
      <c r="Z1792">
        <v>1</v>
      </c>
      <c r="AC1792">
        <v>1</v>
      </c>
      <c r="AG1792">
        <v>1</v>
      </c>
      <c r="AM1792">
        <v>1</v>
      </c>
      <c r="AP1792">
        <v>1</v>
      </c>
      <c r="AU1792">
        <v>1</v>
      </c>
      <c r="AX1792">
        <v>1</v>
      </c>
      <c r="BA1792">
        <f>SUM(Pre[[#This Row],[1]:[46]])</f>
        <v>11</v>
      </c>
    </row>
    <row r="1793" spans="1:53" x14ac:dyDescent="0.2">
      <c r="A1793" t="s">
        <v>57</v>
      </c>
      <c r="B1793" t="s">
        <v>54</v>
      </c>
      <c r="C1793">
        <v>26265</v>
      </c>
      <c r="D1793" t="s">
        <v>22</v>
      </c>
      <c r="E1793" t="s">
        <v>8</v>
      </c>
      <c r="F1793" t="s">
        <v>9</v>
      </c>
      <c r="N1793">
        <v>1</v>
      </c>
      <c r="U1793">
        <v>1</v>
      </c>
      <c r="AD1793">
        <v>1</v>
      </c>
      <c r="AL1793">
        <v>1</v>
      </c>
      <c r="AT1793">
        <v>1</v>
      </c>
      <c r="BA1793">
        <f>SUM(Pre[[#This Row],[1]:[46]])</f>
        <v>5</v>
      </c>
    </row>
    <row r="1794" spans="1:53" x14ac:dyDescent="0.2">
      <c r="A1794" t="s">
        <v>57</v>
      </c>
      <c r="B1794" t="s">
        <v>54</v>
      </c>
      <c r="C1794">
        <v>26476</v>
      </c>
      <c r="D1794" t="s">
        <v>22</v>
      </c>
      <c r="E1794" t="s">
        <v>8</v>
      </c>
      <c r="F1794" t="s">
        <v>9</v>
      </c>
      <c r="I1794">
        <v>1</v>
      </c>
      <c r="T1794">
        <v>1</v>
      </c>
      <c r="AH1794">
        <v>1</v>
      </c>
      <c r="AV1794">
        <v>1</v>
      </c>
      <c r="BA1794">
        <f>SUM(Pre[[#This Row],[1]:[46]])</f>
        <v>4</v>
      </c>
    </row>
    <row r="1795" spans="1:53" x14ac:dyDescent="0.2">
      <c r="A1795" t="s">
        <v>57</v>
      </c>
      <c r="B1795" t="s">
        <v>54</v>
      </c>
      <c r="C1795">
        <v>26896</v>
      </c>
      <c r="D1795" t="s">
        <v>22</v>
      </c>
      <c r="E1795" t="s">
        <v>8</v>
      </c>
      <c r="F1795" t="s">
        <v>23</v>
      </c>
      <c r="R1795">
        <v>1</v>
      </c>
      <c r="AE1795">
        <v>1</v>
      </c>
      <c r="AR1795">
        <v>1</v>
      </c>
      <c r="BA1795">
        <f>SUM(Pre[[#This Row],[1]:[46]])</f>
        <v>3</v>
      </c>
    </row>
    <row r="1796" spans="1:53" x14ac:dyDescent="0.2">
      <c r="A1796" t="s">
        <v>57</v>
      </c>
      <c r="B1796" t="s">
        <v>54</v>
      </c>
      <c r="C1796">
        <v>27114</v>
      </c>
      <c r="D1796" t="s">
        <v>22</v>
      </c>
      <c r="E1796" t="s">
        <v>8</v>
      </c>
      <c r="F1796" t="s">
        <v>9</v>
      </c>
      <c r="H1796">
        <v>1</v>
      </c>
      <c r="U1796">
        <v>1</v>
      </c>
      <c r="AH1796">
        <v>1</v>
      </c>
      <c r="BA1796">
        <f>SUM(Pre[[#This Row],[1]:[46]])</f>
        <v>3</v>
      </c>
    </row>
    <row r="1797" spans="1:53" x14ac:dyDescent="0.2">
      <c r="A1797" t="s">
        <v>57</v>
      </c>
      <c r="B1797" t="s">
        <v>54</v>
      </c>
      <c r="C1797">
        <v>27896</v>
      </c>
      <c r="D1797" t="s">
        <v>22</v>
      </c>
      <c r="E1797" t="s">
        <v>8</v>
      </c>
      <c r="F1797" t="s">
        <v>9</v>
      </c>
      <c r="G1797">
        <v>1</v>
      </c>
      <c r="N1797">
        <v>1</v>
      </c>
      <c r="W1797">
        <v>1</v>
      </c>
      <c r="AG1797">
        <v>1</v>
      </c>
      <c r="AP1797">
        <v>1</v>
      </c>
      <c r="BA1797">
        <f>SUM(Pre[[#This Row],[1]:[46]])</f>
        <v>5</v>
      </c>
    </row>
    <row r="1798" spans="1:53" x14ac:dyDescent="0.2">
      <c r="A1798" t="s">
        <v>57</v>
      </c>
      <c r="B1798" t="s">
        <v>54</v>
      </c>
      <c r="C1798">
        <v>27904</v>
      </c>
      <c r="D1798" t="s">
        <v>22</v>
      </c>
      <c r="E1798" t="s">
        <v>8</v>
      </c>
      <c r="F1798" t="s">
        <v>29</v>
      </c>
      <c r="I1798">
        <v>1</v>
      </c>
      <c r="V1798">
        <v>1</v>
      </c>
      <c r="AI1798">
        <v>1</v>
      </c>
      <c r="AV1798">
        <v>1</v>
      </c>
      <c r="BA1798">
        <f>SUM(Pre[[#This Row],[1]:[46]])</f>
        <v>4</v>
      </c>
    </row>
    <row r="1799" spans="1:53" x14ac:dyDescent="0.2">
      <c r="A1799" t="s">
        <v>57</v>
      </c>
      <c r="B1799" t="s">
        <v>54</v>
      </c>
      <c r="C1799">
        <v>32387</v>
      </c>
      <c r="D1799" t="s">
        <v>22</v>
      </c>
      <c r="E1799" t="s">
        <v>8</v>
      </c>
      <c r="F1799" t="s">
        <v>29</v>
      </c>
      <c r="G1799">
        <v>1</v>
      </c>
      <c r="T1799">
        <v>1</v>
      </c>
      <c r="AH1799">
        <v>1</v>
      </c>
      <c r="AT1799">
        <v>1</v>
      </c>
      <c r="BA1799">
        <f>SUM(Pre[[#This Row],[1]:[46]])</f>
        <v>4</v>
      </c>
    </row>
    <row r="1800" spans="1:53" x14ac:dyDescent="0.2">
      <c r="A1800" t="s">
        <v>57</v>
      </c>
      <c r="B1800" t="s">
        <v>54</v>
      </c>
      <c r="C1800">
        <v>2472</v>
      </c>
      <c r="D1800" t="s">
        <v>7</v>
      </c>
      <c r="E1800" t="s">
        <v>8</v>
      </c>
      <c r="F1800" t="s">
        <v>23</v>
      </c>
      <c r="G1800">
        <v>1</v>
      </c>
      <c r="K1800">
        <v>1</v>
      </c>
      <c r="O1800">
        <v>1</v>
      </c>
      <c r="S1800">
        <v>1</v>
      </c>
      <c r="W1800">
        <v>1</v>
      </c>
      <c r="AA1800">
        <v>1</v>
      </c>
      <c r="AE1800">
        <v>1</v>
      </c>
      <c r="AI1800">
        <v>1</v>
      </c>
      <c r="AM1800">
        <v>1</v>
      </c>
      <c r="AQ1800">
        <v>1</v>
      </c>
      <c r="AU1800">
        <v>1</v>
      </c>
      <c r="BA1800">
        <f>SUM(Pre[[#This Row],[1]:[46]])</f>
        <v>11</v>
      </c>
    </row>
    <row r="1801" spans="1:53" x14ac:dyDescent="0.2">
      <c r="A1801" t="s">
        <v>57</v>
      </c>
      <c r="B1801" t="s">
        <v>54</v>
      </c>
      <c r="C1801">
        <v>8047</v>
      </c>
      <c r="D1801" t="s">
        <v>7</v>
      </c>
      <c r="E1801" t="s">
        <v>8</v>
      </c>
      <c r="F1801" t="s">
        <v>29</v>
      </c>
      <c r="M1801">
        <v>1</v>
      </c>
      <c r="AD1801">
        <v>1</v>
      </c>
      <c r="AI1801">
        <v>1</v>
      </c>
      <c r="AN1801">
        <v>1</v>
      </c>
      <c r="AR1801">
        <v>1</v>
      </c>
      <c r="AU1801">
        <v>1</v>
      </c>
      <c r="BA1801">
        <f>SUM(Pre[[#This Row],[1]:[46]])</f>
        <v>6</v>
      </c>
    </row>
    <row r="1802" spans="1:53" x14ac:dyDescent="0.2">
      <c r="A1802" t="s">
        <v>57</v>
      </c>
      <c r="B1802" t="s">
        <v>54</v>
      </c>
      <c r="C1802">
        <v>13804</v>
      </c>
      <c r="D1802" t="s">
        <v>7</v>
      </c>
      <c r="E1802" t="s">
        <v>8</v>
      </c>
      <c r="F1802" t="s">
        <v>9</v>
      </c>
      <c r="I1802">
        <v>1</v>
      </c>
      <c r="L1802">
        <v>1</v>
      </c>
      <c r="Q1802">
        <v>2</v>
      </c>
      <c r="Z1802">
        <v>1</v>
      </c>
      <c r="AL1802">
        <v>1</v>
      </c>
      <c r="AV1802">
        <v>1</v>
      </c>
      <c r="BA1802">
        <f>SUM(Pre[[#This Row],[1]:[46]])</f>
        <v>7</v>
      </c>
    </row>
    <row r="1803" spans="1:53" x14ac:dyDescent="0.2">
      <c r="A1803" t="s">
        <v>57</v>
      </c>
      <c r="B1803" t="s">
        <v>54</v>
      </c>
      <c r="C1803">
        <v>14748</v>
      </c>
      <c r="D1803" t="s">
        <v>7</v>
      </c>
      <c r="E1803" t="s">
        <v>8</v>
      </c>
      <c r="F1803" t="s">
        <v>23</v>
      </c>
      <c r="S1803">
        <v>1</v>
      </c>
      <c r="AK1803">
        <v>1</v>
      </c>
      <c r="AU1803">
        <v>2</v>
      </c>
      <c r="BA1803">
        <f>SUM(Pre[[#This Row],[1]:[46]])</f>
        <v>4</v>
      </c>
    </row>
    <row r="1804" spans="1:53" x14ac:dyDescent="0.2">
      <c r="A1804" t="s">
        <v>57</v>
      </c>
      <c r="B1804" t="s">
        <v>54</v>
      </c>
      <c r="C1804">
        <v>19412</v>
      </c>
      <c r="D1804" t="s">
        <v>7</v>
      </c>
      <c r="E1804" t="s">
        <v>8</v>
      </c>
      <c r="F1804" t="s">
        <v>29</v>
      </c>
      <c r="X1804">
        <v>1</v>
      </c>
      <c r="AM1804">
        <v>1</v>
      </c>
      <c r="BA1804">
        <f>SUM(Pre[[#This Row],[1]:[46]])</f>
        <v>2</v>
      </c>
    </row>
    <row r="1805" spans="1:53" x14ac:dyDescent="0.2">
      <c r="A1805" t="s">
        <v>57</v>
      </c>
      <c r="B1805" t="s">
        <v>54</v>
      </c>
      <c r="C1805">
        <v>4258</v>
      </c>
      <c r="D1805" t="s">
        <v>22</v>
      </c>
      <c r="E1805" t="s">
        <v>8</v>
      </c>
      <c r="F1805" t="s">
        <v>23</v>
      </c>
      <c r="J1805">
        <v>1</v>
      </c>
      <c r="Y1805">
        <v>1</v>
      </c>
      <c r="AP1805">
        <v>1</v>
      </c>
      <c r="BA1805">
        <f>SUM(Pre[[#This Row],[1]:[46]])</f>
        <v>3</v>
      </c>
    </row>
    <row r="1806" spans="1:53" x14ac:dyDescent="0.2">
      <c r="A1806" t="s">
        <v>57</v>
      </c>
      <c r="B1806" t="s">
        <v>54</v>
      </c>
      <c r="C1806">
        <v>5055</v>
      </c>
      <c r="D1806" t="s">
        <v>22</v>
      </c>
      <c r="E1806" t="s">
        <v>8</v>
      </c>
      <c r="F1806" t="s">
        <v>9</v>
      </c>
      <c r="AG1806">
        <v>1</v>
      </c>
      <c r="AS1806">
        <v>1</v>
      </c>
      <c r="BA1806">
        <f>SUM(Pre[[#This Row],[1]:[46]])</f>
        <v>2</v>
      </c>
    </row>
    <row r="1807" spans="1:53" x14ac:dyDescent="0.2">
      <c r="A1807" t="s">
        <v>57</v>
      </c>
      <c r="B1807" t="s">
        <v>54</v>
      </c>
      <c r="C1807">
        <v>5696</v>
      </c>
      <c r="D1807" t="s">
        <v>22</v>
      </c>
      <c r="E1807" t="s">
        <v>8</v>
      </c>
      <c r="F1807" t="s">
        <v>9</v>
      </c>
      <c r="H1807">
        <v>1</v>
      </c>
      <c r="L1807">
        <v>1</v>
      </c>
      <c r="P1807">
        <v>1</v>
      </c>
      <c r="T1807">
        <v>1</v>
      </c>
      <c r="X1807">
        <v>1</v>
      </c>
      <c r="AC1807">
        <v>1</v>
      </c>
      <c r="AG1807">
        <v>1</v>
      </c>
      <c r="AK1807">
        <v>1</v>
      </c>
      <c r="AO1807">
        <v>1</v>
      </c>
      <c r="AS1807">
        <v>1</v>
      </c>
      <c r="AW1807">
        <v>1</v>
      </c>
      <c r="BA1807">
        <f>SUM(Pre[[#This Row],[1]:[46]])</f>
        <v>11</v>
      </c>
    </row>
    <row r="1808" spans="1:53" x14ac:dyDescent="0.2">
      <c r="A1808" t="s">
        <v>57</v>
      </c>
      <c r="B1808" t="s">
        <v>54</v>
      </c>
      <c r="C1808">
        <v>5696</v>
      </c>
      <c r="D1808" t="s">
        <v>22</v>
      </c>
      <c r="E1808" t="s">
        <v>8</v>
      </c>
      <c r="F1808" t="s">
        <v>29</v>
      </c>
      <c r="BA1808">
        <f>SUM(Pre[[#This Row],[1]:[46]])</f>
        <v>0</v>
      </c>
    </row>
    <row r="1809" spans="1:53" x14ac:dyDescent="0.2">
      <c r="A1809" t="s">
        <v>57</v>
      </c>
      <c r="B1809" t="s">
        <v>54</v>
      </c>
      <c r="C1809">
        <v>7732</v>
      </c>
      <c r="D1809" t="s">
        <v>22</v>
      </c>
      <c r="E1809" t="s">
        <v>8</v>
      </c>
      <c r="F1809" t="s">
        <v>23</v>
      </c>
      <c r="AU1809">
        <v>1</v>
      </c>
      <c r="BA1809">
        <f>SUM(Pre[[#This Row],[1]:[46]])</f>
        <v>1</v>
      </c>
    </row>
    <row r="1810" spans="1:53" x14ac:dyDescent="0.2">
      <c r="A1810" t="s">
        <v>57</v>
      </c>
      <c r="B1810" t="s">
        <v>54</v>
      </c>
      <c r="C1810">
        <v>8083</v>
      </c>
      <c r="D1810" t="s">
        <v>22</v>
      </c>
      <c r="E1810" t="s">
        <v>8</v>
      </c>
      <c r="F1810" t="s">
        <v>29</v>
      </c>
      <c r="J1810">
        <v>1</v>
      </c>
      <c r="W1810">
        <v>1</v>
      </c>
      <c r="AJ1810">
        <v>1</v>
      </c>
      <c r="AV1810">
        <v>1</v>
      </c>
      <c r="BA1810">
        <f>SUM(Pre[[#This Row],[1]:[46]])</f>
        <v>4</v>
      </c>
    </row>
    <row r="1811" spans="1:53" x14ac:dyDescent="0.2">
      <c r="A1811" t="s">
        <v>57</v>
      </c>
      <c r="B1811" t="s">
        <v>54</v>
      </c>
      <c r="C1811">
        <v>8614</v>
      </c>
      <c r="D1811" t="s">
        <v>22</v>
      </c>
      <c r="E1811" t="s">
        <v>8</v>
      </c>
      <c r="F1811" t="s">
        <v>23</v>
      </c>
      <c r="J1811">
        <v>1</v>
      </c>
      <c r="R1811">
        <v>1</v>
      </c>
      <c r="AD1811">
        <v>2</v>
      </c>
      <c r="AV1811">
        <v>1</v>
      </c>
      <c r="BA1811">
        <f>SUM(Pre[[#This Row],[1]:[46]])</f>
        <v>5</v>
      </c>
    </row>
    <row r="1812" spans="1:53" x14ac:dyDescent="0.2">
      <c r="A1812" t="s">
        <v>57</v>
      </c>
      <c r="B1812" t="s">
        <v>54</v>
      </c>
      <c r="C1812">
        <v>9038</v>
      </c>
      <c r="D1812" t="s">
        <v>22</v>
      </c>
      <c r="E1812" t="s">
        <v>37</v>
      </c>
      <c r="F1812" t="s">
        <v>49</v>
      </c>
      <c r="T1812">
        <v>1</v>
      </c>
      <c r="AR1812">
        <v>1</v>
      </c>
      <c r="AW1812">
        <v>1</v>
      </c>
      <c r="BA1812">
        <f>SUM(Pre[[#This Row],[1]:[46]])</f>
        <v>3</v>
      </c>
    </row>
    <row r="1813" spans="1:53" x14ac:dyDescent="0.2">
      <c r="A1813" t="s">
        <v>57</v>
      </c>
      <c r="B1813" t="s">
        <v>54</v>
      </c>
      <c r="C1813">
        <v>10794</v>
      </c>
      <c r="D1813" t="s">
        <v>22</v>
      </c>
      <c r="E1813" t="s">
        <v>8</v>
      </c>
      <c r="F1813" t="s">
        <v>9</v>
      </c>
      <c r="P1813">
        <v>1</v>
      </c>
      <c r="AD1813">
        <v>1</v>
      </c>
      <c r="AQ1813">
        <v>1</v>
      </c>
      <c r="BA1813">
        <f>SUM(Pre[[#This Row],[1]:[46]])</f>
        <v>3</v>
      </c>
    </row>
    <row r="1814" spans="1:53" x14ac:dyDescent="0.2">
      <c r="A1814" t="s">
        <v>57</v>
      </c>
      <c r="B1814" t="s">
        <v>54</v>
      </c>
      <c r="C1814">
        <v>14775</v>
      </c>
      <c r="D1814" t="s">
        <v>22</v>
      </c>
      <c r="E1814" t="s">
        <v>8</v>
      </c>
      <c r="F1814" t="s">
        <v>9</v>
      </c>
      <c r="J1814">
        <v>1</v>
      </c>
      <c r="W1814">
        <v>1</v>
      </c>
      <c r="AJ1814">
        <v>1</v>
      </c>
      <c r="AX1814">
        <v>1</v>
      </c>
      <c r="BA1814">
        <f>SUM(Pre[[#This Row],[1]:[46]])</f>
        <v>4</v>
      </c>
    </row>
    <row r="1815" spans="1:53" x14ac:dyDescent="0.2">
      <c r="A1815" t="s">
        <v>57</v>
      </c>
      <c r="B1815" t="s">
        <v>54</v>
      </c>
      <c r="C1815">
        <v>16580</v>
      </c>
      <c r="D1815" t="s">
        <v>22</v>
      </c>
      <c r="E1815" t="s">
        <v>8</v>
      </c>
      <c r="F1815" t="s">
        <v>23</v>
      </c>
      <c r="R1815">
        <v>2</v>
      </c>
      <c r="AE1815">
        <v>1</v>
      </c>
      <c r="AI1815">
        <v>1</v>
      </c>
      <c r="AT1815">
        <v>1</v>
      </c>
      <c r="BA1815">
        <f>SUM(Pre[[#This Row],[1]:[46]])</f>
        <v>5</v>
      </c>
    </row>
    <row r="1816" spans="1:53" x14ac:dyDescent="0.2">
      <c r="A1816" t="s">
        <v>57</v>
      </c>
      <c r="B1816" t="s">
        <v>54</v>
      </c>
      <c r="C1816">
        <v>22291</v>
      </c>
      <c r="D1816" t="s">
        <v>22</v>
      </c>
      <c r="E1816" t="s">
        <v>8</v>
      </c>
      <c r="F1816" t="s">
        <v>23</v>
      </c>
      <c r="S1816">
        <v>1</v>
      </c>
      <c r="Y1816">
        <v>1</v>
      </c>
      <c r="AC1816">
        <v>1</v>
      </c>
      <c r="AI1816">
        <v>2</v>
      </c>
      <c r="AL1816">
        <v>1</v>
      </c>
      <c r="AM1816">
        <v>1</v>
      </c>
      <c r="AN1816">
        <v>2</v>
      </c>
      <c r="AP1816">
        <v>1</v>
      </c>
      <c r="AT1816">
        <v>2</v>
      </c>
      <c r="AZ1816">
        <v>1</v>
      </c>
      <c r="BA1816">
        <f>SUM(Pre[[#This Row],[1]:[46]])</f>
        <v>13</v>
      </c>
    </row>
    <row r="1817" spans="1:53" x14ac:dyDescent="0.2">
      <c r="A1817" t="s">
        <v>57</v>
      </c>
      <c r="B1817" t="s">
        <v>54</v>
      </c>
      <c r="C1817">
        <v>27144</v>
      </c>
      <c r="D1817" t="s">
        <v>22</v>
      </c>
      <c r="E1817" t="s">
        <v>8</v>
      </c>
      <c r="F1817" t="s">
        <v>9</v>
      </c>
      <c r="R1817">
        <v>1</v>
      </c>
      <c r="AP1817">
        <v>1</v>
      </c>
      <c r="BA1817">
        <f>SUM(Pre[[#This Row],[1]:[46]])</f>
        <v>2</v>
      </c>
    </row>
    <row r="1818" spans="1:53" x14ac:dyDescent="0.2">
      <c r="A1818" t="s">
        <v>57</v>
      </c>
      <c r="B1818" t="s">
        <v>54</v>
      </c>
      <c r="C1818">
        <v>29599</v>
      </c>
      <c r="D1818" t="s">
        <v>22</v>
      </c>
      <c r="E1818" t="s">
        <v>8</v>
      </c>
      <c r="F1818" t="s">
        <v>23</v>
      </c>
      <c r="AI1818">
        <v>1</v>
      </c>
      <c r="BA1818">
        <f>SUM(Pre[[#This Row],[1]:[46]])</f>
        <v>1</v>
      </c>
    </row>
    <row r="1819" spans="1:53" x14ac:dyDescent="0.2">
      <c r="A1819" t="s">
        <v>57</v>
      </c>
      <c r="B1819" t="s">
        <v>54</v>
      </c>
      <c r="C1819">
        <v>32709</v>
      </c>
      <c r="D1819" t="s">
        <v>22</v>
      </c>
      <c r="E1819" t="s">
        <v>8</v>
      </c>
      <c r="F1819" t="s">
        <v>23</v>
      </c>
      <c r="P1819">
        <v>1</v>
      </c>
      <c r="AD1819">
        <v>1</v>
      </c>
      <c r="AP1819">
        <v>1</v>
      </c>
      <c r="BA1819">
        <f>SUM(Pre[[#This Row],[1]:[46]])</f>
        <v>3</v>
      </c>
    </row>
    <row r="1820" spans="1:53" x14ac:dyDescent="0.2">
      <c r="A1820" t="s">
        <v>58</v>
      </c>
      <c r="B1820" t="s">
        <v>54</v>
      </c>
      <c r="C1820">
        <v>964</v>
      </c>
      <c r="D1820" t="s">
        <v>7</v>
      </c>
      <c r="E1820" t="s">
        <v>8</v>
      </c>
      <c r="F1820" t="s">
        <v>47</v>
      </c>
      <c r="N1820">
        <v>1</v>
      </c>
      <c r="V1820">
        <v>1</v>
      </c>
      <c r="AI1820">
        <v>1</v>
      </c>
      <c r="AW1820">
        <v>1</v>
      </c>
      <c r="BA1820">
        <f>SUM(Pre[[#This Row],[1]:[46]])</f>
        <v>4</v>
      </c>
    </row>
    <row r="1821" spans="1:53" x14ac:dyDescent="0.2">
      <c r="A1821" t="s">
        <v>58</v>
      </c>
      <c r="B1821" t="s">
        <v>54</v>
      </c>
      <c r="C1821">
        <v>1926</v>
      </c>
      <c r="D1821" t="s">
        <v>7</v>
      </c>
      <c r="E1821" t="s">
        <v>8</v>
      </c>
      <c r="F1821" t="s">
        <v>23</v>
      </c>
      <c r="U1821">
        <v>1</v>
      </c>
      <c r="BA1821">
        <f>SUM(Pre[[#This Row],[1]:[46]])</f>
        <v>1</v>
      </c>
    </row>
    <row r="1822" spans="1:53" x14ac:dyDescent="0.2">
      <c r="A1822" t="s">
        <v>58</v>
      </c>
      <c r="B1822" t="s">
        <v>54</v>
      </c>
      <c r="C1822">
        <v>4260</v>
      </c>
      <c r="D1822" t="s">
        <v>7</v>
      </c>
      <c r="E1822" t="s">
        <v>8</v>
      </c>
      <c r="F1822" t="s">
        <v>30</v>
      </c>
      <c r="G1822">
        <v>1</v>
      </c>
      <c r="J1822">
        <v>1</v>
      </c>
      <c r="N1822">
        <v>1</v>
      </c>
      <c r="R1822">
        <v>1</v>
      </c>
      <c r="V1822">
        <v>1</v>
      </c>
      <c r="AA1822">
        <v>1</v>
      </c>
      <c r="AC1822">
        <v>1</v>
      </c>
      <c r="AH1822">
        <v>1</v>
      </c>
      <c r="AK1822">
        <v>1</v>
      </c>
      <c r="AO1822">
        <v>1</v>
      </c>
      <c r="AS1822">
        <v>1</v>
      </c>
      <c r="AW1822">
        <v>1</v>
      </c>
      <c r="BA1822">
        <f>SUM(Pre[[#This Row],[1]:[46]])</f>
        <v>12</v>
      </c>
    </row>
    <row r="1823" spans="1:53" x14ac:dyDescent="0.2">
      <c r="A1823" t="s">
        <v>58</v>
      </c>
      <c r="B1823" t="s">
        <v>54</v>
      </c>
      <c r="C1823">
        <v>8058</v>
      </c>
      <c r="D1823" t="s">
        <v>7</v>
      </c>
      <c r="E1823" t="s">
        <v>8</v>
      </c>
      <c r="F1823" t="s">
        <v>29</v>
      </c>
      <c r="L1823">
        <v>1</v>
      </c>
      <c r="X1823">
        <v>1</v>
      </c>
      <c r="Z1823">
        <v>1</v>
      </c>
      <c r="BA1823">
        <f>SUM(Pre[[#This Row],[1]:[46]])</f>
        <v>3</v>
      </c>
    </row>
    <row r="1824" spans="1:53" x14ac:dyDescent="0.2">
      <c r="A1824" t="s">
        <v>58</v>
      </c>
      <c r="B1824" t="s">
        <v>54</v>
      </c>
      <c r="C1824">
        <v>8655</v>
      </c>
      <c r="D1824" t="s">
        <v>7</v>
      </c>
      <c r="E1824" t="s">
        <v>14</v>
      </c>
      <c r="F1824" t="s">
        <v>35</v>
      </c>
      <c r="O1824">
        <v>1</v>
      </c>
      <c r="AY1824">
        <v>1</v>
      </c>
      <c r="BA1824">
        <f>SUM(Pre[[#This Row],[1]:[46]])</f>
        <v>2</v>
      </c>
    </row>
    <row r="1825" spans="1:53" x14ac:dyDescent="0.2">
      <c r="A1825" t="s">
        <v>58</v>
      </c>
      <c r="B1825" t="s">
        <v>54</v>
      </c>
      <c r="C1825">
        <v>8763</v>
      </c>
      <c r="D1825" t="s">
        <v>7</v>
      </c>
      <c r="E1825" t="s">
        <v>8</v>
      </c>
      <c r="F1825" t="s">
        <v>23</v>
      </c>
      <c r="BA1825">
        <f>SUM(Pre[[#This Row],[1]:[46]])</f>
        <v>0</v>
      </c>
    </row>
    <row r="1826" spans="1:53" x14ac:dyDescent="0.2">
      <c r="A1826" t="s">
        <v>58</v>
      </c>
      <c r="B1826" t="s">
        <v>54</v>
      </c>
      <c r="C1826">
        <v>8832</v>
      </c>
      <c r="D1826" t="s">
        <v>7</v>
      </c>
      <c r="E1826" t="s">
        <v>14</v>
      </c>
      <c r="F1826" t="s">
        <v>20</v>
      </c>
      <c r="X1826">
        <v>1</v>
      </c>
      <c r="AA1826">
        <v>1</v>
      </c>
      <c r="AE1826">
        <v>1</v>
      </c>
      <c r="AN1826">
        <v>2</v>
      </c>
      <c r="BA1826">
        <f>SUM(Pre[[#This Row],[1]:[46]])</f>
        <v>5</v>
      </c>
    </row>
    <row r="1827" spans="1:53" x14ac:dyDescent="0.2">
      <c r="A1827" t="s">
        <v>58</v>
      </c>
      <c r="B1827" t="s">
        <v>54</v>
      </c>
      <c r="C1827">
        <v>9352</v>
      </c>
      <c r="D1827" t="s">
        <v>7</v>
      </c>
      <c r="E1827" t="s">
        <v>14</v>
      </c>
      <c r="F1827" t="s">
        <v>21</v>
      </c>
      <c r="AP1827">
        <v>1</v>
      </c>
      <c r="BA1827">
        <f>SUM(Pre[[#This Row],[1]:[46]])</f>
        <v>1</v>
      </c>
    </row>
    <row r="1828" spans="1:53" x14ac:dyDescent="0.2">
      <c r="A1828" t="s">
        <v>58</v>
      </c>
      <c r="B1828" t="s">
        <v>54</v>
      </c>
      <c r="C1828">
        <v>10927</v>
      </c>
      <c r="D1828" t="s">
        <v>7</v>
      </c>
      <c r="E1828" t="s">
        <v>8</v>
      </c>
      <c r="F1828" t="s">
        <v>29</v>
      </c>
      <c r="G1828">
        <v>1</v>
      </c>
      <c r="T1828">
        <v>1</v>
      </c>
      <c r="AB1828">
        <v>1</v>
      </c>
      <c r="AI1828">
        <v>3</v>
      </c>
      <c r="AW1828">
        <v>2</v>
      </c>
      <c r="BA1828">
        <f>SUM(Pre[[#This Row],[1]:[46]])</f>
        <v>8</v>
      </c>
    </row>
    <row r="1829" spans="1:53" x14ac:dyDescent="0.2">
      <c r="A1829" t="s">
        <v>58</v>
      </c>
      <c r="B1829" t="s">
        <v>54</v>
      </c>
      <c r="C1829">
        <v>11912</v>
      </c>
      <c r="D1829" t="s">
        <v>7</v>
      </c>
      <c r="E1829" t="s">
        <v>10</v>
      </c>
      <c r="F1829" t="s">
        <v>11</v>
      </c>
      <c r="BA1829">
        <f>SUM(Pre[[#This Row],[1]:[46]])</f>
        <v>0</v>
      </c>
    </row>
    <row r="1830" spans="1:53" x14ac:dyDescent="0.2">
      <c r="A1830" t="s">
        <v>58</v>
      </c>
      <c r="B1830" t="s">
        <v>54</v>
      </c>
      <c r="C1830">
        <v>13783</v>
      </c>
      <c r="D1830" t="s">
        <v>7</v>
      </c>
      <c r="E1830" t="s">
        <v>14</v>
      </c>
      <c r="F1830" t="s">
        <v>20</v>
      </c>
      <c r="J1830">
        <v>1</v>
      </c>
      <c r="N1830">
        <v>1</v>
      </c>
      <c r="S1830">
        <v>1</v>
      </c>
      <c r="W1830">
        <v>1</v>
      </c>
      <c r="AA1830">
        <v>1</v>
      </c>
      <c r="AE1830">
        <v>1</v>
      </c>
      <c r="AH1830">
        <v>1</v>
      </c>
      <c r="AJ1830">
        <v>1</v>
      </c>
      <c r="AN1830">
        <v>1</v>
      </c>
      <c r="AR1830">
        <v>1</v>
      </c>
      <c r="AV1830">
        <v>1</v>
      </c>
      <c r="AZ1830">
        <v>1</v>
      </c>
      <c r="BA1830">
        <f>SUM(Pre[[#This Row],[1]:[46]])</f>
        <v>12</v>
      </c>
    </row>
    <row r="1831" spans="1:53" x14ac:dyDescent="0.2">
      <c r="A1831" t="s">
        <v>58</v>
      </c>
      <c r="B1831" t="s">
        <v>54</v>
      </c>
      <c r="C1831">
        <v>18077</v>
      </c>
      <c r="D1831" t="s">
        <v>7</v>
      </c>
      <c r="E1831" t="s">
        <v>8</v>
      </c>
      <c r="F1831" t="s">
        <v>23</v>
      </c>
      <c r="H1831">
        <v>1</v>
      </c>
      <c r="J1831">
        <v>1</v>
      </c>
      <c r="L1831">
        <v>1</v>
      </c>
      <c r="N1831">
        <v>1</v>
      </c>
      <c r="R1831">
        <v>1</v>
      </c>
      <c r="V1831">
        <v>2</v>
      </c>
      <c r="X1831">
        <v>1</v>
      </c>
      <c r="Z1831">
        <v>1</v>
      </c>
      <c r="AB1831">
        <v>1</v>
      </c>
      <c r="AD1831">
        <v>1</v>
      </c>
      <c r="AF1831">
        <v>1</v>
      </c>
      <c r="AH1831">
        <v>1</v>
      </c>
      <c r="AJ1831">
        <v>1</v>
      </c>
      <c r="AL1831">
        <v>1</v>
      </c>
      <c r="AN1831">
        <v>1</v>
      </c>
      <c r="AP1831">
        <v>1</v>
      </c>
      <c r="AR1831">
        <v>1</v>
      </c>
      <c r="AT1831">
        <v>1</v>
      </c>
      <c r="AV1831">
        <v>1</v>
      </c>
      <c r="AX1831">
        <v>1</v>
      </c>
      <c r="AZ1831">
        <v>1</v>
      </c>
      <c r="BA1831">
        <f>SUM(Pre[[#This Row],[1]:[46]])</f>
        <v>22</v>
      </c>
    </row>
    <row r="1832" spans="1:53" x14ac:dyDescent="0.2">
      <c r="A1832" t="s">
        <v>58</v>
      </c>
      <c r="B1832" t="s">
        <v>54</v>
      </c>
      <c r="C1832">
        <v>23469</v>
      </c>
      <c r="D1832" t="s">
        <v>7</v>
      </c>
      <c r="E1832" t="s">
        <v>10</v>
      </c>
      <c r="F1832" t="s">
        <v>11</v>
      </c>
      <c r="K1832">
        <v>1</v>
      </c>
      <c r="X1832">
        <v>1</v>
      </c>
      <c r="AL1832">
        <v>1</v>
      </c>
      <c r="AZ1832">
        <v>1</v>
      </c>
      <c r="BA1832">
        <f>SUM(Pre[[#This Row],[1]:[46]])</f>
        <v>4</v>
      </c>
    </row>
    <row r="1833" spans="1:53" x14ac:dyDescent="0.2">
      <c r="A1833" t="s">
        <v>58</v>
      </c>
      <c r="B1833" t="s">
        <v>54</v>
      </c>
      <c r="C1833">
        <v>27782</v>
      </c>
      <c r="D1833" t="s">
        <v>7</v>
      </c>
      <c r="E1833" t="s">
        <v>10</v>
      </c>
      <c r="F1833" t="s">
        <v>11</v>
      </c>
      <c r="BA1833">
        <f>SUM(Pre[[#This Row],[1]:[46]])</f>
        <v>0</v>
      </c>
    </row>
    <row r="1834" spans="1:53" x14ac:dyDescent="0.2">
      <c r="A1834" t="s">
        <v>58</v>
      </c>
      <c r="B1834" t="s">
        <v>54</v>
      </c>
      <c r="C1834">
        <v>32131</v>
      </c>
      <c r="D1834" t="s">
        <v>7</v>
      </c>
      <c r="E1834" t="s">
        <v>8</v>
      </c>
      <c r="F1834" t="s">
        <v>9</v>
      </c>
      <c r="L1834">
        <v>1</v>
      </c>
      <c r="Y1834">
        <v>1</v>
      </c>
      <c r="AH1834">
        <v>1</v>
      </c>
      <c r="AL1834">
        <v>1</v>
      </c>
      <c r="AY1834">
        <v>1</v>
      </c>
      <c r="BA1834">
        <f>SUM(Pre[[#This Row],[1]:[46]])</f>
        <v>5</v>
      </c>
    </row>
    <row r="1835" spans="1:53" x14ac:dyDescent="0.2">
      <c r="A1835" t="s">
        <v>58</v>
      </c>
      <c r="B1835" t="s">
        <v>54</v>
      </c>
      <c r="C1835">
        <v>1318</v>
      </c>
      <c r="D1835" t="s">
        <v>22</v>
      </c>
      <c r="E1835" t="s">
        <v>8</v>
      </c>
      <c r="F1835" t="s">
        <v>23</v>
      </c>
      <c r="S1835">
        <v>1</v>
      </c>
      <c r="AA1835">
        <v>1</v>
      </c>
      <c r="BA1835">
        <f>SUM(Pre[[#This Row],[1]:[46]])</f>
        <v>2</v>
      </c>
    </row>
    <row r="1836" spans="1:53" x14ac:dyDescent="0.2">
      <c r="A1836" t="s">
        <v>58</v>
      </c>
      <c r="B1836" t="s">
        <v>54</v>
      </c>
      <c r="C1836">
        <v>4066</v>
      </c>
      <c r="D1836" t="s">
        <v>22</v>
      </c>
      <c r="E1836" t="s">
        <v>37</v>
      </c>
      <c r="F1836" t="s">
        <v>43</v>
      </c>
      <c r="V1836">
        <v>2</v>
      </c>
      <c r="AL1836">
        <v>1</v>
      </c>
      <c r="AZ1836">
        <v>1</v>
      </c>
      <c r="BA1836">
        <f>SUM(Pre[[#This Row],[1]:[46]])</f>
        <v>4</v>
      </c>
    </row>
    <row r="1837" spans="1:53" x14ac:dyDescent="0.2">
      <c r="A1837" t="s">
        <v>58</v>
      </c>
      <c r="B1837" t="s">
        <v>54</v>
      </c>
      <c r="C1837">
        <v>4066</v>
      </c>
      <c r="D1837" t="s">
        <v>22</v>
      </c>
      <c r="E1837" t="s">
        <v>37</v>
      </c>
      <c r="F1837" t="s">
        <v>39</v>
      </c>
      <c r="AL1837">
        <v>1</v>
      </c>
      <c r="BA1837">
        <f>SUM(Pre[[#This Row],[1]:[46]])</f>
        <v>1</v>
      </c>
    </row>
    <row r="1838" spans="1:53" x14ac:dyDescent="0.2">
      <c r="A1838" t="s">
        <v>58</v>
      </c>
      <c r="B1838" t="s">
        <v>54</v>
      </c>
      <c r="C1838">
        <v>4340</v>
      </c>
      <c r="D1838" t="s">
        <v>22</v>
      </c>
      <c r="E1838" t="s">
        <v>8</v>
      </c>
      <c r="F1838" t="s">
        <v>23</v>
      </c>
      <c r="AC1838">
        <v>1</v>
      </c>
      <c r="AQ1838">
        <v>1</v>
      </c>
      <c r="BA1838">
        <f>SUM(Pre[[#This Row],[1]:[46]])</f>
        <v>2</v>
      </c>
    </row>
    <row r="1839" spans="1:53" x14ac:dyDescent="0.2">
      <c r="A1839" t="s">
        <v>58</v>
      </c>
      <c r="B1839" t="s">
        <v>54</v>
      </c>
      <c r="C1839">
        <v>4482</v>
      </c>
      <c r="D1839" t="s">
        <v>22</v>
      </c>
      <c r="E1839" t="s">
        <v>10</v>
      </c>
      <c r="F1839" t="s">
        <v>16</v>
      </c>
      <c r="I1839">
        <v>1</v>
      </c>
      <c r="V1839">
        <v>1</v>
      </c>
      <c r="Z1839">
        <v>2</v>
      </c>
      <c r="AM1839">
        <v>1</v>
      </c>
      <c r="BA1839">
        <f>SUM(Pre[[#This Row],[1]:[46]])</f>
        <v>5</v>
      </c>
    </row>
    <row r="1840" spans="1:53" x14ac:dyDescent="0.2">
      <c r="A1840" t="s">
        <v>58</v>
      </c>
      <c r="B1840" t="s">
        <v>54</v>
      </c>
      <c r="C1840">
        <v>4482</v>
      </c>
      <c r="D1840" t="s">
        <v>22</v>
      </c>
      <c r="E1840" t="s">
        <v>14</v>
      </c>
      <c r="F1840" t="s">
        <v>19</v>
      </c>
      <c r="BA1840">
        <f>SUM(Pre[[#This Row],[1]:[46]])</f>
        <v>0</v>
      </c>
    </row>
    <row r="1841" spans="1:53" x14ac:dyDescent="0.2">
      <c r="A1841" t="s">
        <v>58</v>
      </c>
      <c r="B1841" t="s">
        <v>54</v>
      </c>
      <c r="C1841">
        <v>6085</v>
      </c>
      <c r="D1841" t="s">
        <v>22</v>
      </c>
      <c r="E1841" t="s">
        <v>37</v>
      </c>
      <c r="F1841" t="s">
        <v>39</v>
      </c>
      <c r="L1841">
        <v>1</v>
      </c>
      <c r="R1841">
        <v>1</v>
      </c>
      <c r="W1841">
        <v>1</v>
      </c>
      <c r="AK1841">
        <v>1</v>
      </c>
      <c r="BA1841">
        <f>SUM(Pre[[#This Row],[1]:[46]])</f>
        <v>4</v>
      </c>
    </row>
    <row r="1842" spans="1:53" x14ac:dyDescent="0.2">
      <c r="A1842" t="s">
        <v>58</v>
      </c>
      <c r="B1842" t="s">
        <v>54</v>
      </c>
      <c r="C1842">
        <v>6085</v>
      </c>
      <c r="D1842" t="s">
        <v>22</v>
      </c>
      <c r="E1842" t="s">
        <v>8</v>
      </c>
      <c r="F1842" t="s">
        <v>23</v>
      </c>
      <c r="H1842">
        <v>2</v>
      </c>
      <c r="L1842">
        <v>1</v>
      </c>
      <c r="R1842">
        <v>1</v>
      </c>
      <c r="W1842">
        <v>1</v>
      </c>
      <c r="AK1842">
        <v>2</v>
      </c>
      <c r="AZ1842">
        <v>1</v>
      </c>
      <c r="BA1842">
        <f>SUM(Pre[[#This Row],[1]:[46]])</f>
        <v>8</v>
      </c>
    </row>
    <row r="1843" spans="1:53" x14ac:dyDescent="0.2">
      <c r="A1843" t="s">
        <v>58</v>
      </c>
      <c r="B1843" t="s">
        <v>54</v>
      </c>
      <c r="C1843">
        <v>6476</v>
      </c>
      <c r="D1843" t="s">
        <v>22</v>
      </c>
      <c r="E1843" t="s">
        <v>14</v>
      </c>
      <c r="F1843" t="s">
        <v>19</v>
      </c>
      <c r="AL1843">
        <v>1</v>
      </c>
      <c r="BA1843">
        <f>SUM(Pre[[#This Row],[1]:[46]])</f>
        <v>1</v>
      </c>
    </row>
    <row r="1844" spans="1:53" x14ac:dyDescent="0.2">
      <c r="A1844" t="s">
        <v>58</v>
      </c>
      <c r="B1844" t="s">
        <v>54</v>
      </c>
      <c r="C1844">
        <v>8291</v>
      </c>
      <c r="D1844" t="s">
        <v>22</v>
      </c>
      <c r="E1844" t="s">
        <v>8</v>
      </c>
      <c r="F1844" t="s">
        <v>23</v>
      </c>
      <c r="O1844">
        <v>1</v>
      </c>
      <c r="AA1844">
        <v>1</v>
      </c>
      <c r="AP1844">
        <v>1</v>
      </c>
      <c r="BA1844">
        <f>SUM(Pre[[#This Row],[1]:[46]])</f>
        <v>3</v>
      </c>
    </row>
    <row r="1845" spans="1:53" x14ac:dyDescent="0.2">
      <c r="A1845" t="s">
        <v>58</v>
      </c>
      <c r="B1845" t="s">
        <v>54</v>
      </c>
      <c r="C1845">
        <v>8390</v>
      </c>
      <c r="D1845" t="s">
        <v>22</v>
      </c>
      <c r="E1845" t="s">
        <v>8</v>
      </c>
      <c r="F1845" t="s">
        <v>9</v>
      </c>
      <c r="G1845">
        <v>1</v>
      </c>
      <c r="T1845">
        <v>1</v>
      </c>
      <c r="AF1845">
        <v>1</v>
      </c>
      <c r="AS1845">
        <v>1</v>
      </c>
      <c r="BA1845">
        <f>SUM(Pre[[#This Row],[1]:[46]])</f>
        <v>4</v>
      </c>
    </row>
    <row r="1846" spans="1:53" x14ac:dyDescent="0.2">
      <c r="A1846" t="s">
        <v>58</v>
      </c>
      <c r="B1846" t="s">
        <v>54</v>
      </c>
      <c r="C1846">
        <v>8444</v>
      </c>
      <c r="D1846" t="s">
        <v>22</v>
      </c>
      <c r="E1846" t="s">
        <v>8</v>
      </c>
      <c r="F1846" t="s">
        <v>23</v>
      </c>
      <c r="Q1846">
        <v>1</v>
      </c>
      <c r="AJ1846">
        <v>1</v>
      </c>
      <c r="AW1846">
        <v>1</v>
      </c>
      <c r="BA1846">
        <f>SUM(Pre[[#This Row],[1]:[46]])</f>
        <v>3</v>
      </c>
    </row>
    <row r="1847" spans="1:53" x14ac:dyDescent="0.2">
      <c r="A1847" t="s">
        <v>58</v>
      </c>
      <c r="B1847" t="s">
        <v>54</v>
      </c>
      <c r="C1847">
        <v>10443</v>
      </c>
      <c r="D1847" t="s">
        <v>22</v>
      </c>
      <c r="E1847" t="s">
        <v>8</v>
      </c>
      <c r="F1847" t="s">
        <v>23</v>
      </c>
      <c r="J1847">
        <v>1</v>
      </c>
      <c r="N1847">
        <v>1</v>
      </c>
      <c r="V1847">
        <v>2</v>
      </c>
      <c r="AE1847">
        <v>1</v>
      </c>
      <c r="AL1847">
        <v>1</v>
      </c>
      <c r="AS1847">
        <v>1</v>
      </c>
      <c r="AY1847">
        <v>1</v>
      </c>
      <c r="BA1847">
        <f>SUM(Pre[[#This Row],[1]:[46]])</f>
        <v>8</v>
      </c>
    </row>
    <row r="1848" spans="1:53" x14ac:dyDescent="0.2">
      <c r="A1848" t="s">
        <v>58</v>
      </c>
      <c r="B1848" t="s">
        <v>54</v>
      </c>
      <c r="C1848">
        <v>11693</v>
      </c>
      <c r="D1848" t="s">
        <v>22</v>
      </c>
      <c r="E1848" t="s">
        <v>8</v>
      </c>
      <c r="F1848" t="s">
        <v>23</v>
      </c>
      <c r="AJ1848">
        <v>1</v>
      </c>
      <c r="AN1848">
        <v>1</v>
      </c>
      <c r="AR1848">
        <v>1</v>
      </c>
      <c r="AV1848">
        <v>1</v>
      </c>
      <c r="BA1848">
        <f>SUM(Pre[[#This Row],[1]:[46]])</f>
        <v>4</v>
      </c>
    </row>
    <row r="1849" spans="1:53" x14ac:dyDescent="0.2">
      <c r="A1849" t="s">
        <v>58</v>
      </c>
      <c r="B1849" t="s">
        <v>54</v>
      </c>
      <c r="C1849">
        <v>11693</v>
      </c>
      <c r="D1849" t="s">
        <v>22</v>
      </c>
      <c r="E1849" t="s">
        <v>8</v>
      </c>
      <c r="F1849" t="s">
        <v>30</v>
      </c>
      <c r="BA1849">
        <f>SUM(Pre[[#This Row],[1]:[46]])</f>
        <v>0</v>
      </c>
    </row>
    <row r="1850" spans="1:53" x14ac:dyDescent="0.2">
      <c r="A1850" t="s">
        <v>58</v>
      </c>
      <c r="B1850" t="s">
        <v>54</v>
      </c>
      <c r="C1850">
        <v>16767</v>
      </c>
      <c r="D1850" t="s">
        <v>22</v>
      </c>
      <c r="E1850" t="s">
        <v>14</v>
      </c>
      <c r="F1850" t="s">
        <v>21</v>
      </c>
      <c r="P1850">
        <v>2</v>
      </c>
      <c r="X1850">
        <v>1</v>
      </c>
      <c r="BA1850">
        <f>SUM(Pre[[#This Row],[1]:[46]])</f>
        <v>3</v>
      </c>
    </row>
    <row r="1851" spans="1:53" x14ac:dyDescent="0.2">
      <c r="A1851" t="s">
        <v>58</v>
      </c>
      <c r="B1851" t="s">
        <v>54</v>
      </c>
      <c r="C1851">
        <v>18260</v>
      </c>
      <c r="D1851" t="s">
        <v>22</v>
      </c>
      <c r="E1851" t="s">
        <v>8</v>
      </c>
      <c r="F1851" t="s">
        <v>23</v>
      </c>
      <c r="O1851">
        <v>1</v>
      </c>
      <c r="S1851">
        <v>1</v>
      </c>
      <c r="Y1851">
        <v>1</v>
      </c>
      <c r="AN1851">
        <v>1</v>
      </c>
      <c r="BA1851">
        <f>SUM(Pre[[#This Row],[1]:[46]])</f>
        <v>4</v>
      </c>
    </row>
    <row r="1852" spans="1:53" x14ac:dyDescent="0.2">
      <c r="A1852" t="s">
        <v>58</v>
      </c>
      <c r="B1852" t="s">
        <v>54</v>
      </c>
      <c r="C1852">
        <v>33338</v>
      </c>
      <c r="D1852" t="s">
        <v>22</v>
      </c>
      <c r="E1852" t="s">
        <v>10</v>
      </c>
      <c r="F1852" t="s">
        <v>16</v>
      </c>
      <c r="AQ1852">
        <v>1</v>
      </c>
      <c r="BA1852">
        <f>SUM(Pre[[#This Row],[1]:[46]])</f>
        <v>1</v>
      </c>
    </row>
    <row r="1853" spans="1:53" x14ac:dyDescent="0.2">
      <c r="A1853" t="s">
        <v>58</v>
      </c>
      <c r="B1853" t="s">
        <v>54</v>
      </c>
      <c r="C1853">
        <v>1156</v>
      </c>
      <c r="D1853" t="s">
        <v>7</v>
      </c>
      <c r="E1853" t="s">
        <v>10</v>
      </c>
      <c r="F1853" t="s">
        <v>11</v>
      </c>
      <c r="P1853">
        <v>1</v>
      </c>
      <c r="AC1853">
        <v>1</v>
      </c>
      <c r="AQ1853">
        <v>1</v>
      </c>
      <c r="BA1853">
        <f>SUM(Pre[[#This Row],[1]:[46]])</f>
        <v>3</v>
      </c>
    </row>
    <row r="1854" spans="1:53" x14ac:dyDescent="0.2">
      <c r="A1854" t="s">
        <v>58</v>
      </c>
      <c r="B1854" t="s">
        <v>54</v>
      </c>
      <c r="C1854">
        <v>1571</v>
      </c>
      <c r="D1854" t="s">
        <v>7</v>
      </c>
      <c r="E1854" t="s">
        <v>14</v>
      </c>
      <c r="F1854" t="s">
        <v>20</v>
      </c>
      <c r="AD1854">
        <v>2</v>
      </c>
      <c r="BA1854">
        <f>SUM(Pre[[#This Row],[1]:[46]])</f>
        <v>2</v>
      </c>
    </row>
    <row r="1855" spans="1:53" x14ac:dyDescent="0.2">
      <c r="A1855" t="s">
        <v>58</v>
      </c>
      <c r="B1855" t="s">
        <v>54</v>
      </c>
      <c r="C1855">
        <v>5560</v>
      </c>
      <c r="D1855" t="s">
        <v>7</v>
      </c>
      <c r="E1855" t="s">
        <v>14</v>
      </c>
      <c r="F1855" t="s">
        <v>20</v>
      </c>
      <c r="K1855">
        <v>1</v>
      </c>
      <c r="X1855">
        <v>1</v>
      </c>
      <c r="AK1855">
        <v>1</v>
      </c>
      <c r="AX1855">
        <v>1</v>
      </c>
      <c r="BA1855">
        <f>SUM(Pre[[#This Row],[1]:[46]])</f>
        <v>4</v>
      </c>
    </row>
    <row r="1856" spans="1:53" x14ac:dyDescent="0.2">
      <c r="A1856" t="s">
        <v>58</v>
      </c>
      <c r="B1856" t="s">
        <v>54</v>
      </c>
      <c r="C1856">
        <v>7887</v>
      </c>
      <c r="D1856" t="s">
        <v>7</v>
      </c>
      <c r="E1856" t="s">
        <v>14</v>
      </c>
      <c r="F1856" t="s">
        <v>35</v>
      </c>
      <c r="G1856">
        <v>1</v>
      </c>
      <c r="N1856">
        <v>1</v>
      </c>
      <c r="Q1856">
        <v>1</v>
      </c>
      <c r="W1856">
        <v>1</v>
      </c>
      <c r="AB1856">
        <v>1</v>
      </c>
      <c r="AJ1856">
        <v>1</v>
      </c>
      <c r="AW1856">
        <v>1</v>
      </c>
      <c r="BA1856">
        <f>SUM(Pre[[#This Row],[1]:[46]])</f>
        <v>7</v>
      </c>
    </row>
    <row r="1857" spans="1:53" x14ac:dyDescent="0.2">
      <c r="A1857" t="s">
        <v>58</v>
      </c>
      <c r="B1857" t="s">
        <v>54</v>
      </c>
      <c r="C1857">
        <v>8103</v>
      </c>
      <c r="D1857" t="s">
        <v>7</v>
      </c>
      <c r="E1857" t="s">
        <v>14</v>
      </c>
      <c r="F1857" t="s">
        <v>20</v>
      </c>
      <c r="X1857">
        <v>1</v>
      </c>
      <c r="AW1857">
        <v>2</v>
      </c>
      <c r="BA1857">
        <f>SUM(Pre[[#This Row],[1]:[46]])</f>
        <v>3</v>
      </c>
    </row>
    <row r="1858" spans="1:53" x14ac:dyDescent="0.2">
      <c r="A1858" t="s">
        <v>58</v>
      </c>
      <c r="B1858" t="s">
        <v>54</v>
      </c>
      <c r="C1858">
        <v>8175</v>
      </c>
      <c r="D1858" t="s">
        <v>7</v>
      </c>
      <c r="E1858" t="s">
        <v>8</v>
      </c>
      <c r="F1858" t="s">
        <v>34</v>
      </c>
      <c r="L1858">
        <v>1</v>
      </c>
      <c r="Y1858">
        <v>1</v>
      </c>
      <c r="AL1858">
        <v>1</v>
      </c>
      <c r="BA1858">
        <f>SUM(Pre[[#This Row],[1]:[46]])</f>
        <v>3</v>
      </c>
    </row>
    <row r="1859" spans="1:53" x14ac:dyDescent="0.2">
      <c r="A1859" t="s">
        <v>58</v>
      </c>
      <c r="B1859" t="s">
        <v>54</v>
      </c>
      <c r="C1859">
        <v>9483</v>
      </c>
      <c r="D1859" t="s">
        <v>7</v>
      </c>
      <c r="E1859" t="s">
        <v>8</v>
      </c>
      <c r="F1859" t="s">
        <v>23</v>
      </c>
      <c r="Q1859">
        <v>1</v>
      </c>
      <c r="AD1859">
        <v>1</v>
      </c>
      <c r="AP1859">
        <v>1</v>
      </c>
      <c r="BA1859">
        <f>SUM(Pre[[#This Row],[1]:[46]])</f>
        <v>3</v>
      </c>
    </row>
    <row r="1860" spans="1:53" x14ac:dyDescent="0.2">
      <c r="A1860" t="s">
        <v>58</v>
      </c>
      <c r="B1860" t="s">
        <v>54</v>
      </c>
      <c r="C1860">
        <v>9590</v>
      </c>
      <c r="D1860" t="s">
        <v>7</v>
      </c>
      <c r="E1860" t="s">
        <v>14</v>
      </c>
      <c r="F1860" t="s">
        <v>20</v>
      </c>
      <c r="AC1860">
        <v>2</v>
      </c>
      <c r="BA1860">
        <f>SUM(Pre[[#This Row],[1]:[46]])</f>
        <v>2</v>
      </c>
    </row>
    <row r="1861" spans="1:53" x14ac:dyDescent="0.2">
      <c r="A1861" t="s">
        <v>58</v>
      </c>
      <c r="B1861" t="s">
        <v>54</v>
      </c>
      <c r="C1861">
        <v>9987</v>
      </c>
      <c r="D1861" t="s">
        <v>7</v>
      </c>
      <c r="E1861" t="s">
        <v>8</v>
      </c>
      <c r="F1861" t="s">
        <v>23</v>
      </c>
      <c r="P1861">
        <v>1</v>
      </c>
      <c r="AD1861">
        <v>1</v>
      </c>
      <c r="AP1861">
        <v>1</v>
      </c>
      <c r="BA1861">
        <f>SUM(Pre[[#This Row],[1]:[46]])</f>
        <v>3</v>
      </c>
    </row>
    <row r="1862" spans="1:53" x14ac:dyDescent="0.2">
      <c r="A1862" t="s">
        <v>58</v>
      </c>
      <c r="B1862" t="s">
        <v>54</v>
      </c>
      <c r="C1862">
        <v>12788</v>
      </c>
      <c r="D1862" t="s">
        <v>7</v>
      </c>
      <c r="E1862" t="s">
        <v>14</v>
      </c>
      <c r="F1862" t="s">
        <v>21</v>
      </c>
      <c r="AD1862">
        <v>1</v>
      </c>
      <c r="AP1862">
        <v>1</v>
      </c>
      <c r="BA1862">
        <f>SUM(Pre[[#This Row],[1]:[46]])</f>
        <v>2</v>
      </c>
    </row>
    <row r="1863" spans="1:53" x14ac:dyDescent="0.2">
      <c r="A1863" t="s">
        <v>58</v>
      </c>
      <c r="B1863" t="s">
        <v>54</v>
      </c>
      <c r="C1863">
        <v>14788</v>
      </c>
      <c r="D1863" t="s">
        <v>7</v>
      </c>
      <c r="E1863" t="s">
        <v>14</v>
      </c>
      <c r="F1863" t="s">
        <v>15</v>
      </c>
      <c r="M1863">
        <v>1</v>
      </c>
      <c r="BA1863">
        <f>SUM(Pre[[#This Row],[1]:[46]])</f>
        <v>1</v>
      </c>
    </row>
    <row r="1864" spans="1:53" x14ac:dyDescent="0.2">
      <c r="A1864" t="s">
        <v>58</v>
      </c>
      <c r="B1864" t="s">
        <v>54</v>
      </c>
      <c r="C1864">
        <v>14788</v>
      </c>
      <c r="D1864" t="s">
        <v>7</v>
      </c>
      <c r="E1864" t="s">
        <v>14</v>
      </c>
      <c r="F1864" t="s">
        <v>19</v>
      </c>
      <c r="BA1864">
        <f>SUM(Pre[[#This Row],[1]:[46]])</f>
        <v>0</v>
      </c>
    </row>
    <row r="1865" spans="1:53" x14ac:dyDescent="0.2">
      <c r="A1865" t="s">
        <v>58</v>
      </c>
      <c r="B1865" t="s">
        <v>54</v>
      </c>
      <c r="C1865">
        <v>14788</v>
      </c>
      <c r="D1865" t="s">
        <v>7</v>
      </c>
      <c r="E1865" t="s">
        <v>14</v>
      </c>
      <c r="F1865" t="s">
        <v>21</v>
      </c>
      <c r="Y1865">
        <v>1</v>
      </c>
      <c r="AA1865">
        <v>1</v>
      </c>
      <c r="BA1865">
        <f>SUM(Pre[[#This Row],[1]:[46]])</f>
        <v>2</v>
      </c>
    </row>
    <row r="1866" spans="1:53" x14ac:dyDescent="0.2">
      <c r="A1866" t="s">
        <v>58</v>
      </c>
      <c r="B1866" t="s">
        <v>54</v>
      </c>
      <c r="C1866">
        <v>15702</v>
      </c>
      <c r="D1866" t="s">
        <v>7</v>
      </c>
      <c r="E1866" t="s">
        <v>14</v>
      </c>
      <c r="F1866" t="s">
        <v>20</v>
      </c>
      <c r="O1866">
        <v>1</v>
      </c>
      <c r="AB1866">
        <v>1</v>
      </c>
      <c r="AO1866">
        <v>1</v>
      </c>
      <c r="BA1866">
        <f>SUM(Pre[[#This Row],[1]:[46]])</f>
        <v>3</v>
      </c>
    </row>
    <row r="1867" spans="1:53" x14ac:dyDescent="0.2">
      <c r="A1867" t="s">
        <v>58</v>
      </c>
      <c r="B1867" t="s">
        <v>54</v>
      </c>
      <c r="C1867">
        <v>16709</v>
      </c>
      <c r="D1867" t="s">
        <v>7</v>
      </c>
      <c r="E1867" t="s">
        <v>8</v>
      </c>
      <c r="F1867" t="s">
        <v>23</v>
      </c>
      <c r="BA1867">
        <f>SUM(Pre[[#This Row],[1]:[46]])</f>
        <v>0</v>
      </c>
    </row>
    <row r="1868" spans="1:53" x14ac:dyDescent="0.2">
      <c r="A1868" t="s">
        <v>58</v>
      </c>
      <c r="B1868" t="s">
        <v>54</v>
      </c>
      <c r="C1868">
        <v>17553</v>
      </c>
      <c r="D1868" t="s">
        <v>7</v>
      </c>
      <c r="E1868" t="s">
        <v>14</v>
      </c>
      <c r="F1868" t="s">
        <v>15</v>
      </c>
      <c r="N1868">
        <v>1</v>
      </c>
      <c r="S1868">
        <v>1</v>
      </c>
      <c r="W1868">
        <v>3</v>
      </c>
      <c r="AH1868">
        <v>2</v>
      </c>
      <c r="AM1868">
        <v>4</v>
      </c>
      <c r="BA1868">
        <f>SUM(Pre[[#This Row],[1]:[46]])</f>
        <v>11</v>
      </c>
    </row>
    <row r="1869" spans="1:53" x14ac:dyDescent="0.2">
      <c r="A1869" t="s">
        <v>58</v>
      </c>
      <c r="B1869" t="s">
        <v>54</v>
      </c>
      <c r="C1869">
        <v>813</v>
      </c>
      <c r="D1869" t="s">
        <v>22</v>
      </c>
      <c r="E1869" t="s">
        <v>8</v>
      </c>
      <c r="F1869" t="s">
        <v>23</v>
      </c>
      <c r="J1869">
        <v>1</v>
      </c>
      <c r="O1869">
        <v>3</v>
      </c>
      <c r="S1869">
        <v>1</v>
      </c>
      <c r="BA1869">
        <f>SUM(Pre[[#This Row],[1]:[46]])</f>
        <v>5</v>
      </c>
    </row>
    <row r="1870" spans="1:53" x14ac:dyDescent="0.2">
      <c r="A1870" t="s">
        <v>58</v>
      </c>
      <c r="B1870" t="s">
        <v>54</v>
      </c>
      <c r="C1870">
        <v>1988</v>
      </c>
      <c r="D1870" t="s">
        <v>22</v>
      </c>
      <c r="E1870" t="s">
        <v>8</v>
      </c>
      <c r="F1870" t="s">
        <v>29</v>
      </c>
      <c r="N1870">
        <v>1</v>
      </c>
      <c r="AB1870">
        <v>1</v>
      </c>
      <c r="AO1870">
        <v>1</v>
      </c>
      <c r="AV1870">
        <v>2</v>
      </c>
      <c r="BA1870">
        <f>SUM(Pre[[#This Row],[1]:[46]])</f>
        <v>5</v>
      </c>
    </row>
    <row r="1871" spans="1:53" x14ac:dyDescent="0.2">
      <c r="A1871" t="s">
        <v>58</v>
      </c>
      <c r="B1871" t="s">
        <v>54</v>
      </c>
      <c r="C1871">
        <v>2100</v>
      </c>
      <c r="D1871" t="s">
        <v>22</v>
      </c>
      <c r="E1871" t="s">
        <v>10</v>
      </c>
      <c r="F1871" t="s">
        <v>11</v>
      </c>
      <c r="K1871">
        <v>1</v>
      </c>
      <c r="BA1871">
        <f>SUM(Pre[[#This Row],[1]:[46]])</f>
        <v>1</v>
      </c>
    </row>
    <row r="1872" spans="1:53" x14ac:dyDescent="0.2">
      <c r="A1872" t="s">
        <v>58</v>
      </c>
      <c r="B1872" t="s">
        <v>54</v>
      </c>
      <c r="C1872">
        <v>3734</v>
      </c>
      <c r="D1872" t="s">
        <v>22</v>
      </c>
      <c r="E1872" t="s">
        <v>8</v>
      </c>
      <c r="F1872" t="s">
        <v>23</v>
      </c>
      <c r="R1872">
        <v>1</v>
      </c>
      <c r="AD1872">
        <v>1</v>
      </c>
      <c r="AQ1872">
        <v>1</v>
      </c>
      <c r="BA1872">
        <f>SUM(Pre[[#This Row],[1]:[46]])</f>
        <v>3</v>
      </c>
    </row>
    <row r="1873" spans="1:53" x14ac:dyDescent="0.2">
      <c r="A1873" t="s">
        <v>58</v>
      </c>
      <c r="B1873" t="s">
        <v>54</v>
      </c>
      <c r="C1873">
        <v>4259</v>
      </c>
      <c r="D1873" t="s">
        <v>22</v>
      </c>
      <c r="E1873" t="s">
        <v>8</v>
      </c>
      <c r="F1873" t="s">
        <v>23</v>
      </c>
      <c r="H1873">
        <v>1</v>
      </c>
      <c r="L1873">
        <v>1</v>
      </c>
      <c r="P1873">
        <v>1</v>
      </c>
      <c r="T1873">
        <v>1</v>
      </c>
      <c r="X1873">
        <v>1</v>
      </c>
      <c r="AB1873">
        <v>1</v>
      </c>
      <c r="AJ1873">
        <v>1</v>
      </c>
      <c r="AN1873">
        <v>1</v>
      </c>
      <c r="AR1873">
        <v>2</v>
      </c>
      <c r="AV1873">
        <v>1</v>
      </c>
      <c r="AY1873">
        <v>1</v>
      </c>
      <c r="BA1873">
        <f>SUM(Pre[[#This Row],[1]:[46]])</f>
        <v>12</v>
      </c>
    </row>
    <row r="1874" spans="1:53" x14ac:dyDescent="0.2">
      <c r="A1874" t="s">
        <v>58</v>
      </c>
      <c r="B1874" t="s">
        <v>54</v>
      </c>
      <c r="C1874">
        <v>4804</v>
      </c>
      <c r="D1874" t="s">
        <v>22</v>
      </c>
      <c r="E1874" t="s">
        <v>8</v>
      </c>
      <c r="F1874" t="s">
        <v>23</v>
      </c>
      <c r="M1874">
        <v>1</v>
      </c>
      <c r="AB1874">
        <v>1</v>
      </c>
      <c r="AQ1874">
        <v>1</v>
      </c>
      <c r="BA1874">
        <f>SUM(Pre[[#This Row],[1]:[46]])</f>
        <v>3</v>
      </c>
    </row>
    <row r="1875" spans="1:53" x14ac:dyDescent="0.2">
      <c r="A1875" t="s">
        <v>58</v>
      </c>
      <c r="B1875" t="s">
        <v>54</v>
      </c>
      <c r="C1875">
        <v>5630</v>
      </c>
      <c r="D1875" t="s">
        <v>22</v>
      </c>
      <c r="E1875" t="s">
        <v>14</v>
      </c>
      <c r="F1875" t="s">
        <v>19</v>
      </c>
      <c r="AJ1875">
        <v>1</v>
      </c>
      <c r="AK1875">
        <v>1</v>
      </c>
      <c r="BA1875">
        <f>SUM(Pre[[#This Row],[1]:[46]])</f>
        <v>2</v>
      </c>
    </row>
    <row r="1876" spans="1:53" x14ac:dyDescent="0.2">
      <c r="A1876" t="s">
        <v>58</v>
      </c>
      <c r="B1876" t="s">
        <v>54</v>
      </c>
      <c r="C1876">
        <v>5918</v>
      </c>
      <c r="D1876" t="s">
        <v>22</v>
      </c>
      <c r="E1876" t="s">
        <v>8</v>
      </c>
      <c r="F1876" t="s">
        <v>23</v>
      </c>
      <c r="H1876">
        <v>1</v>
      </c>
      <c r="Q1876">
        <v>1</v>
      </c>
      <c r="AB1876">
        <v>1</v>
      </c>
      <c r="AQ1876">
        <v>1</v>
      </c>
      <c r="BA1876">
        <f>SUM(Pre[[#This Row],[1]:[46]])</f>
        <v>4</v>
      </c>
    </row>
    <row r="1877" spans="1:53" x14ac:dyDescent="0.2">
      <c r="A1877" t="s">
        <v>58</v>
      </c>
      <c r="B1877" t="s">
        <v>54</v>
      </c>
      <c r="C1877">
        <v>6395</v>
      </c>
      <c r="D1877" t="s">
        <v>22</v>
      </c>
      <c r="E1877" t="s">
        <v>8</v>
      </c>
      <c r="F1877" t="s">
        <v>23</v>
      </c>
      <c r="O1877">
        <v>1</v>
      </c>
      <c r="AA1877">
        <v>3</v>
      </c>
      <c r="AV1877">
        <v>1</v>
      </c>
      <c r="BA1877">
        <f>SUM(Pre[[#This Row],[1]:[46]])</f>
        <v>5</v>
      </c>
    </row>
    <row r="1878" spans="1:53" x14ac:dyDescent="0.2">
      <c r="A1878" t="s">
        <v>58</v>
      </c>
      <c r="B1878" t="s">
        <v>54</v>
      </c>
      <c r="C1878">
        <v>6691</v>
      </c>
      <c r="D1878" t="s">
        <v>22</v>
      </c>
      <c r="E1878" t="s">
        <v>40</v>
      </c>
      <c r="F1878" t="s">
        <v>44</v>
      </c>
      <c r="AX1878">
        <v>3</v>
      </c>
      <c r="AY1878">
        <v>1</v>
      </c>
      <c r="BA1878">
        <f>SUM(Pre[[#This Row],[1]:[46]])</f>
        <v>4</v>
      </c>
    </row>
    <row r="1879" spans="1:53" x14ac:dyDescent="0.2">
      <c r="A1879" t="s">
        <v>58</v>
      </c>
      <c r="B1879" t="s">
        <v>54</v>
      </c>
      <c r="C1879">
        <v>6691</v>
      </c>
      <c r="D1879" t="s">
        <v>22</v>
      </c>
      <c r="E1879" t="s">
        <v>40</v>
      </c>
      <c r="F1879" t="s">
        <v>41</v>
      </c>
      <c r="O1879">
        <v>1</v>
      </c>
      <c r="S1879">
        <v>1</v>
      </c>
      <c r="W1879">
        <v>2</v>
      </c>
      <c r="AD1879">
        <v>2</v>
      </c>
      <c r="AJ1879">
        <v>2</v>
      </c>
      <c r="AP1879">
        <v>1</v>
      </c>
      <c r="AV1879">
        <v>1</v>
      </c>
      <c r="BA1879">
        <f>SUM(Pre[[#This Row],[1]:[46]])</f>
        <v>10</v>
      </c>
    </row>
    <row r="1880" spans="1:53" x14ac:dyDescent="0.2">
      <c r="A1880" t="s">
        <v>58</v>
      </c>
      <c r="B1880" t="s">
        <v>54</v>
      </c>
      <c r="C1880">
        <v>7190</v>
      </c>
      <c r="D1880" t="s">
        <v>22</v>
      </c>
      <c r="E1880" t="s">
        <v>14</v>
      </c>
      <c r="F1880" t="s">
        <v>20</v>
      </c>
      <c r="H1880">
        <v>1</v>
      </c>
      <c r="M1880">
        <v>1</v>
      </c>
      <c r="S1880">
        <v>1</v>
      </c>
      <c r="U1880">
        <v>1</v>
      </c>
      <c r="AB1880">
        <v>1</v>
      </c>
      <c r="AI1880">
        <v>1</v>
      </c>
      <c r="AP1880">
        <v>1</v>
      </c>
      <c r="AW1880">
        <v>1</v>
      </c>
      <c r="BA1880">
        <f>SUM(Pre[[#This Row],[1]:[46]])</f>
        <v>8</v>
      </c>
    </row>
    <row r="1881" spans="1:53" x14ac:dyDescent="0.2">
      <c r="A1881" t="s">
        <v>58</v>
      </c>
      <c r="B1881" t="s">
        <v>54</v>
      </c>
      <c r="C1881">
        <v>7373</v>
      </c>
      <c r="D1881" t="s">
        <v>22</v>
      </c>
      <c r="E1881" t="s">
        <v>14</v>
      </c>
      <c r="F1881" t="s">
        <v>19</v>
      </c>
      <c r="BA1881">
        <f>SUM(Pre[[#This Row],[1]:[46]])</f>
        <v>0</v>
      </c>
    </row>
    <row r="1882" spans="1:53" x14ac:dyDescent="0.2">
      <c r="A1882" t="s">
        <v>58</v>
      </c>
      <c r="B1882" t="s">
        <v>54</v>
      </c>
      <c r="C1882">
        <v>7533</v>
      </c>
      <c r="D1882" t="s">
        <v>22</v>
      </c>
      <c r="E1882" t="s">
        <v>8</v>
      </c>
      <c r="F1882" t="s">
        <v>23</v>
      </c>
      <c r="R1882">
        <v>1</v>
      </c>
      <c r="AE1882">
        <v>1</v>
      </c>
      <c r="AT1882">
        <v>1</v>
      </c>
      <c r="BA1882">
        <f>SUM(Pre[[#This Row],[1]:[46]])</f>
        <v>3</v>
      </c>
    </row>
    <row r="1883" spans="1:53" x14ac:dyDescent="0.2">
      <c r="A1883" t="s">
        <v>58</v>
      </c>
      <c r="B1883" t="s">
        <v>54</v>
      </c>
      <c r="C1883">
        <v>7533</v>
      </c>
      <c r="D1883" t="s">
        <v>22</v>
      </c>
      <c r="E1883" t="s">
        <v>26</v>
      </c>
      <c r="F1883" t="s">
        <v>27</v>
      </c>
      <c r="R1883">
        <v>1</v>
      </c>
      <c r="AE1883">
        <v>1</v>
      </c>
      <c r="AT1883">
        <v>1</v>
      </c>
      <c r="BA1883">
        <f>SUM(Pre[[#This Row],[1]:[46]])</f>
        <v>3</v>
      </c>
    </row>
    <row r="1884" spans="1:53" x14ac:dyDescent="0.2">
      <c r="A1884" t="s">
        <v>58</v>
      </c>
      <c r="B1884" t="s">
        <v>54</v>
      </c>
      <c r="C1884">
        <v>7982</v>
      </c>
      <c r="D1884" t="s">
        <v>22</v>
      </c>
      <c r="E1884" t="s">
        <v>14</v>
      </c>
      <c r="F1884" t="s">
        <v>20</v>
      </c>
      <c r="AJ1884">
        <v>1</v>
      </c>
      <c r="BA1884">
        <f>SUM(Pre[[#This Row],[1]:[46]])</f>
        <v>1</v>
      </c>
    </row>
    <row r="1885" spans="1:53" x14ac:dyDescent="0.2">
      <c r="A1885" t="s">
        <v>58</v>
      </c>
      <c r="B1885" t="s">
        <v>54</v>
      </c>
      <c r="C1885">
        <v>8170</v>
      </c>
      <c r="D1885" t="s">
        <v>22</v>
      </c>
      <c r="E1885" t="s">
        <v>8</v>
      </c>
      <c r="F1885" t="s">
        <v>23</v>
      </c>
      <c r="G1885">
        <v>1</v>
      </c>
      <c r="S1885">
        <v>1</v>
      </c>
      <c r="AD1885">
        <v>1</v>
      </c>
      <c r="AP1885">
        <v>1</v>
      </c>
      <c r="BA1885">
        <f>SUM(Pre[[#This Row],[1]:[46]])</f>
        <v>4</v>
      </c>
    </row>
    <row r="1886" spans="1:53" x14ac:dyDescent="0.2">
      <c r="A1886" t="s">
        <v>58</v>
      </c>
      <c r="B1886" t="s">
        <v>54</v>
      </c>
      <c r="C1886">
        <v>8565</v>
      </c>
      <c r="D1886" t="s">
        <v>22</v>
      </c>
      <c r="E1886" t="s">
        <v>8</v>
      </c>
      <c r="F1886" t="s">
        <v>45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2</v>
      </c>
      <c r="AO1886">
        <v>1</v>
      </c>
      <c r="BA1886">
        <f>SUM(Pre[[#This Row],[1]:[46]])</f>
        <v>36</v>
      </c>
    </row>
    <row r="1887" spans="1:53" x14ac:dyDescent="0.2">
      <c r="A1887" t="s">
        <v>58</v>
      </c>
      <c r="B1887" t="s">
        <v>54</v>
      </c>
      <c r="C1887">
        <v>8761</v>
      </c>
      <c r="D1887" t="s">
        <v>22</v>
      </c>
      <c r="E1887" t="s">
        <v>10</v>
      </c>
      <c r="F1887" t="s">
        <v>11</v>
      </c>
      <c r="BA1887">
        <f>SUM(Pre[[#This Row],[1]:[46]])</f>
        <v>0</v>
      </c>
    </row>
    <row r="1888" spans="1:53" x14ac:dyDescent="0.2">
      <c r="A1888" t="s">
        <v>58</v>
      </c>
      <c r="B1888" t="s">
        <v>54</v>
      </c>
      <c r="C1888">
        <v>8958</v>
      </c>
      <c r="D1888" t="s">
        <v>22</v>
      </c>
      <c r="E1888" t="s">
        <v>8</v>
      </c>
      <c r="F1888" t="s">
        <v>23</v>
      </c>
      <c r="J1888">
        <v>1</v>
      </c>
      <c r="W1888">
        <v>1</v>
      </c>
      <c r="AH1888">
        <v>1</v>
      </c>
      <c r="AS1888">
        <v>1</v>
      </c>
      <c r="BA1888">
        <f>SUM(Pre[[#This Row],[1]:[46]])</f>
        <v>4</v>
      </c>
    </row>
    <row r="1889" spans="1:53" x14ac:dyDescent="0.2">
      <c r="A1889" t="s">
        <v>58</v>
      </c>
      <c r="B1889" t="s">
        <v>54</v>
      </c>
      <c r="C1889">
        <v>9156</v>
      </c>
      <c r="D1889" t="s">
        <v>22</v>
      </c>
      <c r="E1889" t="s">
        <v>14</v>
      </c>
      <c r="F1889" t="s">
        <v>20</v>
      </c>
      <c r="AJ1889">
        <v>1</v>
      </c>
      <c r="BA1889">
        <f>SUM(Pre[[#This Row],[1]:[46]])</f>
        <v>1</v>
      </c>
    </row>
    <row r="1890" spans="1:53" x14ac:dyDescent="0.2">
      <c r="A1890" t="s">
        <v>58</v>
      </c>
      <c r="B1890" t="s">
        <v>54</v>
      </c>
      <c r="C1890">
        <v>9346</v>
      </c>
      <c r="D1890" t="s">
        <v>22</v>
      </c>
      <c r="E1890" t="s">
        <v>8</v>
      </c>
      <c r="F1890" t="s">
        <v>23</v>
      </c>
      <c r="J1890">
        <v>1</v>
      </c>
      <c r="U1890">
        <v>1</v>
      </c>
      <c r="BA1890">
        <f>SUM(Pre[[#This Row],[1]:[46]])</f>
        <v>2</v>
      </c>
    </row>
    <row r="1891" spans="1:53" x14ac:dyDescent="0.2">
      <c r="A1891" t="s">
        <v>58</v>
      </c>
      <c r="B1891" t="s">
        <v>54</v>
      </c>
      <c r="C1891">
        <v>9346</v>
      </c>
      <c r="D1891" t="s">
        <v>22</v>
      </c>
      <c r="E1891" t="s">
        <v>14</v>
      </c>
      <c r="F1891" t="s">
        <v>20</v>
      </c>
      <c r="U1891">
        <v>1</v>
      </c>
      <c r="AC1891">
        <v>1</v>
      </c>
      <c r="AU1891">
        <v>1</v>
      </c>
      <c r="BA1891">
        <f>SUM(Pre[[#This Row],[1]:[46]])</f>
        <v>3</v>
      </c>
    </row>
    <row r="1892" spans="1:53" x14ac:dyDescent="0.2">
      <c r="A1892" t="s">
        <v>58</v>
      </c>
      <c r="B1892" t="s">
        <v>54</v>
      </c>
      <c r="C1892">
        <v>11661</v>
      </c>
      <c r="D1892" t="s">
        <v>22</v>
      </c>
      <c r="E1892" t="s">
        <v>8</v>
      </c>
      <c r="F1892" t="s">
        <v>23</v>
      </c>
      <c r="G1892">
        <v>1</v>
      </c>
      <c r="T1892">
        <v>1</v>
      </c>
      <c r="AG1892">
        <v>1</v>
      </c>
      <c r="BA1892">
        <f>SUM(Pre[[#This Row],[1]:[46]])</f>
        <v>3</v>
      </c>
    </row>
    <row r="1893" spans="1:53" x14ac:dyDescent="0.2">
      <c r="A1893" t="s">
        <v>58</v>
      </c>
      <c r="B1893" t="s">
        <v>54</v>
      </c>
      <c r="C1893">
        <v>11661</v>
      </c>
      <c r="D1893" t="s">
        <v>22</v>
      </c>
      <c r="E1893" t="s">
        <v>8</v>
      </c>
      <c r="F1893" t="s">
        <v>29</v>
      </c>
      <c r="AL1893">
        <v>1</v>
      </c>
      <c r="AP1893">
        <v>2</v>
      </c>
      <c r="AT1893">
        <v>2</v>
      </c>
      <c r="AY1893">
        <v>1</v>
      </c>
      <c r="BA1893">
        <f>SUM(Pre[[#This Row],[1]:[46]])</f>
        <v>6</v>
      </c>
    </row>
    <row r="1894" spans="1:53" x14ac:dyDescent="0.2">
      <c r="A1894" t="s">
        <v>58</v>
      </c>
      <c r="B1894" t="s">
        <v>54</v>
      </c>
      <c r="C1894">
        <v>13303</v>
      </c>
      <c r="D1894" t="s">
        <v>22</v>
      </c>
      <c r="E1894" t="s">
        <v>8</v>
      </c>
      <c r="F1894" t="s">
        <v>23</v>
      </c>
      <c r="H1894">
        <v>1</v>
      </c>
      <c r="AE1894">
        <v>1</v>
      </c>
      <c r="AY1894">
        <v>1</v>
      </c>
      <c r="BA1894">
        <f>SUM(Pre[[#This Row],[1]:[46]])</f>
        <v>3</v>
      </c>
    </row>
    <row r="1895" spans="1:53" x14ac:dyDescent="0.2">
      <c r="A1895" t="s">
        <v>58</v>
      </c>
      <c r="B1895" t="s">
        <v>54</v>
      </c>
      <c r="C1895">
        <v>13303</v>
      </c>
      <c r="D1895" t="s">
        <v>22</v>
      </c>
      <c r="E1895" t="s">
        <v>14</v>
      </c>
      <c r="F1895" t="s">
        <v>19</v>
      </c>
      <c r="L1895">
        <v>1</v>
      </c>
      <c r="Q1895">
        <v>2</v>
      </c>
      <c r="W1895">
        <v>1</v>
      </c>
      <c r="AG1895">
        <v>1</v>
      </c>
      <c r="AT1895">
        <v>1</v>
      </c>
      <c r="AY1895">
        <v>1</v>
      </c>
      <c r="BA1895">
        <f>SUM(Pre[[#This Row],[1]:[46]])</f>
        <v>7</v>
      </c>
    </row>
    <row r="1896" spans="1:53" x14ac:dyDescent="0.2">
      <c r="A1896" t="s">
        <v>58</v>
      </c>
      <c r="B1896" t="s">
        <v>54</v>
      </c>
      <c r="C1896">
        <v>13303</v>
      </c>
      <c r="D1896" t="s">
        <v>22</v>
      </c>
      <c r="E1896" t="s">
        <v>14</v>
      </c>
      <c r="F1896" t="s">
        <v>20</v>
      </c>
      <c r="AQ1896">
        <v>1</v>
      </c>
      <c r="BA1896">
        <f>SUM(Pre[[#This Row],[1]:[46]])</f>
        <v>1</v>
      </c>
    </row>
    <row r="1897" spans="1:53" x14ac:dyDescent="0.2">
      <c r="A1897" t="s">
        <v>58</v>
      </c>
      <c r="B1897" t="s">
        <v>54</v>
      </c>
      <c r="C1897">
        <v>17592</v>
      </c>
      <c r="D1897" t="s">
        <v>22</v>
      </c>
      <c r="E1897" t="s">
        <v>10</v>
      </c>
      <c r="F1897" t="s">
        <v>11</v>
      </c>
      <c r="BA1897">
        <f>SUM(Pre[[#This Row],[1]:[46]])</f>
        <v>0</v>
      </c>
    </row>
    <row r="1898" spans="1:53" x14ac:dyDescent="0.2">
      <c r="A1898" t="s">
        <v>58</v>
      </c>
      <c r="B1898" t="s">
        <v>54</v>
      </c>
      <c r="C1898">
        <v>20443</v>
      </c>
      <c r="D1898" t="s">
        <v>22</v>
      </c>
      <c r="E1898" t="s">
        <v>10</v>
      </c>
      <c r="F1898" t="s">
        <v>11</v>
      </c>
      <c r="AS1898">
        <v>1</v>
      </c>
      <c r="AU1898">
        <v>1</v>
      </c>
      <c r="BA1898">
        <f>SUM(Pre[[#This Row],[1]:[46]])</f>
        <v>2</v>
      </c>
    </row>
    <row r="1899" spans="1:53" x14ac:dyDescent="0.2">
      <c r="A1899" t="s">
        <v>58</v>
      </c>
      <c r="B1899" t="s">
        <v>54</v>
      </c>
      <c r="C1899">
        <v>23103</v>
      </c>
      <c r="D1899" t="s">
        <v>22</v>
      </c>
      <c r="E1899" t="s">
        <v>10</v>
      </c>
      <c r="F1899" t="s">
        <v>11</v>
      </c>
      <c r="BA1899">
        <f>SUM(Pre[[#This Row],[1]:[46]])</f>
        <v>0</v>
      </c>
    </row>
    <row r="1900" spans="1:53" x14ac:dyDescent="0.2">
      <c r="A1900" t="s">
        <v>58</v>
      </c>
      <c r="B1900" t="s">
        <v>54</v>
      </c>
      <c r="C1900">
        <v>23103</v>
      </c>
      <c r="D1900" t="s">
        <v>22</v>
      </c>
      <c r="E1900" t="s">
        <v>14</v>
      </c>
      <c r="F1900" t="s">
        <v>35</v>
      </c>
      <c r="AA1900">
        <v>1</v>
      </c>
      <c r="BA1900">
        <f>SUM(Pre[[#This Row],[1]:[46]])</f>
        <v>1</v>
      </c>
    </row>
    <row r="1901" spans="1:53" x14ac:dyDescent="0.2">
      <c r="A1901" t="s">
        <v>58</v>
      </c>
      <c r="B1901" t="s">
        <v>54</v>
      </c>
      <c r="C1901">
        <v>23103</v>
      </c>
      <c r="D1901" t="s">
        <v>22</v>
      </c>
      <c r="E1901" t="s">
        <v>14</v>
      </c>
      <c r="F1901" t="s">
        <v>19</v>
      </c>
      <c r="BA1901">
        <f>SUM(Pre[[#This Row],[1]:[46]])</f>
        <v>0</v>
      </c>
    </row>
    <row r="1902" spans="1:53" x14ac:dyDescent="0.2">
      <c r="A1902" t="s">
        <v>58</v>
      </c>
      <c r="B1902" t="s">
        <v>54</v>
      </c>
      <c r="C1902">
        <v>32686</v>
      </c>
      <c r="D1902" t="s">
        <v>22</v>
      </c>
      <c r="E1902" t="s">
        <v>8</v>
      </c>
      <c r="F1902" t="s">
        <v>29</v>
      </c>
      <c r="L1902">
        <v>1</v>
      </c>
      <c r="Y1902">
        <v>1</v>
      </c>
      <c r="AN1902">
        <v>1</v>
      </c>
      <c r="BA1902">
        <f>SUM(Pre[[#This Row],[1]:[46]])</f>
        <v>3</v>
      </c>
    </row>
    <row r="1903" spans="1:53" x14ac:dyDescent="0.2">
      <c r="A1903" t="s">
        <v>58</v>
      </c>
      <c r="B1903" t="s">
        <v>54</v>
      </c>
      <c r="C1903">
        <v>32867</v>
      </c>
      <c r="D1903" t="s">
        <v>22</v>
      </c>
      <c r="E1903" t="s">
        <v>40</v>
      </c>
      <c r="F1903" t="s">
        <v>44</v>
      </c>
      <c r="M1903">
        <v>1</v>
      </c>
      <c r="BA1903">
        <f>SUM(Pre[[#This Row],[1]:[46]])</f>
        <v>1</v>
      </c>
    </row>
    <row r="1904" spans="1:53" x14ac:dyDescent="0.2">
      <c r="A1904" t="s">
        <v>58</v>
      </c>
      <c r="B1904" t="s">
        <v>54</v>
      </c>
      <c r="C1904">
        <v>12879</v>
      </c>
      <c r="D1904" t="s">
        <v>7</v>
      </c>
      <c r="E1904" t="s">
        <v>10</v>
      </c>
      <c r="F1904" t="s">
        <v>11</v>
      </c>
      <c r="J1904">
        <v>1</v>
      </c>
      <c r="O1904">
        <v>1</v>
      </c>
      <c r="W1904">
        <v>1</v>
      </c>
      <c r="BA1904">
        <f>SUM(Pre[[#This Row],[1]:[46]])</f>
        <v>3</v>
      </c>
    </row>
    <row r="1905" spans="1:53" x14ac:dyDescent="0.2">
      <c r="A1905" t="s">
        <v>58</v>
      </c>
      <c r="B1905" t="s">
        <v>54</v>
      </c>
      <c r="C1905">
        <v>1318</v>
      </c>
      <c r="D1905" t="s">
        <v>22</v>
      </c>
      <c r="E1905" t="s">
        <v>14</v>
      </c>
      <c r="F1905" t="s">
        <v>19</v>
      </c>
      <c r="BA1905">
        <f>SUM(Pre[[#This Row],[1]:[46]])</f>
        <v>0</v>
      </c>
    </row>
    <row r="1906" spans="1:53" x14ac:dyDescent="0.2">
      <c r="A1906" t="s">
        <v>58</v>
      </c>
      <c r="B1906" t="s">
        <v>54</v>
      </c>
      <c r="C1906">
        <v>1318</v>
      </c>
      <c r="D1906" t="s">
        <v>22</v>
      </c>
      <c r="E1906" t="s">
        <v>14</v>
      </c>
      <c r="F1906" t="s">
        <v>21</v>
      </c>
      <c r="BA1906">
        <f>SUM(Pre[[#This Row],[1]:[46]])</f>
        <v>0</v>
      </c>
    </row>
    <row r="1907" spans="1:53" x14ac:dyDescent="0.2">
      <c r="A1907" t="s">
        <v>58</v>
      </c>
      <c r="B1907" t="s">
        <v>54</v>
      </c>
      <c r="C1907">
        <v>4567</v>
      </c>
      <c r="D1907" t="s">
        <v>7</v>
      </c>
      <c r="E1907" t="s">
        <v>10</v>
      </c>
      <c r="F1907" t="s">
        <v>11</v>
      </c>
      <c r="BA1907">
        <f>SUM(Pre[[#This Row],[1]:[46]])</f>
        <v>0</v>
      </c>
    </row>
    <row r="1908" spans="1:53" x14ac:dyDescent="0.2">
      <c r="A1908" t="s">
        <v>58</v>
      </c>
      <c r="B1908" t="s">
        <v>54</v>
      </c>
      <c r="C1908">
        <v>4567</v>
      </c>
      <c r="D1908" t="s">
        <v>7</v>
      </c>
      <c r="E1908" t="s">
        <v>14</v>
      </c>
      <c r="F1908" t="s">
        <v>21</v>
      </c>
      <c r="AS1908">
        <v>1</v>
      </c>
      <c r="AU1908">
        <v>1</v>
      </c>
      <c r="BA1908">
        <f>SUM(Pre[[#This Row],[1]:[46]])</f>
        <v>2</v>
      </c>
    </row>
    <row r="1909" spans="1:53" x14ac:dyDescent="0.2">
      <c r="A1909" t="s">
        <v>58</v>
      </c>
      <c r="B1909" t="s">
        <v>54</v>
      </c>
      <c r="C1909">
        <v>4567</v>
      </c>
      <c r="D1909" t="s">
        <v>7</v>
      </c>
      <c r="E1909" t="s">
        <v>14</v>
      </c>
      <c r="F1909" t="s">
        <v>20</v>
      </c>
      <c r="G1909">
        <v>2</v>
      </c>
      <c r="O1909">
        <v>1</v>
      </c>
      <c r="S1909">
        <v>1</v>
      </c>
      <c r="X1909">
        <v>2</v>
      </c>
      <c r="Y1909">
        <v>1</v>
      </c>
      <c r="AA1909">
        <v>1</v>
      </c>
      <c r="AJ1909">
        <v>1</v>
      </c>
      <c r="AO1909">
        <v>2</v>
      </c>
      <c r="AU1909">
        <v>2</v>
      </c>
      <c r="AZ1909">
        <v>1</v>
      </c>
      <c r="BA1909">
        <f>SUM(Pre[[#This Row],[1]:[46]])</f>
        <v>14</v>
      </c>
    </row>
    <row r="1910" spans="1:53" x14ac:dyDescent="0.2">
      <c r="A1910" t="s">
        <v>58</v>
      </c>
      <c r="B1910" t="s">
        <v>54</v>
      </c>
      <c r="C1910">
        <v>8175</v>
      </c>
      <c r="D1910" t="s">
        <v>7</v>
      </c>
      <c r="E1910" t="s">
        <v>14</v>
      </c>
      <c r="F1910" t="s">
        <v>20</v>
      </c>
      <c r="Y1910">
        <v>1</v>
      </c>
      <c r="BA1910">
        <f>SUM(Pre[[#This Row],[1]:[46]])</f>
        <v>1</v>
      </c>
    </row>
    <row r="1911" spans="1:53" x14ac:dyDescent="0.2">
      <c r="A1911" t="s">
        <v>58</v>
      </c>
      <c r="B1911" t="s">
        <v>54</v>
      </c>
      <c r="C1911">
        <v>9483</v>
      </c>
      <c r="D1911" t="s">
        <v>7</v>
      </c>
      <c r="E1911" t="s">
        <v>10</v>
      </c>
      <c r="F1911" t="s">
        <v>11</v>
      </c>
      <c r="BA1911">
        <f>SUM(Pre[[#This Row],[1]:[46]])</f>
        <v>0</v>
      </c>
    </row>
    <row r="1912" spans="1:53" x14ac:dyDescent="0.2">
      <c r="A1912" t="s">
        <v>58</v>
      </c>
      <c r="B1912" t="s">
        <v>54</v>
      </c>
      <c r="C1912">
        <v>9483</v>
      </c>
      <c r="D1912" t="s">
        <v>7</v>
      </c>
      <c r="E1912" t="s">
        <v>14</v>
      </c>
      <c r="F1912" t="s">
        <v>31</v>
      </c>
      <c r="AH1912">
        <v>1</v>
      </c>
      <c r="BA1912">
        <f>SUM(Pre[[#This Row],[1]:[46]])</f>
        <v>1</v>
      </c>
    </row>
    <row r="1913" spans="1:53" x14ac:dyDescent="0.2">
      <c r="A1913" t="s">
        <v>58</v>
      </c>
      <c r="B1913" t="s">
        <v>54</v>
      </c>
      <c r="C1913">
        <v>9483</v>
      </c>
      <c r="D1913" t="s">
        <v>7</v>
      </c>
      <c r="E1913" t="s">
        <v>14</v>
      </c>
      <c r="F1913" t="s">
        <v>28</v>
      </c>
      <c r="J1913">
        <v>1</v>
      </c>
      <c r="BA1913">
        <f>SUM(Pre[[#This Row],[1]:[46]])</f>
        <v>1</v>
      </c>
    </row>
    <row r="1914" spans="1:53" x14ac:dyDescent="0.2">
      <c r="A1914" t="s">
        <v>58</v>
      </c>
      <c r="B1914" t="s">
        <v>54</v>
      </c>
      <c r="C1914">
        <v>9483</v>
      </c>
      <c r="D1914" t="s">
        <v>7</v>
      </c>
      <c r="E1914" t="s">
        <v>14</v>
      </c>
      <c r="F1914" t="s">
        <v>21</v>
      </c>
      <c r="AH1914">
        <v>1</v>
      </c>
      <c r="AO1914">
        <v>1</v>
      </c>
      <c r="AS1914">
        <v>1</v>
      </c>
      <c r="AW1914">
        <v>1</v>
      </c>
      <c r="BA1914">
        <f>SUM(Pre[[#This Row],[1]:[46]])</f>
        <v>4</v>
      </c>
    </row>
    <row r="1915" spans="1:53" x14ac:dyDescent="0.2">
      <c r="A1915" t="s">
        <v>58</v>
      </c>
      <c r="B1915" t="s">
        <v>54</v>
      </c>
      <c r="C1915">
        <v>16709</v>
      </c>
      <c r="D1915" t="s">
        <v>7</v>
      </c>
      <c r="E1915" t="s">
        <v>14</v>
      </c>
      <c r="F1915" t="s">
        <v>19</v>
      </c>
      <c r="BA1915">
        <f>SUM(Pre[[#This Row],[1]:[46]])</f>
        <v>0</v>
      </c>
    </row>
    <row r="1916" spans="1:53" x14ac:dyDescent="0.2">
      <c r="A1916" t="s">
        <v>58</v>
      </c>
      <c r="B1916" t="s">
        <v>54</v>
      </c>
      <c r="C1916">
        <v>487</v>
      </c>
      <c r="D1916" t="s">
        <v>22</v>
      </c>
      <c r="E1916" t="s">
        <v>14</v>
      </c>
      <c r="F1916" t="s">
        <v>35</v>
      </c>
      <c r="V1916">
        <v>1</v>
      </c>
      <c r="BA1916">
        <f>SUM(Pre[[#This Row],[1]:[46]])</f>
        <v>1</v>
      </c>
    </row>
    <row r="1917" spans="1:53" x14ac:dyDescent="0.2">
      <c r="A1917" t="s">
        <v>58</v>
      </c>
      <c r="B1917" t="s">
        <v>54</v>
      </c>
      <c r="C1917">
        <v>7352</v>
      </c>
      <c r="D1917" t="s">
        <v>22</v>
      </c>
      <c r="E1917" t="s">
        <v>14</v>
      </c>
      <c r="F1917" t="s">
        <v>35</v>
      </c>
      <c r="AE1917">
        <v>1</v>
      </c>
      <c r="AS1917">
        <v>2</v>
      </c>
      <c r="AU1917">
        <v>1</v>
      </c>
      <c r="BA1917">
        <f>SUM(Pre[[#This Row],[1]:[46]])</f>
        <v>4</v>
      </c>
    </row>
    <row r="1918" spans="1:53" x14ac:dyDescent="0.2">
      <c r="A1918" t="s">
        <v>58</v>
      </c>
      <c r="B1918" t="s">
        <v>54</v>
      </c>
      <c r="C1918">
        <v>13721</v>
      </c>
      <c r="D1918" t="s">
        <v>22</v>
      </c>
      <c r="E1918" t="s">
        <v>14</v>
      </c>
      <c r="F1918" t="s">
        <v>15</v>
      </c>
      <c r="P1918">
        <v>1</v>
      </c>
      <c r="AE1918">
        <v>1</v>
      </c>
      <c r="AT1918">
        <v>1</v>
      </c>
      <c r="BA1918">
        <f>SUM(Pre[[#This Row],[1]:[46]])</f>
        <v>3</v>
      </c>
    </row>
    <row r="1919" spans="1:53" x14ac:dyDescent="0.2">
      <c r="A1919" t="s">
        <v>58</v>
      </c>
      <c r="B1919" t="s">
        <v>54</v>
      </c>
      <c r="C1919">
        <v>13736</v>
      </c>
      <c r="D1919" t="s">
        <v>22</v>
      </c>
      <c r="E1919" t="s">
        <v>14</v>
      </c>
      <c r="F1919" t="s">
        <v>20</v>
      </c>
      <c r="K1919">
        <v>1</v>
      </c>
      <c r="AA1919">
        <v>1</v>
      </c>
      <c r="AQ1919">
        <v>1</v>
      </c>
      <c r="BA1919">
        <f>SUM(Pre[[#This Row],[1]:[46]])</f>
        <v>3</v>
      </c>
    </row>
    <row r="1920" spans="1:53" x14ac:dyDescent="0.2">
      <c r="A1920" t="s">
        <v>58</v>
      </c>
      <c r="B1920" t="s">
        <v>54</v>
      </c>
      <c r="C1920">
        <v>9987</v>
      </c>
      <c r="D1920" t="s">
        <v>7</v>
      </c>
      <c r="E1920" t="s">
        <v>14</v>
      </c>
      <c r="F1920" t="s">
        <v>20</v>
      </c>
      <c r="P1920">
        <v>1</v>
      </c>
      <c r="AD1920">
        <v>1</v>
      </c>
      <c r="AP1920">
        <v>1</v>
      </c>
      <c r="BA1920">
        <f>SUM(Pre[[#This Row],[1]:[46]])</f>
        <v>3</v>
      </c>
    </row>
    <row r="1921" spans="1:53" x14ac:dyDescent="0.2">
      <c r="A1921" t="s">
        <v>58</v>
      </c>
      <c r="B1921" t="s">
        <v>54</v>
      </c>
      <c r="C1921">
        <v>30931</v>
      </c>
      <c r="D1921" t="s">
        <v>7</v>
      </c>
      <c r="E1921" t="s">
        <v>14</v>
      </c>
      <c r="F1921" t="s">
        <v>20</v>
      </c>
      <c r="AC1921">
        <v>1</v>
      </c>
      <c r="BA1921">
        <f>SUM(Pre[[#This Row],[1]:[46]])</f>
        <v>1</v>
      </c>
    </row>
    <row r="1922" spans="1:53" x14ac:dyDescent="0.2">
      <c r="A1922" t="s">
        <v>58</v>
      </c>
      <c r="B1922" t="s">
        <v>54</v>
      </c>
      <c r="C1922">
        <v>3734</v>
      </c>
      <c r="D1922" t="s">
        <v>22</v>
      </c>
      <c r="E1922" t="s">
        <v>14</v>
      </c>
      <c r="F1922" t="s">
        <v>20</v>
      </c>
      <c r="I1922">
        <v>1</v>
      </c>
      <c r="U1922">
        <v>1</v>
      </c>
      <c r="AH1922">
        <v>1</v>
      </c>
      <c r="AU1922">
        <v>1</v>
      </c>
      <c r="BA1922">
        <f>SUM(Pre[[#This Row],[1]:[46]])</f>
        <v>4</v>
      </c>
    </row>
    <row r="1923" spans="1:53" x14ac:dyDescent="0.2">
      <c r="A1923" t="s">
        <v>58</v>
      </c>
      <c r="B1923" t="s">
        <v>54</v>
      </c>
      <c r="C1923">
        <v>4259</v>
      </c>
      <c r="D1923" t="s">
        <v>22</v>
      </c>
      <c r="E1923" t="s">
        <v>14</v>
      </c>
      <c r="F1923" t="s">
        <v>15</v>
      </c>
      <c r="H1923">
        <v>1</v>
      </c>
      <c r="L1923">
        <v>1</v>
      </c>
      <c r="P1923">
        <v>1</v>
      </c>
      <c r="T1923">
        <v>1</v>
      </c>
      <c r="X1923">
        <v>1</v>
      </c>
      <c r="AB1923">
        <v>1</v>
      </c>
      <c r="AJ1923">
        <v>1</v>
      </c>
      <c r="AN1923">
        <v>1</v>
      </c>
      <c r="AR1923">
        <v>1</v>
      </c>
      <c r="AV1923">
        <v>1</v>
      </c>
      <c r="AY1923">
        <v>1</v>
      </c>
      <c r="BA1923">
        <f>SUM(Pre[[#This Row],[1]:[46]])</f>
        <v>11</v>
      </c>
    </row>
    <row r="1924" spans="1:53" x14ac:dyDescent="0.2">
      <c r="A1924" t="s">
        <v>58</v>
      </c>
      <c r="B1924" t="s">
        <v>54</v>
      </c>
      <c r="C1924">
        <v>4804</v>
      </c>
      <c r="D1924" t="s">
        <v>22</v>
      </c>
      <c r="E1924" t="s">
        <v>10</v>
      </c>
      <c r="F1924" t="s">
        <v>11</v>
      </c>
      <c r="M1924">
        <v>1</v>
      </c>
      <c r="AH1924">
        <v>1</v>
      </c>
      <c r="AU1924">
        <v>1</v>
      </c>
      <c r="BA1924">
        <f>SUM(Pre[[#This Row],[1]:[46]])</f>
        <v>3</v>
      </c>
    </row>
    <row r="1925" spans="1:53" x14ac:dyDescent="0.2">
      <c r="A1925" t="s">
        <v>58</v>
      </c>
      <c r="B1925" t="s">
        <v>54</v>
      </c>
      <c r="C1925">
        <v>4804</v>
      </c>
      <c r="D1925" t="s">
        <v>22</v>
      </c>
      <c r="E1925" t="s">
        <v>14</v>
      </c>
      <c r="F1925" t="s">
        <v>35</v>
      </c>
      <c r="K1925">
        <v>2</v>
      </c>
      <c r="BA1925">
        <f>SUM(Pre[[#This Row],[1]:[46]])</f>
        <v>2</v>
      </c>
    </row>
    <row r="1926" spans="1:53" x14ac:dyDescent="0.2">
      <c r="A1926" t="s">
        <v>58</v>
      </c>
      <c r="B1926" t="s">
        <v>54</v>
      </c>
      <c r="C1926">
        <v>8565</v>
      </c>
      <c r="D1926" t="s">
        <v>22</v>
      </c>
      <c r="E1926" t="s">
        <v>14</v>
      </c>
      <c r="F1926" t="s">
        <v>20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2</v>
      </c>
      <c r="AL1926">
        <v>1</v>
      </c>
      <c r="AM1926">
        <v>1</v>
      </c>
      <c r="AN1926">
        <v>3</v>
      </c>
      <c r="AO1926">
        <v>1</v>
      </c>
      <c r="BA1926">
        <f>SUM(Pre[[#This Row],[1]:[46]])</f>
        <v>38</v>
      </c>
    </row>
    <row r="1927" spans="1:53" x14ac:dyDescent="0.2">
      <c r="A1927" t="s">
        <v>58</v>
      </c>
      <c r="B1927" t="s">
        <v>54</v>
      </c>
      <c r="C1927">
        <v>32867</v>
      </c>
      <c r="D1927" t="s">
        <v>22</v>
      </c>
      <c r="E1927" t="s">
        <v>14</v>
      </c>
      <c r="F1927" t="s">
        <v>19</v>
      </c>
      <c r="O1927">
        <v>1</v>
      </c>
      <c r="T1927">
        <v>1</v>
      </c>
      <c r="Z1927">
        <v>1</v>
      </c>
      <c r="AI1927">
        <v>2</v>
      </c>
      <c r="AR1927">
        <v>1</v>
      </c>
      <c r="BA1927">
        <f>SUM(Pre[[#This Row],[1]:[46]])</f>
        <v>6</v>
      </c>
    </row>
    <row r="1928" spans="1:53" x14ac:dyDescent="0.2">
      <c r="A1928" t="s">
        <v>58</v>
      </c>
      <c r="B1928" t="s">
        <v>54</v>
      </c>
      <c r="C1928">
        <v>4340</v>
      </c>
      <c r="D1928" t="s">
        <v>22</v>
      </c>
      <c r="E1928" t="s">
        <v>14</v>
      </c>
      <c r="F1928" t="s">
        <v>20</v>
      </c>
      <c r="Y1928">
        <v>1</v>
      </c>
      <c r="BA1928">
        <f>SUM(Pre[[#This Row],[1]:[46]])</f>
        <v>1</v>
      </c>
    </row>
    <row r="1929" spans="1:53" x14ac:dyDescent="0.2">
      <c r="A1929" t="s">
        <v>58</v>
      </c>
      <c r="B1929" t="s">
        <v>54</v>
      </c>
      <c r="C1929">
        <v>18260</v>
      </c>
      <c r="D1929" t="s">
        <v>22</v>
      </c>
      <c r="E1929" t="s">
        <v>14</v>
      </c>
      <c r="F1929" t="s">
        <v>20</v>
      </c>
      <c r="AG1929">
        <v>1</v>
      </c>
      <c r="BA1929">
        <f>SUM(Pre[[#This Row],[1]:[46]])</f>
        <v>1</v>
      </c>
    </row>
    <row r="1930" spans="1:53" x14ac:dyDescent="0.2">
      <c r="A1930" t="s">
        <v>58</v>
      </c>
      <c r="B1930" t="s">
        <v>54</v>
      </c>
      <c r="C1930">
        <v>7614</v>
      </c>
      <c r="D1930" t="s">
        <v>22</v>
      </c>
      <c r="E1930" t="s">
        <v>14</v>
      </c>
      <c r="F1930" t="s">
        <v>20</v>
      </c>
      <c r="L1930">
        <v>1</v>
      </c>
      <c r="BA1930">
        <f>SUM(Pre[[#This Row],[1]:[46]])</f>
        <v>1</v>
      </c>
    </row>
    <row r="1931" spans="1:53" x14ac:dyDescent="0.2">
      <c r="A1931" t="s">
        <v>58</v>
      </c>
      <c r="B1931" t="s">
        <v>54</v>
      </c>
      <c r="C1931">
        <v>8170</v>
      </c>
      <c r="D1931" t="s">
        <v>22</v>
      </c>
      <c r="E1931" t="s">
        <v>10</v>
      </c>
      <c r="F1931" t="s">
        <v>11</v>
      </c>
      <c r="S1931">
        <v>1</v>
      </c>
      <c r="BA1931">
        <f>SUM(Pre[[#This Row],[1]:[46]])</f>
        <v>1</v>
      </c>
    </row>
    <row r="1932" spans="1:53" x14ac:dyDescent="0.2">
      <c r="A1932" t="s">
        <v>58</v>
      </c>
      <c r="B1932" t="s">
        <v>54</v>
      </c>
      <c r="C1932">
        <v>11661</v>
      </c>
      <c r="D1932" t="s">
        <v>22</v>
      </c>
      <c r="E1932" t="s">
        <v>10</v>
      </c>
      <c r="F1932" t="s">
        <v>11</v>
      </c>
      <c r="AL1932">
        <v>1</v>
      </c>
      <c r="AP1932">
        <v>1</v>
      </c>
      <c r="AT1932">
        <v>1</v>
      </c>
      <c r="AY1932">
        <v>1</v>
      </c>
      <c r="BA1932">
        <f>SUM(Pre[[#This Row],[1]:[46]])</f>
        <v>4</v>
      </c>
    </row>
    <row r="1933" spans="1:53" x14ac:dyDescent="0.2">
      <c r="A1933" t="s">
        <v>58</v>
      </c>
      <c r="B1933" t="s">
        <v>54</v>
      </c>
      <c r="C1933">
        <v>4639</v>
      </c>
      <c r="D1933" t="s">
        <v>7</v>
      </c>
      <c r="E1933" t="s">
        <v>8</v>
      </c>
      <c r="F1933" t="s">
        <v>23</v>
      </c>
      <c r="H1933">
        <v>1</v>
      </c>
      <c r="T1933">
        <v>1</v>
      </c>
      <c r="AH1933">
        <v>2</v>
      </c>
      <c r="AS1933">
        <v>1</v>
      </c>
      <c r="BA1933">
        <f>SUM(Pre[[#This Row],[1]:[46]])</f>
        <v>5</v>
      </c>
    </row>
    <row r="1934" spans="1:53" x14ac:dyDescent="0.2">
      <c r="A1934" t="s">
        <v>58</v>
      </c>
      <c r="B1934" t="s">
        <v>54</v>
      </c>
      <c r="C1934">
        <v>9352</v>
      </c>
      <c r="D1934" t="s">
        <v>7</v>
      </c>
      <c r="E1934" t="s">
        <v>8</v>
      </c>
      <c r="F1934" t="s">
        <v>23</v>
      </c>
      <c r="R1934">
        <v>1</v>
      </c>
      <c r="AG1934">
        <v>1</v>
      </c>
      <c r="BA1934">
        <f>SUM(Pre[[#This Row],[1]:[46]])</f>
        <v>2</v>
      </c>
    </row>
    <row r="1935" spans="1:53" x14ac:dyDescent="0.2">
      <c r="A1935" t="s">
        <v>58</v>
      </c>
      <c r="B1935" t="s">
        <v>54</v>
      </c>
      <c r="C1935">
        <v>12879</v>
      </c>
      <c r="D1935" t="s">
        <v>7</v>
      </c>
      <c r="E1935" t="s">
        <v>8</v>
      </c>
      <c r="F1935" t="s">
        <v>9</v>
      </c>
      <c r="AM1935">
        <v>1</v>
      </c>
      <c r="AQ1935">
        <v>1</v>
      </c>
      <c r="BA1935">
        <f>SUM(Pre[[#This Row],[1]:[46]])</f>
        <v>2</v>
      </c>
    </row>
    <row r="1936" spans="1:53" x14ac:dyDescent="0.2">
      <c r="A1936" t="s">
        <v>58</v>
      </c>
      <c r="B1936" t="s">
        <v>54</v>
      </c>
      <c r="C1936">
        <v>14546</v>
      </c>
      <c r="D1936" t="s">
        <v>7</v>
      </c>
      <c r="E1936" t="s">
        <v>8</v>
      </c>
      <c r="F1936" t="s">
        <v>29</v>
      </c>
      <c r="AP1936">
        <v>1</v>
      </c>
      <c r="BA1936">
        <f>SUM(Pre[[#This Row],[1]:[46]])</f>
        <v>1</v>
      </c>
    </row>
    <row r="1937" spans="1:53" x14ac:dyDescent="0.2">
      <c r="A1937" t="s">
        <v>58</v>
      </c>
      <c r="B1937" t="s">
        <v>54</v>
      </c>
      <c r="C1937">
        <v>15082</v>
      </c>
      <c r="D1937" t="s">
        <v>7</v>
      </c>
      <c r="E1937" t="s">
        <v>8</v>
      </c>
      <c r="F1937" t="s">
        <v>30</v>
      </c>
      <c r="O1937">
        <v>1</v>
      </c>
      <c r="AA1937">
        <v>1</v>
      </c>
      <c r="AN1937">
        <v>1</v>
      </c>
      <c r="BA1937">
        <f>SUM(Pre[[#This Row],[1]:[46]])</f>
        <v>3</v>
      </c>
    </row>
    <row r="1938" spans="1:53" x14ac:dyDescent="0.2">
      <c r="A1938" t="s">
        <v>58</v>
      </c>
      <c r="B1938" t="s">
        <v>54</v>
      </c>
      <c r="C1938">
        <v>15112</v>
      </c>
      <c r="D1938" t="s">
        <v>7</v>
      </c>
      <c r="E1938" t="s">
        <v>8</v>
      </c>
      <c r="F1938" t="s">
        <v>29</v>
      </c>
      <c r="I1938">
        <v>1</v>
      </c>
      <c r="L1938">
        <v>1</v>
      </c>
      <c r="T1938">
        <v>1</v>
      </c>
      <c r="AF1938">
        <v>1</v>
      </c>
      <c r="AT1938">
        <v>1</v>
      </c>
      <c r="BA1938">
        <f>SUM(Pre[[#This Row],[1]:[46]])</f>
        <v>5</v>
      </c>
    </row>
    <row r="1939" spans="1:53" x14ac:dyDescent="0.2">
      <c r="A1939" t="s">
        <v>58</v>
      </c>
      <c r="B1939" t="s">
        <v>54</v>
      </c>
      <c r="C1939">
        <v>931</v>
      </c>
      <c r="D1939" t="s">
        <v>22</v>
      </c>
      <c r="E1939" t="s">
        <v>8</v>
      </c>
      <c r="F1939" t="s">
        <v>23</v>
      </c>
      <c r="U1939">
        <v>1</v>
      </c>
      <c r="AJ1939">
        <v>1</v>
      </c>
      <c r="AV1939">
        <v>1</v>
      </c>
      <c r="BA1939">
        <f>SUM(Pre[[#This Row],[1]:[46]])</f>
        <v>3</v>
      </c>
    </row>
    <row r="1940" spans="1:53" x14ac:dyDescent="0.2">
      <c r="A1940" t="s">
        <v>58</v>
      </c>
      <c r="B1940" t="s">
        <v>54</v>
      </c>
      <c r="C1940">
        <v>2017</v>
      </c>
      <c r="D1940" t="s">
        <v>22</v>
      </c>
      <c r="E1940" t="s">
        <v>37</v>
      </c>
      <c r="F1940" t="s">
        <v>38</v>
      </c>
      <c r="P1940">
        <v>1</v>
      </c>
      <c r="AF1940">
        <v>1</v>
      </c>
      <c r="AR1940">
        <v>1</v>
      </c>
      <c r="BA1940">
        <f>SUM(Pre[[#This Row],[1]:[46]])</f>
        <v>3</v>
      </c>
    </row>
    <row r="1941" spans="1:53" x14ac:dyDescent="0.2">
      <c r="A1941" t="s">
        <v>58</v>
      </c>
      <c r="B1941" t="s">
        <v>54</v>
      </c>
      <c r="C1941">
        <v>4194</v>
      </c>
      <c r="D1941" t="s">
        <v>22</v>
      </c>
      <c r="E1941" t="s">
        <v>8</v>
      </c>
      <c r="F1941" t="s">
        <v>23</v>
      </c>
      <c r="I1941">
        <v>1</v>
      </c>
      <c r="W1941">
        <v>1</v>
      </c>
      <c r="AD1941">
        <v>1</v>
      </c>
      <c r="BA1941">
        <f>SUM(Pre[[#This Row],[1]:[46]])</f>
        <v>3</v>
      </c>
    </row>
    <row r="1942" spans="1:53" x14ac:dyDescent="0.2">
      <c r="A1942" t="s">
        <v>58</v>
      </c>
      <c r="B1942" t="s">
        <v>54</v>
      </c>
      <c r="C1942">
        <v>4482</v>
      </c>
      <c r="D1942" t="s">
        <v>22</v>
      </c>
      <c r="E1942" t="s">
        <v>40</v>
      </c>
      <c r="F1942" t="s">
        <v>44</v>
      </c>
      <c r="BA1942">
        <f>SUM(Pre[[#This Row],[1]:[46]])</f>
        <v>0</v>
      </c>
    </row>
    <row r="1943" spans="1:53" x14ac:dyDescent="0.2">
      <c r="A1943" t="s">
        <v>58</v>
      </c>
      <c r="B1943" t="s">
        <v>54</v>
      </c>
      <c r="C1943">
        <v>6543</v>
      </c>
      <c r="D1943" t="s">
        <v>22</v>
      </c>
      <c r="E1943" t="s">
        <v>8</v>
      </c>
      <c r="F1943" t="s">
        <v>23</v>
      </c>
      <c r="I1943">
        <v>2</v>
      </c>
      <c r="W1943">
        <v>1</v>
      </c>
      <c r="AI1943">
        <v>2</v>
      </c>
      <c r="AV1943">
        <v>1</v>
      </c>
      <c r="BA1943">
        <f>SUM(Pre[[#This Row],[1]:[46]])</f>
        <v>6</v>
      </c>
    </row>
    <row r="1944" spans="1:53" x14ac:dyDescent="0.2">
      <c r="A1944" t="s">
        <v>58</v>
      </c>
      <c r="B1944" t="s">
        <v>54</v>
      </c>
      <c r="C1944">
        <v>6689</v>
      </c>
      <c r="D1944" t="s">
        <v>22</v>
      </c>
      <c r="E1944" t="s">
        <v>8</v>
      </c>
      <c r="F1944" t="s">
        <v>29</v>
      </c>
      <c r="N1944">
        <v>1</v>
      </c>
      <c r="AE1944">
        <v>1</v>
      </c>
      <c r="BA1944">
        <f>SUM(Pre[[#This Row],[1]:[46]])</f>
        <v>2</v>
      </c>
    </row>
    <row r="1945" spans="1:53" x14ac:dyDescent="0.2">
      <c r="A1945" t="s">
        <v>58</v>
      </c>
      <c r="B1945" t="s">
        <v>54</v>
      </c>
      <c r="C1945">
        <v>9033</v>
      </c>
      <c r="D1945" t="s">
        <v>22</v>
      </c>
      <c r="E1945" t="s">
        <v>8</v>
      </c>
      <c r="F1945" t="s">
        <v>9</v>
      </c>
      <c r="K1945">
        <v>1</v>
      </c>
      <c r="X1945">
        <v>1</v>
      </c>
      <c r="AI1945">
        <v>1</v>
      </c>
      <c r="AX1945">
        <v>1</v>
      </c>
      <c r="BA1945">
        <f>SUM(Pre[[#This Row],[1]:[46]])</f>
        <v>4</v>
      </c>
    </row>
    <row r="1946" spans="1:53" x14ac:dyDescent="0.2">
      <c r="A1946" t="s">
        <v>58</v>
      </c>
      <c r="B1946" t="s">
        <v>54</v>
      </c>
      <c r="C1946">
        <v>9395</v>
      </c>
      <c r="D1946" t="s">
        <v>22</v>
      </c>
      <c r="E1946" t="s">
        <v>8</v>
      </c>
      <c r="F1946" t="s">
        <v>29</v>
      </c>
      <c r="P1946">
        <v>1</v>
      </c>
      <c r="AC1946">
        <v>1</v>
      </c>
      <c r="AO1946">
        <v>1</v>
      </c>
      <c r="BA1946">
        <f>SUM(Pre[[#This Row],[1]:[46]])</f>
        <v>3</v>
      </c>
    </row>
    <row r="1947" spans="1:53" x14ac:dyDescent="0.2">
      <c r="A1947" t="s">
        <v>58</v>
      </c>
      <c r="B1947" t="s">
        <v>54</v>
      </c>
      <c r="C1947">
        <v>10505</v>
      </c>
      <c r="D1947" t="s">
        <v>22</v>
      </c>
      <c r="E1947" t="s">
        <v>8</v>
      </c>
      <c r="F1947" t="s">
        <v>9</v>
      </c>
      <c r="H1947">
        <v>1</v>
      </c>
      <c r="M1947">
        <v>1</v>
      </c>
      <c r="R1947">
        <v>1</v>
      </c>
      <c r="V1947">
        <v>1</v>
      </c>
      <c r="AA1947">
        <v>1</v>
      </c>
      <c r="AF1947">
        <v>1</v>
      </c>
      <c r="AK1947">
        <v>1</v>
      </c>
      <c r="AP1947">
        <v>1</v>
      </c>
      <c r="AS1947">
        <v>1</v>
      </c>
      <c r="AY1947">
        <v>1</v>
      </c>
      <c r="BA1947">
        <f>SUM(Pre[[#This Row],[1]:[46]])</f>
        <v>10</v>
      </c>
    </row>
    <row r="1948" spans="1:53" x14ac:dyDescent="0.2">
      <c r="A1948" t="s">
        <v>58</v>
      </c>
      <c r="B1948" t="s">
        <v>54</v>
      </c>
      <c r="C1948">
        <v>14764</v>
      </c>
      <c r="D1948" t="s">
        <v>22</v>
      </c>
      <c r="E1948" t="s">
        <v>8</v>
      </c>
      <c r="F1948" t="s">
        <v>29</v>
      </c>
      <c r="P1948">
        <v>1</v>
      </c>
      <c r="AF1948">
        <v>1</v>
      </c>
      <c r="BA1948">
        <f>SUM(Pre[[#This Row],[1]:[46]])</f>
        <v>2</v>
      </c>
    </row>
    <row r="1949" spans="1:53" x14ac:dyDescent="0.2">
      <c r="A1949" t="s">
        <v>58</v>
      </c>
      <c r="B1949" t="s">
        <v>54</v>
      </c>
      <c r="C1949">
        <v>19458</v>
      </c>
      <c r="D1949" t="s">
        <v>22</v>
      </c>
      <c r="E1949" t="s">
        <v>8</v>
      </c>
      <c r="F1949" t="s">
        <v>23</v>
      </c>
      <c r="Q1949">
        <v>1</v>
      </c>
      <c r="AD1949">
        <v>1</v>
      </c>
      <c r="AQ1949">
        <v>1</v>
      </c>
      <c r="BA1949">
        <f>SUM(Pre[[#This Row],[1]:[46]])</f>
        <v>3</v>
      </c>
    </row>
    <row r="1950" spans="1:53" x14ac:dyDescent="0.2">
      <c r="A1950" t="s">
        <v>58</v>
      </c>
      <c r="B1950" t="s">
        <v>54</v>
      </c>
      <c r="C1950">
        <v>19991</v>
      </c>
      <c r="D1950" t="s">
        <v>22</v>
      </c>
      <c r="E1950" t="s">
        <v>8</v>
      </c>
      <c r="F1950" t="s">
        <v>23</v>
      </c>
      <c r="BA1950">
        <f>SUM(Pre[[#This Row],[1]:[46]])</f>
        <v>0</v>
      </c>
    </row>
    <row r="1951" spans="1:53" x14ac:dyDescent="0.2">
      <c r="A1951" t="s">
        <v>58</v>
      </c>
      <c r="B1951" t="s">
        <v>54</v>
      </c>
      <c r="C1951">
        <v>21240</v>
      </c>
      <c r="D1951" t="s">
        <v>22</v>
      </c>
      <c r="E1951" t="s">
        <v>8</v>
      </c>
      <c r="F1951" t="s">
        <v>23</v>
      </c>
      <c r="L1951">
        <v>1</v>
      </c>
      <c r="AA1951">
        <v>1</v>
      </c>
      <c r="AL1951">
        <v>1</v>
      </c>
      <c r="BA1951">
        <f>SUM(Pre[[#This Row],[1]:[46]])</f>
        <v>3</v>
      </c>
    </row>
    <row r="1952" spans="1:53" x14ac:dyDescent="0.2">
      <c r="A1952" t="s">
        <v>58</v>
      </c>
      <c r="B1952" t="s">
        <v>54</v>
      </c>
      <c r="C1952">
        <v>22515</v>
      </c>
      <c r="D1952" t="s">
        <v>22</v>
      </c>
      <c r="E1952" t="s">
        <v>37</v>
      </c>
      <c r="F1952" t="s">
        <v>39</v>
      </c>
      <c r="K1952">
        <v>1</v>
      </c>
      <c r="S1952">
        <v>1</v>
      </c>
      <c r="AA1952">
        <v>1</v>
      </c>
      <c r="AD1952">
        <v>1</v>
      </c>
      <c r="AO1952">
        <v>1</v>
      </c>
      <c r="AX1952">
        <v>1</v>
      </c>
      <c r="BA1952">
        <f>SUM(Pre[[#This Row],[1]:[46]])</f>
        <v>6</v>
      </c>
    </row>
    <row r="1953" spans="1:53" x14ac:dyDescent="0.2">
      <c r="A1953" t="s">
        <v>58</v>
      </c>
      <c r="B1953" t="s">
        <v>54</v>
      </c>
      <c r="C1953">
        <v>22515</v>
      </c>
      <c r="D1953" t="s">
        <v>22</v>
      </c>
      <c r="E1953" t="s">
        <v>8</v>
      </c>
      <c r="F1953" t="s">
        <v>23</v>
      </c>
      <c r="AA1953">
        <v>1</v>
      </c>
      <c r="AD1953">
        <v>1</v>
      </c>
      <c r="BA1953">
        <f>SUM(Pre[[#This Row],[1]:[46]])</f>
        <v>2</v>
      </c>
    </row>
    <row r="1954" spans="1:53" x14ac:dyDescent="0.2">
      <c r="A1954" t="s">
        <v>58</v>
      </c>
      <c r="B1954" t="s">
        <v>54</v>
      </c>
      <c r="C1954">
        <v>5560</v>
      </c>
      <c r="D1954" t="s">
        <v>7</v>
      </c>
      <c r="E1954" t="s">
        <v>8</v>
      </c>
      <c r="F1954" t="s">
        <v>23</v>
      </c>
      <c r="BA1954">
        <f>SUM(Pre[[#This Row],[1]:[46]])</f>
        <v>0</v>
      </c>
    </row>
    <row r="1955" spans="1:53" x14ac:dyDescent="0.2">
      <c r="A1955" t="s">
        <v>58</v>
      </c>
      <c r="B1955" t="s">
        <v>54</v>
      </c>
      <c r="C1955">
        <v>7887</v>
      </c>
      <c r="D1955" t="s">
        <v>7</v>
      </c>
      <c r="E1955" t="s">
        <v>8</v>
      </c>
      <c r="F1955" t="s">
        <v>34</v>
      </c>
      <c r="N1955">
        <v>1</v>
      </c>
      <c r="AF1955">
        <v>1</v>
      </c>
      <c r="AT1955">
        <v>1</v>
      </c>
      <c r="BA1955">
        <f>SUM(Pre[[#This Row],[1]:[46]])</f>
        <v>3</v>
      </c>
    </row>
    <row r="1956" spans="1:53" x14ac:dyDescent="0.2">
      <c r="A1956" t="s">
        <v>58</v>
      </c>
      <c r="B1956" t="s">
        <v>54</v>
      </c>
      <c r="C1956">
        <v>9590</v>
      </c>
      <c r="D1956" t="s">
        <v>7</v>
      </c>
      <c r="E1956" t="s">
        <v>8</v>
      </c>
      <c r="F1956" t="s">
        <v>23</v>
      </c>
      <c r="BA1956">
        <f>SUM(Pre[[#This Row],[1]:[46]])</f>
        <v>0</v>
      </c>
    </row>
    <row r="1957" spans="1:53" x14ac:dyDescent="0.2">
      <c r="A1957" t="s">
        <v>58</v>
      </c>
      <c r="B1957" t="s">
        <v>54</v>
      </c>
      <c r="C1957">
        <v>12788</v>
      </c>
      <c r="D1957" t="s">
        <v>7</v>
      </c>
      <c r="E1957" t="s">
        <v>8</v>
      </c>
      <c r="F1957" t="s">
        <v>9</v>
      </c>
      <c r="AD1957">
        <v>2</v>
      </c>
      <c r="AP1957">
        <v>1</v>
      </c>
      <c r="BA1957">
        <f>SUM(Pre[[#This Row],[1]:[46]])</f>
        <v>3</v>
      </c>
    </row>
    <row r="1958" spans="1:53" x14ac:dyDescent="0.2">
      <c r="A1958" t="s">
        <v>58</v>
      </c>
      <c r="B1958" t="s">
        <v>54</v>
      </c>
      <c r="C1958">
        <v>172</v>
      </c>
      <c r="D1958" t="s">
        <v>22</v>
      </c>
      <c r="E1958" t="s">
        <v>8</v>
      </c>
      <c r="F1958" t="s">
        <v>23</v>
      </c>
      <c r="O1958">
        <v>1</v>
      </c>
      <c r="AB1958">
        <v>1</v>
      </c>
      <c r="AN1958">
        <v>1</v>
      </c>
      <c r="BA1958">
        <f>SUM(Pre[[#This Row],[1]:[46]])</f>
        <v>3</v>
      </c>
    </row>
    <row r="1959" spans="1:53" x14ac:dyDescent="0.2">
      <c r="A1959" t="s">
        <v>58</v>
      </c>
      <c r="B1959" t="s">
        <v>54</v>
      </c>
      <c r="C1959">
        <v>6334</v>
      </c>
      <c r="D1959" t="s">
        <v>22</v>
      </c>
      <c r="E1959" t="s">
        <v>8</v>
      </c>
      <c r="F1959" t="s">
        <v>23</v>
      </c>
      <c r="G1959">
        <v>1</v>
      </c>
      <c r="U1959">
        <v>1</v>
      </c>
      <c r="AG1959">
        <v>1</v>
      </c>
      <c r="AT1959">
        <v>1</v>
      </c>
      <c r="BA1959">
        <f>SUM(Pre[[#This Row],[1]:[46]])</f>
        <v>4</v>
      </c>
    </row>
    <row r="1960" spans="1:53" x14ac:dyDescent="0.2">
      <c r="A1960" t="s">
        <v>58</v>
      </c>
      <c r="B1960" t="s">
        <v>54</v>
      </c>
      <c r="C1960">
        <v>6334</v>
      </c>
      <c r="D1960" t="s">
        <v>22</v>
      </c>
      <c r="E1960" t="s">
        <v>26</v>
      </c>
      <c r="F1960" t="s">
        <v>27</v>
      </c>
      <c r="M1960">
        <v>1</v>
      </c>
      <c r="Z1960">
        <v>1</v>
      </c>
      <c r="AL1960">
        <v>1</v>
      </c>
      <c r="AY1960">
        <v>1</v>
      </c>
      <c r="BA1960">
        <f>SUM(Pre[[#This Row],[1]:[46]])</f>
        <v>4</v>
      </c>
    </row>
    <row r="1961" spans="1:53" x14ac:dyDescent="0.2">
      <c r="A1961" t="s">
        <v>58</v>
      </c>
      <c r="B1961" t="s">
        <v>54</v>
      </c>
      <c r="C1961">
        <v>16566</v>
      </c>
      <c r="D1961" t="s">
        <v>22</v>
      </c>
      <c r="E1961" t="s">
        <v>8</v>
      </c>
      <c r="F1961" t="s">
        <v>9</v>
      </c>
      <c r="P1961">
        <v>1</v>
      </c>
      <c r="AK1961">
        <v>2</v>
      </c>
      <c r="BA1961">
        <f>SUM(Pre[[#This Row],[1]:[46]])</f>
        <v>3</v>
      </c>
    </row>
    <row r="1962" spans="1:53" x14ac:dyDescent="0.2">
      <c r="A1962" t="s">
        <v>58</v>
      </c>
      <c r="B1962" t="s">
        <v>54</v>
      </c>
      <c r="C1962">
        <v>23103</v>
      </c>
      <c r="D1962" t="s">
        <v>22</v>
      </c>
      <c r="E1962" t="s">
        <v>8</v>
      </c>
      <c r="F1962" t="s">
        <v>23</v>
      </c>
      <c r="I1962">
        <v>1</v>
      </c>
      <c r="X1962">
        <v>1</v>
      </c>
      <c r="AC1962">
        <v>1</v>
      </c>
      <c r="AD1962">
        <v>1</v>
      </c>
      <c r="AZ1962">
        <v>3</v>
      </c>
      <c r="BA1962">
        <f>SUM(Pre[[#This Row],[1]:[46]])</f>
        <v>7</v>
      </c>
    </row>
    <row r="1963" spans="1:53" x14ac:dyDescent="0.2">
      <c r="A1963" t="s">
        <v>22</v>
      </c>
      <c r="B1963" t="s">
        <v>54</v>
      </c>
      <c r="C1963">
        <v>2622</v>
      </c>
      <c r="D1963" t="s">
        <v>7</v>
      </c>
      <c r="E1963" t="s">
        <v>14</v>
      </c>
      <c r="F1963" t="s">
        <v>20</v>
      </c>
      <c r="BA1963">
        <f>SUM(Pre[[#This Row],[1]:[46]])</f>
        <v>0</v>
      </c>
    </row>
    <row r="1964" spans="1:53" x14ac:dyDescent="0.2">
      <c r="A1964" t="s">
        <v>22</v>
      </c>
      <c r="B1964" t="s">
        <v>54</v>
      </c>
      <c r="C1964">
        <v>3698</v>
      </c>
      <c r="D1964" t="s">
        <v>7</v>
      </c>
      <c r="E1964" t="s">
        <v>14</v>
      </c>
      <c r="F1964" t="s">
        <v>20</v>
      </c>
      <c r="BA1964">
        <f>SUM(Pre[[#This Row],[1]:[46]])</f>
        <v>0</v>
      </c>
    </row>
    <row r="1965" spans="1:53" x14ac:dyDescent="0.2">
      <c r="A1965" t="s">
        <v>22</v>
      </c>
      <c r="B1965" t="s">
        <v>54</v>
      </c>
      <c r="C1965">
        <v>4319</v>
      </c>
      <c r="D1965" t="s">
        <v>7</v>
      </c>
      <c r="E1965" t="s">
        <v>14</v>
      </c>
      <c r="F1965" t="s">
        <v>20</v>
      </c>
      <c r="AS1965">
        <v>1</v>
      </c>
      <c r="AW1965">
        <v>1</v>
      </c>
      <c r="BA1965">
        <f>SUM(Pre[[#This Row],[1]:[46]])</f>
        <v>2</v>
      </c>
    </row>
    <row r="1966" spans="1:53" x14ac:dyDescent="0.2">
      <c r="A1966" t="s">
        <v>22</v>
      </c>
      <c r="B1966" t="s">
        <v>54</v>
      </c>
      <c r="C1966">
        <v>4371</v>
      </c>
      <c r="D1966" t="s">
        <v>7</v>
      </c>
      <c r="E1966" t="s">
        <v>8</v>
      </c>
      <c r="F1966" t="s">
        <v>9</v>
      </c>
      <c r="H1966">
        <v>1</v>
      </c>
      <c r="S1966">
        <v>2</v>
      </c>
      <c r="AA1966">
        <v>1</v>
      </c>
      <c r="AH1966">
        <v>1</v>
      </c>
      <c r="AO1966">
        <v>1</v>
      </c>
      <c r="AV1966">
        <v>1</v>
      </c>
      <c r="BA1966">
        <f>SUM(Pre[[#This Row],[1]:[46]])</f>
        <v>7</v>
      </c>
    </row>
    <row r="1967" spans="1:53" x14ac:dyDescent="0.2">
      <c r="A1967" t="s">
        <v>22</v>
      </c>
      <c r="B1967" t="s">
        <v>54</v>
      </c>
      <c r="C1967">
        <v>5286</v>
      </c>
      <c r="D1967" t="s">
        <v>7</v>
      </c>
      <c r="E1967" t="s">
        <v>14</v>
      </c>
      <c r="F1967" t="s">
        <v>20</v>
      </c>
      <c r="I1967">
        <v>1</v>
      </c>
      <c r="AE1967">
        <v>1</v>
      </c>
      <c r="BA1967">
        <f>SUM(Pre[[#This Row],[1]:[46]])</f>
        <v>2</v>
      </c>
    </row>
    <row r="1968" spans="1:53" x14ac:dyDescent="0.2">
      <c r="A1968" t="s">
        <v>22</v>
      </c>
      <c r="B1968" t="s">
        <v>54</v>
      </c>
      <c r="C1968">
        <v>6186</v>
      </c>
      <c r="D1968" t="s">
        <v>7</v>
      </c>
      <c r="E1968" t="s">
        <v>14</v>
      </c>
      <c r="F1968" t="s">
        <v>31</v>
      </c>
      <c r="M1968">
        <v>1</v>
      </c>
      <c r="BA1968">
        <f>SUM(Pre[[#This Row],[1]:[46]])</f>
        <v>1</v>
      </c>
    </row>
    <row r="1969" spans="1:53" x14ac:dyDescent="0.2">
      <c r="A1969" t="s">
        <v>22</v>
      </c>
      <c r="B1969" t="s">
        <v>54</v>
      </c>
      <c r="C1969">
        <v>6186</v>
      </c>
      <c r="D1969" t="s">
        <v>7</v>
      </c>
      <c r="E1969" t="s">
        <v>14</v>
      </c>
      <c r="F1969" t="s">
        <v>28</v>
      </c>
      <c r="G1969">
        <v>1</v>
      </c>
      <c r="M1969">
        <v>1</v>
      </c>
      <c r="S1969">
        <v>1</v>
      </c>
      <c r="U1969">
        <v>1</v>
      </c>
      <c r="X1969">
        <v>1</v>
      </c>
      <c r="AD1969">
        <v>1</v>
      </c>
      <c r="AQ1969">
        <v>1</v>
      </c>
      <c r="AX1969">
        <v>1</v>
      </c>
      <c r="BA1969">
        <f>SUM(Pre[[#This Row],[1]:[46]])</f>
        <v>8</v>
      </c>
    </row>
    <row r="1970" spans="1:53" x14ac:dyDescent="0.2">
      <c r="A1970" t="s">
        <v>22</v>
      </c>
      <c r="B1970" t="s">
        <v>54</v>
      </c>
      <c r="C1970">
        <v>6445</v>
      </c>
      <c r="D1970" t="s">
        <v>7</v>
      </c>
      <c r="E1970" t="s">
        <v>10</v>
      </c>
      <c r="F1970" t="s">
        <v>11</v>
      </c>
      <c r="BA1970">
        <f>SUM(Pre[[#This Row],[1]:[46]])</f>
        <v>0</v>
      </c>
    </row>
    <row r="1971" spans="1:53" x14ac:dyDescent="0.2">
      <c r="A1971" t="s">
        <v>22</v>
      </c>
      <c r="B1971" t="s">
        <v>54</v>
      </c>
      <c r="C1971">
        <v>8508</v>
      </c>
      <c r="D1971" t="s">
        <v>7</v>
      </c>
      <c r="E1971" t="s">
        <v>8</v>
      </c>
      <c r="F1971" t="s">
        <v>23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BA1971">
        <f>SUM(Pre[[#This Row],[1]:[46]])</f>
        <v>29</v>
      </c>
    </row>
    <row r="1972" spans="1:53" x14ac:dyDescent="0.2">
      <c r="A1972" t="s">
        <v>22</v>
      </c>
      <c r="B1972" t="s">
        <v>54</v>
      </c>
      <c r="C1972">
        <v>8508</v>
      </c>
      <c r="D1972" t="s">
        <v>7</v>
      </c>
      <c r="E1972" t="s">
        <v>8</v>
      </c>
      <c r="F1972" t="s">
        <v>29</v>
      </c>
      <c r="AK1972">
        <v>1</v>
      </c>
      <c r="AL1972">
        <v>1</v>
      </c>
      <c r="AM1972">
        <v>2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f>SUM(Pre[[#This Row],[1]:[46]])</f>
        <v>17</v>
      </c>
    </row>
    <row r="1973" spans="1:53" x14ac:dyDescent="0.2">
      <c r="A1973" t="s">
        <v>22</v>
      </c>
      <c r="B1973" t="s">
        <v>54</v>
      </c>
      <c r="C1973">
        <v>8609</v>
      </c>
      <c r="D1973" t="s">
        <v>7</v>
      </c>
      <c r="E1973" t="s">
        <v>8</v>
      </c>
      <c r="F1973" t="s">
        <v>23</v>
      </c>
      <c r="W1973">
        <v>1</v>
      </c>
      <c r="AJ1973">
        <v>1</v>
      </c>
      <c r="AW1973">
        <v>1</v>
      </c>
      <c r="BA1973">
        <f>SUM(Pre[[#This Row],[1]:[46]])</f>
        <v>3</v>
      </c>
    </row>
    <row r="1974" spans="1:53" x14ac:dyDescent="0.2">
      <c r="A1974" t="s">
        <v>22</v>
      </c>
      <c r="B1974" t="s">
        <v>54</v>
      </c>
      <c r="C1974">
        <v>9729</v>
      </c>
      <c r="D1974" t="s">
        <v>7</v>
      </c>
      <c r="E1974" t="s">
        <v>8</v>
      </c>
      <c r="F1974" t="s">
        <v>29</v>
      </c>
      <c r="S1974">
        <v>1</v>
      </c>
      <c r="Z1974">
        <v>1</v>
      </c>
      <c r="AN1974">
        <v>1</v>
      </c>
      <c r="AV1974">
        <v>1</v>
      </c>
      <c r="BA1974">
        <f>SUM(Pre[[#This Row],[1]:[46]])</f>
        <v>4</v>
      </c>
    </row>
    <row r="1975" spans="1:53" x14ac:dyDescent="0.2">
      <c r="A1975" t="s">
        <v>22</v>
      </c>
      <c r="B1975" t="s">
        <v>54</v>
      </c>
      <c r="C1975">
        <v>10742</v>
      </c>
      <c r="D1975" t="s">
        <v>7</v>
      </c>
      <c r="E1975" t="s">
        <v>8</v>
      </c>
      <c r="F1975" t="s">
        <v>29</v>
      </c>
      <c r="I1975">
        <v>1</v>
      </c>
      <c r="Z1975">
        <v>1</v>
      </c>
      <c r="AM1975">
        <v>1</v>
      </c>
      <c r="BA1975">
        <f>SUM(Pre[[#This Row],[1]:[46]])</f>
        <v>3</v>
      </c>
    </row>
    <row r="1976" spans="1:53" x14ac:dyDescent="0.2">
      <c r="A1976" t="s">
        <v>22</v>
      </c>
      <c r="B1976" t="s">
        <v>54</v>
      </c>
      <c r="C1976">
        <v>11669</v>
      </c>
      <c r="D1976" t="s">
        <v>7</v>
      </c>
      <c r="E1976" t="s">
        <v>10</v>
      </c>
      <c r="F1976" t="s">
        <v>11</v>
      </c>
      <c r="H1976">
        <v>1</v>
      </c>
      <c r="L1976">
        <v>1</v>
      </c>
      <c r="P1976">
        <v>1</v>
      </c>
      <c r="T1976">
        <v>1</v>
      </c>
      <c r="X1976">
        <v>1</v>
      </c>
      <c r="AB1976">
        <v>1</v>
      </c>
      <c r="AF1976">
        <v>1</v>
      </c>
      <c r="AJ1976">
        <v>1</v>
      </c>
      <c r="AN1976">
        <v>1</v>
      </c>
      <c r="AR1976">
        <v>1</v>
      </c>
      <c r="AV1976">
        <v>1</v>
      </c>
      <c r="AZ1976">
        <v>1</v>
      </c>
      <c r="BA1976">
        <f>SUM(Pre[[#This Row],[1]:[46]])</f>
        <v>12</v>
      </c>
    </row>
    <row r="1977" spans="1:53" x14ac:dyDescent="0.2">
      <c r="A1977" t="s">
        <v>22</v>
      </c>
      <c r="B1977" t="s">
        <v>54</v>
      </c>
      <c r="C1977">
        <v>13104</v>
      </c>
      <c r="D1977" t="s">
        <v>7</v>
      </c>
      <c r="E1977" t="s">
        <v>8</v>
      </c>
      <c r="F1977" t="s">
        <v>9</v>
      </c>
      <c r="G1977">
        <v>1</v>
      </c>
      <c r="T1977">
        <v>1</v>
      </c>
      <c r="AH1977">
        <v>1</v>
      </c>
      <c r="AU1977">
        <v>1</v>
      </c>
      <c r="BA1977">
        <f>SUM(Pre[[#This Row],[1]:[46]])</f>
        <v>4</v>
      </c>
    </row>
    <row r="1978" spans="1:53" x14ac:dyDescent="0.2">
      <c r="A1978" t="s">
        <v>22</v>
      </c>
      <c r="B1978" t="s">
        <v>54</v>
      </c>
      <c r="C1978">
        <v>13221</v>
      </c>
      <c r="D1978" t="s">
        <v>7</v>
      </c>
      <c r="E1978" t="s">
        <v>8</v>
      </c>
      <c r="F1978" t="s">
        <v>9</v>
      </c>
      <c r="P1978">
        <v>1</v>
      </c>
      <c r="AX1978">
        <v>1</v>
      </c>
      <c r="BA1978">
        <f>SUM(Pre[[#This Row],[1]:[46]])</f>
        <v>2</v>
      </c>
    </row>
    <row r="1979" spans="1:53" x14ac:dyDescent="0.2">
      <c r="A1979" t="s">
        <v>22</v>
      </c>
      <c r="B1979" t="s">
        <v>54</v>
      </c>
      <c r="C1979">
        <v>13536</v>
      </c>
      <c r="D1979" t="s">
        <v>7</v>
      </c>
      <c r="E1979" t="s">
        <v>14</v>
      </c>
      <c r="F1979" t="s">
        <v>35</v>
      </c>
      <c r="BA1979">
        <f>SUM(Pre[[#This Row],[1]:[46]])</f>
        <v>0</v>
      </c>
    </row>
    <row r="1980" spans="1:53" x14ac:dyDescent="0.2">
      <c r="A1980" t="s">
        <v>22</v>
      </c>
      <c r="B1980" t="s">
        <v>54</v>
      </c>
      <c r="C1980">
        <v>13890</v>
      </c>
      <c r="D1980" t="s">
        <v>7</v>
      </c>
      <c r="E1980" t="s">
        <v>14</v>
      </c>
      <c r="F1980" t="s">
        <v>35</v>
      </c>
      <c r="K1980">
        <v>1</v>
      </c>
      <c r="M1980">
        <v>1</v>
      </c>
      <c r="S1980">
        <v>1</v>
      </c>
      <c r="BA1980">
        <f>SUM(Pre[[#This Row],[1]:[46]])</f>
        <v>3</v>
      </c>
    </row>
    <row r="1981" spans="1:53" x14ac:dyDescent="0.2">
      <c r="A1981" t="s">
        <v>22</v>
      </c>
      <c r="B1981" t="s">
        <v>54</v>
      </c>
      <c r="C1981">
        <v>13910</v>
      </c>
      <c r="D1981" t="s">
        <v>7</v>
      </c>
      <c r="E1981" t="s">
        <v>14</v>
      </c>
      <c r="F1981" t="s">
        <v>20</v>
      </c>
      <c r="BA1981">
        <f>SUM(Pre[[#This Row],[1]:[46]])</f>
        <v>0</v>
      </c>
    </row>
    <row r="1982" spans="1:53" x14ac:dyDescent="0.2">
      <c r="A1982" t="s">
        <v>22</v>
      </c>
      <c r="B1982" t="s">
        <v>54</v>
      </c>
      <c r="C1982">
        <v>14855</v>
      </c>
      <c r="D1982" t="s">
        <v>7</v>
      </c>
      <c r="E1982" t="s">
        <v>8</v>
      </c>
      <c r="F1982" t="s">
        <v>9</v>
      </c>
      <c r="M1982">
        <v>1</v>
      </c>
      <c r="V1982">
        <v>2</v>
      </c>
      <c r="AN1982">
        <v>1</v>
      </c>
      <c r="BA1982">
        <f>SUM(Pre[[#This Row],[1]:[46]])</f>
        <v>4</v>
      </c>
    </row>
    <row r="1983" spans="1:53" x14ac:dyDescent="0.2">
      <c r="A1983" t="s">
        <v>22</v>
      </c>
      <c r="B1983" t="s">
        <v>54</v>
      </c>
      <c r="C1983">
        <v>15269</v>
      </c>
      <c r="D1983" t="s">
        <v>7</v>
      </c>
      <c r="E1983" t="s">
        <v>8</v>
      </c>
      <c r="F1983" t="s">
        <v>23</v>
      </c>
      <c r="Y1983">
        <v>1</v>
      </c>
      <c r="AZ1983">
        <v>1</v>
      </c>
      <c r="BA1983">
        <f>SUM(Pre[[#This Row],[1]:[46]])</f>
        <v>2</v>
      </c>
    </row>
    <row r="1984" spans="1:53" x14ac:dyDescent="0.2">
      <c r="A1984" t="s">
        <v>22</v>
      </c>
      <c r="B1984" t="s">
        <v>54</v>
      </c>
      <c r="C1984">
        <v>15531</v>
      </c>
      <c r="D1984" t="s">
        <v>7</v>
      </c>
      <c r="E1984" t="s">
        <v>8</v>
      </c>
      <c r="F1984" t="s">
        <v>9</v>
      </c>
      <c r="T1984">
        <v>1</v>
      </c>
      <c r="AG1984">
        <v>1</v>
      </c>
      <c r="AO1984">
        <v>1</v>
      </c>
      <c r="BA1984">
        <f>SUM(Pre[[#This Row],[1]:[46]])</f>
        <v>3</v>
      </c>
    </row>
    <row r="1985" spans="1:53" x14ac:dyDescent="0.2">
      <c r="A1985" t="s">
        <v>22</v>
      </c>
      <c r="B1985" t="s">
        <v>54</v>
      </c>
      <c r="C1985">
        <v>15692</v>
      </c>
      <c r="D1985" t="s">
        <v>7</v>
      </c>
      <c r="E1985" t="s">
        <v>8</v>
      </c>
      <c r="F1985" t="s">
        <v>9</v>
      </c>
      <c r="I1985">
        <v>1</v>
      </c>
      <c r="AD1985">
        <v>1</v>
      </c>
      <c r="AY1985">
        <v>1</v>
      </c>
      <c r="BA1985">
        <f>SUM(Pre[[#This Row],[1]:[46]])</f>
        <v>3</v>
      </c>
    </row>
    <row r="1986" spans="1:53" x14ac:dyDescent="0.2">
      <c r="A1986" t="s">
        <v>22</v>
      </c>
      <c r="B1986" t="s">
        <v>54</v>
      </c>
      <c r="C1986">
        <v>16059</v>
      </c>
      <c r="D1986" t="s">
        <v>7</v>
      </c>
      <c r="E1986" t="s">
        <v>14</v>
      </c>
      <c r="F1986" t="s">
        <v>35</v>
      </c>
      <c r="AB1986">
        <v>1</v>
      </c>
      <c r="BA1986">
        <f>SUM(Pre[[#This Row],[1]:[46]])</f>
        <v>1</v>
      </c>
    </row>
    <row r="1987" spans="1:53" x14ac:dyDescent="0.2">
      <c r="A1987" t="s">
        <v>22</v>
      </c>
      <c r="B1987" t="s">
        <v>54</v>
      </c>
      <c r="C1987">
        <v>16281</v>
      </c>
      <c r="D1987" t="s">
        <v>7</v>
      </c>
      <c r="E1987" t="s">
        <v>14</v>
      </c>
      <c r="F1987" t="s">
        <v>35</v>
      </c>
      <c r="BA1987">
        <f>SUM(Pre[[#This Row],[1]:[46]])</f>
        <v>0</v>
      </c>
    </row>
    <row r="1988" spans="1:53" x14ac:dyDescent="0.2">
      <c r="A1988" t="s">
        <v>22</v>
      </c>
      <c r="B1988" t="s">
        <v>54</v>
      </c>
      <c r="C1988">
        <v>16498</v>
      </c>
      <c r="D1988" t="s">
        <v>7</v>
      </c>
      <c r="E1988" t="s">
        <v>14</v>
      </c>
      <c r="F1988" t="s">
        <v>35</v>
      </c>
      <c r="BA1988">
        <f>SUM(Pre[[#This Row],[1]:[46]])</f>
        <v>0</v>
      </c>
    </row>
    <row r="1989" spans="1:53" x14ac:dyDescent="0.2">
      <c r="A1989" t="s">
        <v>22</v>
      </c>
      <c r="B1989" t="s">
        <v>54</v>
      </c>
      <c r="C1989">
        <v>17469</v>
      </c>
      <c r="D1989" t="s">
        <v>7</v>
      </c>
      <c r="E1989" t="s">
        <v>14</v>
      </c>
      <c r="F1989" t="s">
        <v>20</v>
      </c>
      <c r="BA1989">
        <f>SUM(Pre[[#This Row],[1]:[46]])</f>
        <v>0</v>
      </c>
    </row>
    <row r="1990" spans="1:53" x14ac:dyDescent="0.2">
      <c r="A1990" t="s">
        <v>22</v>
      </c>
      <c r="B1990" t="s">
        <v>54</v>
      </c>
      <c r="C1990">
        <v>22019</v>
      </c>
      <c r="D1990" t="s">
        <v>7</v>
      </c>
      <c r="E1990" t="s">
        <v>14</v>
      </c>
      <c r="F1990" t="s">
        <v>20</v>
      </c>
      <c r="K1990">
        <v>1</v>
      </c>
      <c r="Y1990">
        <v>1</v>
      </c>
      <c r="BA1990">
        <f>SUM(Pre[[#This Row],[1]:[46]])</f>
        <v>2</v>
      </c>
    </row>
    <row r="1991" spans="1:53" x14ac:dyDescent="0.2">
      <c r="A1991" t="s">
        <v>22</v>
      </c>
      <c r="B1991" t="s">
        <v>54</v>
      </c>
      <c r="C1991">
        <v>25173</v>
      </c>
      <c r="D1991" t="s">
        <v>7</v>
      </c>
      <c r="E1991" t="s">
        <v>14</v>
      </c>
      <c r="F1991" t="s">
        <v>19</v>
      </c>
      <c r="BA1991">
        <f>SUM(Pre[[#This Row],[1]:[46]])</f>
        <v>0</v>
      </c>
    </row>
    <row r="1992" spans="1:53" x14ac:dyDescent="0.2">
      <c r="A1992" t="s">
        <v>22</v>
      </c>
      <c r="B1992" t="s">
        <v>54</v>
      </c>
      <c r="C1992">
        <v>510</v>
      </c>
      <c r="D1992" t="s">
        <v>22</v>
      </c>
      <c r="E1992" t="s">
        <v>8</v>
      </c>
      <c r="F1992" t="s">
        <v>9</v>
      </c>
      <c r="T1992">
        <v>1</v>
      </c>
      <c r="AJ1992">
        <v>1</v>
      </c>
      <c r="AZ1992">
        <v>1</v>
      </c>
      <c r="BA1992">
        <f>SUM(Pre[[#This Row],[1]:[46]])</f>
        <v>3</v>
      </c>
    </row>
    <row r="1993" spans="1:53" x14ac:dyDescent="0.2">
      <c r="A1993" t="s">
        <v>22</v>
      </c>
      <c r="B1993" t="s">
        <v>54</v>
      </c>
      <c r="C1993">
        <v>510</v>
      </c>
      <c r="D1993" t="s">
        <v>22</v>
      </c>
      <c r="E1993" t="s">
        <v>14</v>
      </c>
      <c r="F1993" t="s">
        <v>35</v>
      </c>
      <c r="AJ1993">
        <v>1</v>
      </c>
      <c r="BA1993">
        <f>SUM(Pre[[#This Row],[1]:[46]])</f>
        <v>1</v>
      </c>
    </row>
    <row r="1994" spans="1:53" x14ac:dyDescent="0.2">
      <c r="A1994" t="s">
        <v>22</v>
      </c>
      <c r="B1994" t="s">
        <v>54</v>
      </c>
      <c r="C1994">
        <v>552</v>
      </c>
      <c r="D1994" t="s">
        <v>22</v>
      </c>
      <c r="E1994" t="s">
        <v>8</v>
      </c>
      <c r="F1994" t="s">
        <v>9</v>
      </c>
      <c r="R1994">
        <v>1</v>
      </c>
      <c r="AA1994">
        <v>1</v>
      </c>
      <c r="AD1994">
        <v>1</v>
      </c>
      <c r="AK1994">
        <v>1</v>
      </c>
      <c r="AP1994">
        <v>1</v>
      </c>
      <c r="AT1994">
        <v>1</v>
      </c>
      <c r="AY1994">
        <v>1</v>
      </c>
      <c r="BA1994">
        <f>SUM(Pre[[#This Row],[1]:[46]])</f>
        <v>7</v>
      </c>
    </row>
    <row r="1995" spans="1:53" x14ac:dyDescent="0.2">
      <c r="A1995" t="s">
        <v>22</v>
      </c>
      <c r="B1995" t="s">
        <v>54</v>
      </c>
      <c r="C1995">
        <v>1486</v>
      </c>
      <c r="D1995" t="s">
        <v>22</v>
      </c>
      <c r="E1995" t="s">
        <v>8</v>
      </c>
      <c r="F1995" t="s">
        <v>9</v>
      </c>
      <c r="Q1995">
        <v>1</v>
      </c>
      <c r="AD1995">
        <v>1</v>
      </c>
      <c r="AQ1995">
        <v>1</v>
      </c>
      <c r="BA1995">
        <f>SUM(Pre[[#This Row],[1]:[46]])</f>
        <v>3</v>
      </c>
    </row>
    <row r="1996" spans="1:53" x14ac:dyDescent="0.2">
      <c r="A1996" t="s">
        <v>22</v>
      </c>
      <c r="B1996" t="s">
        <v>54</v>
      </c>
      <c r="C1996">
        <v>1703</v>
      </c>
      <c r="D1996" t="s">
        <v>22</v>
      </c>
      <c r="E1996" t="s">
        <v>8</v>
      </c>
      <c r="F1996" t="s">
        <v>9</v>
      </c>
      <c r="P1996">
        <v>1</v>
      </c>
      <c r="AD1996">
        <v>1</v>
      </c>
      <c r="AX1996">
        <v>1</v>
      </c>
      <c r="BA1996">
        <f>SUM(Pre[[#This Row],[1]:[46]])</f>
        <v>3</v>
      </c>
    </row>
    <row r="1997" spans="1:53" x14ac:dyDescent="0.2">
      <c r="A1997" t="s">
        <v>22</v>
      </c>
      <c r="B1997" t="s">
        <v>54</v>
      </c>
      <c r="C1997">
        <v>3738</v>
      </c>
      <c r="D1997" t="s">
        <v>22</v>
      </c>
      <c r="E1997" t="s">
        <v>8</v>
      </c>
      <c r="F1997" t="s">
        <v>9</v>
      </c>
      <c r="N1997">
        <v>1</v>
      </c>
      <c r="AB1997">
        <v>1</v>
      </c>
      <c r="AS1997">
        <v>1</v>
      </c>
      <c r="BA1997">
        <f>SUM(Pre[[#This Row],[1]:[46]])</f>
        <v>3</v>
      </c>
    </row>
    <row r="1998" spans="1:53" x14ac:dyDescent="0.2">
      <c r="A1998" t="s">
        <v>22</v>
      </c>
      <c r="B1998" t="s">
        <v>54</v>
      </c>
      <c r="C1998">
        <v>4728</v>
      </c>
      <c r="D1998" t="s">
        <v>22</v>
      </c>
      <c r="E1998" t="s">
        <v>8</v>
      </c>
      <c r="F1998" t="s">
        <v>9</v>
      </c>
      <c r="M1998">
        <v>1</v>
      </c>
      <c r="S1998">
        <v>1</v>
      </c>
      <c r="Y1998">
        <v>1</v>
      </c>
      <c r="AH1998">
        <v>1</v>
      </c>
      <c r="AO1998">
        <v>1</v>
      </c>
      <c r="BA1998">
        <f>SUM(Pre[[#This Row],[1]:[46]])</f>
        <v>5</v>
      </c>
    </row>
    <row r="1999" spans="1:53" x14ac:dyDescent="0.2">
      <c r="A1999" t="s">
        <v>22</v>
      </c>
      <c r="B1999" t="s">
        <v>54</v>
      </c>
      <c r="C1999">
        <v>5730</v>
      </c>
      <c r="D1999" t="s">
        <v>22</v>
      </c>
      <c r="E1999" t="s">
        <v>8</v>
      </c>
      <c r="F1999" t="s">
        <v>29</v>
      </c>
      <c r="AC1999">
        <v>1</v>
      </c>
      <c r="BA1999">
        <f>SUM(Pre[[#This Row],[1]:[46]])</f>
        <v>1</v>
      </c>
    </row>
    <row r="2000" spans="1:53" x14ac:dyDescent="0.2">
      <c r="A2000" t="s">
        <v>22</v>
      </c>
      <c r="B2000" t="s">
        <v>54</v>
      </c>
      <c r="C2000">
        <v>5774</v>
      </c>
      <c r="D2000" t="s">
        <v>22</v>
      </c>
      <c r="E2000" t="s">
        <v>8</v>
      </c>
      <c r="F2000" t="s">
        <v>9</v>
      </c>
      <c r="R2000">
        <v>1</v>
      </c>
      <c r="AE2000">
        <v>1</v>
      </c>
      <c r="AR2000">
        <v>1</v>
      </c>
      <c r="BA2000">
        <f>SUM(Pre[[#This Row],[1]:[46]])</f>
        <v>3</v>
      </c>
    </row>
    <row r="2001" spans="1:53" x14ac:dyDescent="0.2">
      <c r="A2001" t="s">
        <v>22</v>
      </c>
      <c r="B2001" t="s">
        <v>54</v>
      </c>
      <c r="C2001">
        <v>5815</v>
      </c>
      <c r="D2001" t="s">
        <v>22</v>
      </c>
      <c r="E2001" t="s">
        <v>8</v>
      </c>
      <c r="F2001" t="s">
        <v>9</v>
      </c>
      <c r="W2001">
        <v>1</v>
      </c>
      <c r="BA2001">
        <f>SUM(Pre[[#This Row],[1]:[46]])</f>
        <v>1</v>
      </c>
    </row>
    <row r="2002" spans="1:53" x14ac:dyDescent="0.2">
      <c r="A2002" t="s">
        <v>22</v>
      </c>
      <c r="B2002" t="s">
        <v>54</v>
      </c>
      <c r="C2002">
        <v>6412</v>
      </c>
      <c r="D2002" t="s">
        <v>22</v>
      </c>
      <c r="E2002" t="s">
        <v>8</v>
      </c>
      <c r="F2002" t="s">
        <v>9</v>
      </c>
      <c r="L2002">
        <v>1</v>
      </c>
      <c r="AA2002">
        <v>1</v>
      </c>
      <c r="AM2002">
        <v>1</v>
      </c>
      <c r="AZ2002">
        <v>1</v>
      </c>
      <c r="BA2002">
        <f>SUM(Pre[[#This Row],[1]:[46]])</f>
        <v>4</v>
      </c>
    </row>
    <row r="2003" spans="1:53" x14ac:dyDescent="0.2">
      <c r="A2003" t="s">
        <v>22</v>
      </c>
      <c r="B2003" t="s">
        <v>54</v>
      </c>
      <c r="C2003">
        <v>6414</v>
      </c>
      <c r="D2003" t="s">
        <v>22</v>
      </c>
      <c r="E2003" t="s">
        <v>8</v>
      </c>
      <c r="F2003" t="s">
        <v>23</v>
      </c>
      <c r="K2003">
        <v>1</v>
      </c>
      <c r="Y2003">
        <v>1</v>
      </c>
      <c r="AM2003">
        <v>1</v>
      </c>
      <c r="BA2003">
        <f>SUM(Pre[[#This Row],[1]:[46]])</f>
        <v>3</v>
      </c>
    </row>
    <row r="2004" spans="1:53" x14ac:dyDescent="0.2">
      <c r="A2004" t="s">
        <v>22</v>
      </c>
      <c r="B2004" t="s">
        <v>54</v>
      </c>
      <c r="C2004">
        <v>7278</v>
      </c>
      <c r="D2004" t="s">
        <v>22</v>
      </c>
      <c r="E2004" t="s">
        <v>8</v>
      </c>
      <c r="F2004" t="s">
        <v>23</v>
      </c>
      <c r="J2004">
        <v>3</v>
      </c>
      <c r="V2004">
        <v>1</v>
      </c>
      <c r="AJ2004">
        <v>1</v>
      </c>
      <c r="AX2004">
        <v>1</v>
      </c>
      <c r="BA2004">
        <f>SUM(Pre[[#This Row],[1]:[46]])</f>
        <v>6</v>
      </c>
    </row>
    <row r="2005" spans="1:53" x14ac:dyDescent="0.2">
      <c r="A2005" t="s">
        <v>22</v>
      </c>
      <c r="B2005" t="s">
        <v>54</v>
      </c>
      <c r="C2005">
        <v>9650</v>
      </c>
      <c r="D2005" t="s">
        <v>22</v>
      </c>
      <c r="E2005" t="s">
        <v>8</v>
      </c>
      <c r="F2005" t="s">
        <v>23</v>
      </c>
      <c r="G2005">
        <v>1</v>
      </c>
      <c r="T2005">
        <v>1</v>
      </c>
      <c r="AH2005">
        <v>2</v>
      </c>
      <c r="AV2005">
        <v>1</v>
      </c>
      <c r="BA2005">
        <f>SUM(Pre[[#This Row],[1]:[46]])</f>
        <v>5</v>
      </c>
    </row>
    <row r="2006" spans="1:53" x14ac:dyDescent="0.2">
      <c r="A2006" t="s">
        <v>22</v>
      </c>
      <c r="B2006" t="s">
        <v>54</v>
      </c>
      <c r="C2006">
        <v>9730</v>
      </c>
      <c r="D2006" t="s">
        <v>22</v>
      </c>
      <c r="E2006" t="s">
        <v>8</v>
      </c>
      <c r="F2006" t="s">
        <v>9</v>
      </c>
      <c r="AN2006">
        <v>1</v>
      </c>
      <c r="BA2006">
        <f>SUM(Pre[[#This Row],[1]:[46]])</f>
        <v>1</v>
      </c>
    </row>
    <row r="2007" spans="1:53" x14ac:dyDescent="0.2">
      <c r="A2007" t="s">
        <v>22</v>
      </c>
      <c r="B2007" t="s">
        <v>54</v>
      </c>
      <c r="C2007">
        <v>10152</v>
      </c>
      <c r="D2007" t="s">
        <v>22</v>
      </c>
      <c r="E2007" t="s">
        <v>8</v>
      </c>
      <c r="F2007" t="s">
        <v>9</v>
      </c>
      <c r="T2007">
        <v>2</v>
      </c>
      <c r="X2007">
        <v>1</v>
      </c>
      <c r="AF2007">
        <v>1</v>
      </c>
      <c r="AK2007">
        <v>1</v>
      </c>
      <c r="AO2007">
        <v>1</v>
      </c>
      <c r="AS2007">
        <v>1</v>
      </c>
      <c r="AW2007">
        <v>3</v>
      </c>
      <c r="BA2007">
        <f>SUM(Pre[[#This Row],[1]:[46]])</f>
        <v>10</v>
      </c>
    </row>
    <row r="2008" spans="1:53" x14ac:dyDescent="0.2">
      <c r="A2008" t="s">
        <v>22</v>
      </c>
      <c r="B2008" t="s">
        <v>54</v>
      </c>
      <c r="C2008">
        <v>13775</v>
      </c>
      <c r="D2008" t="s">
        <v>22</v>
      </c>
      <c r="E2008" t="s">
        <v>8</v>
      </c>
      <c r="F2008" t="s">
        <v>23</v>
      </c>
      <c r="G2008">
        <v>1</v>
      </c>
      <c r="M2008">
        <v>1</v>
      </c>
      <c r="R2008">
        <v>1</v>
      </c>
      <c r="V2008">
        <v>1</v>
      </c>
      <c r="Y2008">
        <v>1</v>
      </c>
      <c r="AH2008">
        <v>1</v>
      </c>
      <c r="AT2008">
        <v>1</v>
      </c>
      <c r="BA2008">
        <f>SUM(Pre[[#This Row],[1]:[46]])</f>
        <v>7</v>
      </c>
    </row>
    <row r="2009" spans="1:53" x14ac:dyDescent="0.2">
      <c r="A2009" t="s">
        <v>22</v>
      </c>
      <c r="B2009" t="s">
        <v>54</v>
      </c>
      <c r="C2009">
        <v>13909</v>
      </c>
      <c r="D2009" t="s">
        <v>22</v>
      </c>
      <c r="E2009" t="s">
        <v>8</v>
      </c>
      <c r="F2009" t="s">
        <v>23</v>
      </c>
      <c r="G2009">
        <v>2</v>
      </c>
      <c r="BA2009">
        <f>SUM(Pre[[#This Row],[1]:[46]])</f>
        <v>2</v>
      </c>
    </row>
    <row r="2010" spans="1:53" x14ac:dyDescent="0.2">
      <c r="A2010" t="s">
        <v>22</v>
      </c>
      <c r="B2010" t="s">
        <v>54</v>
      </c>
      <c r="C2010">
        <v>13909</v>
      </c>
      <c r="D2010" t="s">
        <v>22</v>
      </c>
      <c r="E2010" t="s">
        <v>8</v>
      </c>
      <c r="F2010" t="s">
        <v>29</v>
      </c>
      <c r="W2010">
        <v>1</v>
      </c>
      <c r="AB2010">
        <v>1</v>
      </c>
      <c r="AG2010">
        <v>1</v>
      </c>
      <c r="AK2010">
        <v>1</v>
      </c>
      <c r="AP2010">
        <v>1</v>
      </c>
      <c r="AT2010">
        <v>1</v>
      </c>
      <c r="AX2010">
        <v>1</v>
      </c>
      <c r="BA2010">
        <f>SUM(Pre[[#This Row],[1]:[46]])</f>
        <v>7</v>
      </c>
    </row>
    <row r="2011" spans="1:53" x14ac:dyDescent="0.2">
      <c r="A2011" t="s">
        <v>22</v>
      </c>
      <c r="B2011" t="s">
        <v>54</v>
      </c>
      <c r="C2011">
        <v>14948</v>
      </c>
      <c r="D2011" t="s">
        <v>22</v>
      </c>
      <c r="E2011" t="s">
        <v>10</v>
      </c>
      <c r="F2011" t="s">
        <v>11</v>
      </c>
      <c r="G2011">
        <v>1</v>
      </c>
      <c r="M2011">
        <v>1</v>
      </c>
      <c r="R2011">
        <v>1</v>
      </c>
      <c r="W2011">
        <v>1</v>
      </c>
      <c r="AB2011">
        <v>1</v>
      </c>
      <c r="AF2011">
        <v>1</v>
      </c>
      <c r="AM2011">
        <v>1</v>
      </c>
      <c r="AR2011">
        <v>1</v>
      </c>
      <c r="AW2011">
        <v>1</v>
      </c>
      <c r="BA2011">
        <f>SUM(Pre[[#This Row],[1]:[46]])</f>
        <v>9</v>
      </c>
    </row>
    <row r="2012" spans="1:53" x14ac:dyDescent="0.2">
      <c r="A2012" t="s">
        <v>22</v>
      </c>
      <c r="B2012" t="s">
        <v>54</v>
      </c>
      <c r="C2012">
        <v>15360</v>
      </c>
      <c r="D2012" t="s">
        <v>22</v>
      </c>
      <c r="E2012" t="s">
        <v>8</v>
      </c>
      <c r="F2012" t="s">
        <v>29</v>
      </c>
      <c r="L2012">
        <v>1</v>
      </c>
      <c r="AA2012">
        <v>2</v>
      </c>
      <c r="AP2012">
        <v>1</v>
      </c>
      <c r="BA2012">
        <f>SUM(Pre[[#This Row],[1]:[46]])</f>
        <v>4</v>
      </c>
    </row>
    <row r="2013" spans="1:53" x14ac:dyDescent="0.2">
      <c r="A2013" t="s">
        <v>22</v>
      </c>
      <c r="B2013" t="s">
        <v>54</v>
      </c>
      <c r="C2013">
        <v>15707</v>
      </c>
      <c r="D2013" t="s">
        <v>22</v>
      </c>
      <c r="E2013" t="s">
        <v>8</v>
      </c>
      <c r="F2013" t="s">
        <v>9</v>
      </c>
      <c r="AB2013">
        <v>1</v>
      </c>
      <c r="AT2013">
        <v>1</v>
      </c>
      <c r="BA2013">
        <f>SUM(Pre[[#This Row],[1]:[46]])</f>
        <v>2</v>
      </c>
    </row>
    <row r="2014" spans="1:53" x14ac:dyDescent="0.2">
      <c r="A2014" t="s">
        <v>22</v>
      </c>
      <c r="B2014" t="s">
        <v>54</v>
      </c>
      <c r="C2014">
        <v>16300</v>
      </c>
      <c r="D2014" t="s">
        <v>22</v>
      </c>
      <c r="E2014" t="s">
        <v>8</v>
      </c>
      <c r="F2014" t="s">
        <v>23</v>
      </c>
      <c r="U2014">
        <v>1</v>
      </c>
      <c r="AC2014">
        <v>1</v>
      </c>
      <c r="BA2014">
        <f>SUM(Pre[[#This Row],[1]:[46]])</f>
        <v>2</v>
      </c>
    </row>
    <row r="2015" spans="1:53" x14ac:dyDescent="0.2">
      <c r="A2015" t="s">
        <v>22</v>
      </c>
      <c r="B2015" t="s">
        <v>54</v>
      </c>
      <c r="C2015">
        <v>16452</v>
      </c>
      <c r="D2015" t="s">
        <v>22</v>
      </c>
      <c r="E2015" t="s">
        <v>14</v>
      </c>
      <c r="F2015" t="s">
        <v>19</v>
      </c>
      <c r="BA2015">
        <f>SUM(Pre[[#This Row],[1]:[46]])</f>
        <v>0</v>
      </c>
    </row>
    <row r="2016" spans="1:53" x14ac:dyDescent="0.2">
      <c r="A2016" t="s">
        <v>22</v>
      </c>
      <c r="B2016" t="s">
        <v>54</v>
      </c>
      <c r="C2016">
        <v>16546</v>
      </c>
      <c r="D2016" t="s">
        <v>22</v>
      </c>
      <c r="E2016" t="s">
        <v>10</v>
      </c>
      <c r="F2016" t="s">
        <v>11</v>
      </c>
      <c r="M2016">
        <v>1</v>
      </c>
      <c r="AR2016">
        <v>1</v>
      </c>
      <c r="BA2016">
        <f>SUM(Pre[[#This Row],[1]:[46]])</f>
        <v>2</v>
      </c>
    </row>
    <row r="2017" spans="1:53" x14ac:dyDescent="0.2">
      <c r="A2017" t="s">
        <v>22</v>
      </c>
      <c r="B2017" t="s">
        <v>54</v>
      </c>
      <c r="C2017">
        <v>16714</v>
      </c>
      <c r="D2017" t="s">
        <v>22</v>
      </c>
      <c r="E2017" t="s">
        <v>14</v>
      </c>
      <c r="F2017" t="s">
        <v>21</v>
      </c>
      <c r="BA2017">
        <f>SUM(Pre[[#This Row],[1]:[46]])</f>
        <v>0</v>
      </c>
    </row>
    <row r="2018" spans="1:53" x14ac:dyDescent="0.2">
      <c r="A2018" t="s">
        <v>22</v>
      </c>
      <c r="B2018" t="s">
        <v>54</v>
      </c>
      <c r="C2018">
        <v>18686</v>
      </c>
      <c r="D2018" t="s">
        <v>22</v>
      </c>
      <c r="E2018" t="s">
        <v>10</v>
      </c>
      <c r="F2018" t="s">
        <v>11</v>
      </c>
      <c r="BA2018">
        <f>SUM(Pre[[#This Row],[1]:[46]])</f>
        <v>0</v>
      </c>
    </row>
    <row r="2019" spans="1:53" x14ac:dyDescent="0.2">
      <c r="A2019" t="s">
        <v>22</v>
      </c>
      <c r="B2019" t="s">
        <v>54</v>
      </c>
      <c r="C2019">
        <v>21165</v>
      </c>
      <c r="D2019" t="s">
        <v>22</v>
      </c>
      <c r="E2019" t="s">
        <v>14</v>
      </c>
      <c r="F2019" t="s">
        <v>35</v>
      </c>
      <c r="V2019">
        <v>1</v>
      </c>
      <c r="BA2019">
        <f>SUM(Pre[[#This Row],[1]:[46]])</f>
        <v>1</v>
      </c>
    </row>
    <row r="2020" spans="1:53" x14ac:dyDescent="0.2">
      <c r="A2020" t="s">
        <v>22</v>
      </c>
      <c r="B2020" t="s">
        <v>54</v>
      </c>
      <c r="C2020">
        <v>25326</v>
      </c>
      <c r="D2020" t="s">
        <v>22</v>
      </c>
      <c r="E2020" t="s">
        <v>14</v>
      </c>
      <c r="F2020" t="s">
        <v>20</v>
      </c>
      <c r="N2020">
        <v>1</v>
      </c>
      <c r="BA2020">
        <f>SUM(Pre[[#This Row],[1]:[46]])</f>
        <v>1</v>
      </c>
    </row>
    <row r="2021" spans="1:53" x14ac:dyDescent="0.2">
      <c r="A2021" t="s">
        <v>22</v>
      </c>
      <c r="B2021" t="s">
        <v>54</v>
      </c>
      <c r="C2021">
        <v>27561</v>
      </c>
      <c r="D2021" t="s">
        <v>22</v>
      </c>
      <c r="E2021" t="s">
        <v>37</v>
      </c>
      <c r="F2021" t="s">
        <v>38</v>
      </c>
      <c r="K2021">
        <v>1</v>
      </c>
      <c r="L2021">
        <v>4</v>
      </c>
      <c r="R2021">
        <v>1</v>
      </c>
      <c r="X2021">
        <v>1</v>
      </c>
      <c r="AB2021">
        <v>2</v>
      </c>
      <c r="AN2021">
        <v>1</v>
      </c>
      <c r="AZ2021">
        <v>1</v>
      </c>
      <c r="BA2021">
        <f>SUM(Pre[[#This Row],[1]:[46]])</f>
        <v>11</v>
      </c>
    </row>
    <row r="2022" spans="1:53" x14ac:dyDescent="0.2">
      <c r="A2022" t="s">
        <v>22</v>
      </c>
      <c r="B2022" t="s">
        <v>54</v>
      </c>
      <c r="C2022">
        <v>29647</v>
      </c>
      <c r="D2022" t="s">
        <v>22</v>
      </c>
      <c r="E2022" t="s">
        <v>8</v>
      </c>
      <c r="F2022" t="s">
        <v>9</v>
      </c>
      <c r="H2022">
        <v>1</v>
      </c>
      <c r="W2022">
        <v>1</v>
      </c>
      <c r="AX2022">
        <v>1</v>
      </c>
      <c r="BA2022">
        <f>SUM(Pre[[#This Row],[1]:[46]])</f>
        <v>3</v>
      </c>
    </row>
    <row r="2023" spans="1:53" x14ac:dyDescent="0.2">
      <c r="A2023" t="s">
        <v>22</v>
      </c>
      <c r="B2023" t="s">
        <v>54</v>
      </c>
      <c r="C2023">
        <v>342</v>
      </c>
      <c r="D2023" t="s">
        <v>7</v>
      </c>
      <c r="E2023" t="s">
        <v>14</v>
      </c>
      <c r="F2023" t="s">
        <v>20</v>
      </c>
      <c r="L2023">
        <v>2</v>
      </c>
      <c r="Q2023">
        <v>1</v>
      </c>
      <c r="V2023">
        <v>1</v>
      </c>
      <c r="Z2023">
        <v>1</v>
      </c>
      <c r="AD2023">
        <v>1</v>
      </c>
      <c r="AQ2023">
        <v>1</v>
      </c>
      <c r="BA2023">
        <f>SUM(Pre[[#This Row],[1]:[46]])</f>
        <v>7</v>
      </c>
    </row>
    <row r="2024" spans="1:53" x14ac:dyDescent="0.2">
      <c r="A2024" t="s">
        <v>22</v>
      </c>
      <c r="B2024" t="s">
        <v>54</v>
      </c>
      <c r="C2024">
        <v>397</v>
      </c>
      <c r="D2024" t="s">
        <v>7</v>
      </c>
      <c r="E2024" t="s">
        <v>12</v>
      </c>
      <c r="F2024" t="s">
        <v>13</v>
      </c>
      <c r="AI2024">
        <v>1</v>
      </c>
      <c r="BA2024">
        <f>SUM(Pre[[#This Row],[1]:[46]])</f>
        <v>1</v>
      </c>
    </row>
    <row r="2025" spans="1:53" x14ac:dyDescent="0.2">
      <c r="A2025" t="s">
        <v>22</v>
      </c>
      <c r="B2025" t="s">
        <v>54</v>
      </c>
      <c r="C2025">
        <v>573</v>
      </c>
      <c r="D2025" t="s">
        <v>7</v>
      </c>
      <c r="E2025" t="s">
        <v>8</v>
      </c>
      <c r="F2025" t="s">
        <v>23</v>
      </c>
      <c r="G2025">
        <v>1</v>
      </c>
      <c r="S2025">
        <v>1</v>
      </c>
      <c r="AH2025">
        <v>1</v>
      </c>
      <c r="AS2025">
        <v>2</v>
      </c>
      <c r="BA2025">
        <f>SUM(Pre[[#This Row],[1]:[46]])</f>
        <v>5</v>
      </c>
    </row>
    <row r="2026" spans="1:53" x14ac:dyDescent="0.2">
      <c r="A2026" t="s">
        <v>22</v>
      </c>
      <c r="B2026" t="s">
        <v>54</v>
      </c>
      <c r="C2026">
        <v>573</v>
      </c>
      <c r="D2026" t="s">
        <v>7</v>
      </c>
      <c r="E2026" t="s">
        <v>14</v>
      </c>
      <c r="F2026" t="s">
        <v>20</v>
      </c>
      <c r="R2026">
        <v>1</v>
      </c>
      <c r="AD2026">
        <v>1</v>
      </c>
      <c r="AR2026">
        <v>1</v>
      </c>
      <c r="BA2026">
        <f>SUM(Pre[[#This Row],[1]:[46]])</f>
        <v>3</v>
      </c>
    </row>
    <row r="2027" spans="1:53" x14ac:dyDescent="0.2">
      <c r="A2027" t="s">
        <v>22</v>
      </c>
      <c r="B2027" t="s">
        <v>54</v>
      </c>
      <c r="C2027">
        <v>667</v>
      </c>
      <c r="D2027" t="s">
        <v>7</v>
      </c>
      <c r="E2027" t="s">
        <v>8</v>
      </c>
      <c r="F2027" t="s">
        <v>9</v>
      </c>
      <c r="Q2027">
        <v>1</v>
      </c>
      <c r="Z2027">
        <v>2</v>
      </c>
      <c r="AD2027">
        <v>1</v>
      </c>
      <c r="AR2027">
        <v>1</v>
      </c>
      <c r="BA2027">
        <f>SUM(Pre[[#This Row],[1]:[46]])</f>
        <v>5</v>
      </c>
    </row>
    <row r="2028" spans="1:53" x14ac:dyDescent="0.2">
      <c r="A2028" t="s">
        <v>22</v>
      </c>
      <c r="B2028" t="s">
        <v>54</v>
      </c>
      <c r="C2028">
        <v>667</v>
      </c>
      <c r="D2028" t="s">
        <v>7</v>
      </c>
      <c r="E2028" t="s">
        <v>8</v>
      </c>
      <c r="F2028" t="s">
        <v>29</v>
      </c>
      <c r="BA2028">
        <f>SUM(Pre[[#This Row],[1]:[46]])</f>
        <v>0</v>
      </c>
    </row>
    <row r="2029" spans="1:53" x14ac:dyDescent="0.2">
      <c r="A2029" t="s">
        <v>22</v>
      </c>
      <c r="B2029" t="s">
        <v>54</v>
      </c>
      <c r="C2029">
        <v>667</v>
      </c>
      <c r="D2029" t="s">
        <v>7</v>
      </c>
      <c r="E2029" t="s">
        <v>14</v>
      </c>
      <c r="F2029" t="s">
        <v>35</v>
      </c>
      <c r="X2029">
        <v>1</v>
      </c>
      <c r="AB2029">
        <v>1</v>
      </c>
      <c r="AH2029">
        <v>1</v>
      </c>
      <c r="AU2029">
        <v>1</v>
      </c>
      <c r="BA2029">
        <f>SUM(Pre[[#This Row],[1]:[46]])</f>
        <v>4</v>
      </c>
    </row>
    <row r="2030" spans="1:53" x14ac:dyDescent="0.2">
      <c r="A2030" t="s">
        <v>22</v>
      </c>
      <c r="B2030" t="s">
        <v>54</v>
      </c>
      <c r="C2030">
        <v>1936</v>
      </c>
      <c r="D2030" t="s">
        <v>7</v>
      </c>
      <c r="E2030" t="s">
        <v>14</v>
      </c>
      <c r="F2030" t="s">
        <v>35</v>
      </c>
      <c r="H2030">
        <v>1</v>
      </c>
      <c r="U2030">
        <v>1</v>
      </c>
      <c r="AH2030">
        <v>1</v>
      </c>
      <c r="AT2030">
        <v>1</v>
      </c>
      <c r="BA2030">
        <f>SUM(Pre[[#This Row],[1]:[46]])</f>
        <v>4</v>
      </c>
    </row>
    <row r="2031" spans="1:53" x14ac:dyDescent="0.2">
      <c r="A2031" t="s">
        <v>22</v>
      </c>
      <c r="B2031" t="s">
        <v>54</v>
      </c>
      <c r="C2031">
        <v>2814</v>
      </c>
      <c r="D2031" t="s">
        <v>7</v>
      </c>
      <c r="E2031" t="s">
        <v>14</v>
      </c>
      <c r="F2031" t="s">
        <v>35</v>
      </c>
      <c r="S2031">
        <v>1</v>
      </c>
      <c r="BA2031">
        <f>SUM(Pre[[#This Row],[1]:[46]])</f>
        <v>1</v>
      </c>
    </row>
    <row r="2032" spans="1:53" x14ac:dyDescent="0.2">
      <c r="A2032" t="s">
        <v>22</v>
      </c>
      <c r="B2032" t="s">
        <v>54</v>
      </c>
      <c r="C2032">
        <v>2884</v>
      </c>
      <c r="D2032" t="s">
        <v>7</v>
      </c>
      <c r="E2032" t="s">
        <v>14</v>
      </c>
      <c r="F2032" t="s">
        <v>35</v>
      </c>
      <c r="K2032">
        <v>3</v>
      </c>
      <c r="BA2032">
        <f>SUM(Pre[[#This Row],[1]:[46]])</f>
        <v>3</v>
      </c>
    </row>
    <row r="2033" spans="1:53" x14ac:dyDescent="0.2">
      <c r="A2033" t="s">
        <v>22</v>
      </c>
      <c r="B2033" t="s">
        <v>54</v>
      </c>
      <c r="C2033">
        <v>3282</v>
      </c>
      <c r="D2033" t="s">
        <v>7</v>
      </c>
      <c r="E2033" t="s">
        <v>14</v>
      </c>
      <c r="F2033" t="s">
        <v>35</v>
      </c>
      <c r="BA2033">
        <f>SUM(Pre[[#This Row],[1]:[46]])</f>
        <v>0</v>
      </c>
    </row>
    <row r="2034" spans="1:53" x14ac:dyDescent="0.2">
      <c r="A2034" t="s">
        <v>22</v>
      </c>
      <c r="B2034" t="s">
        <v>54</v>
      </c>
      <c r="C2034">
        <v>3384</v>
      </c>
      <c r="D2034" t="s">
        <v>7</v>
      </c>
      <c r="E2034" t="s">
        <v>8</v>
      </c>
      <c r="F2034" t="s">
        <v>29</v>
      </c>
      <c r="G2034">
        <v>1</v>
      </c>
      <c r="S2034">
        <v>1</v>
      </c>
      <c r="AB2034">
        <v>1</v>
      </c>
      <c r="AE2034">
        <v>1</v>
      </c>
      <c r="AT2034">
        <v>1</v>
      </c>
      <c r="BA2034">
        <f>SUM(Pre[[#This Row],[1]:[46]])</f>
        <v>5</v>
      </c>
    </row>
    <row r="2035" spans="1:53" x14ac:dyDescent="0.2">
      <c r="A2035" t="s">
        <v>22</v>
      </c>
      <c r="B2035" t="s">
        <v>54</v>
      </c>
      <c r="C2035">
        <v>3690</v>
      </c>
      <c r="D2035" t="s">
        <v>7</v>
      </c>
      <c r="E2035" t="s">
        <v>8</v>
      </c>
      <c r="F2035" t="s">
        <v>29</v>
      </c>
      <c r="G2035">
        <v>1</v>
      </c>
      <c r="L2035">
        <v>1</v>
      </c>
      <c r="N2035">
        <v>1</v>
      </c>
      <c r="Q2035">
        <v>1</v>
      </c>
      <c r="R2035">
        <v>1</v>
      </c>
      <c r="T2035">
        <v>1</v>
      </c>
      <c r="X2035">
        <v>1</v>
      </c>
      <c r="Z2035">
        <v>1</v>
      </c>
      <c r="AB2035">
        <v>1</v>
      </c>
      <c r="AD2035">
        <v>1</v>
      </c>
      <c r="AF2035">
        <v>1</v>
      </c>
      <c r="AI2035">
        <v>1</v>
      </c>
      <c r="AM2035">
        <v>1</v>
      </c>
      <c r="AN2035">
        <v>1</v>
      </c>
      <c r="AO2035">
        <v>1</v>
      </c>
      <c r="AQ2035">
        <v>1</v>
      </c>
      <c r="AS2035">
        <v>1</v>
      </c>
      <c r="AT2035">
        <v>1</v>
      </c>
      <c r="AX2035">
        <v>1</v>
      </c>
      <c r="AY2035">
        <v>1</v>
      </c>
      <c r="AZ2035">
        <v>1</v>
      </c>
      <c r="BA2035">
        <f>SUM(Pre[[#This Row],[1]:[46]])</f>
        <v>21</v>
      </c>
    </row>
    <row r="2036" spans="1:53" x14ac:dyDescent="0.2">
      <c r="A2036" t="s">
        <v>22</v>
      </c>
      <c r="B2036" t="s">
        <v>54</v>
      </c>
      <c r="C2036">
        <v>3874</v>
      </c>
      <c r="D2036" t="s">
        <v>7</v>
      </c>
      <c r="E2036" t="s">
        <v>14</v>
      </c>
      <c r="F2036" t="s">
        <v>20</v>
      </c>
      <c r="T2036">
        <v>1</v>
      </c>
      <c r="AH2036">
        <v>1</v>
      </c>
      <c r="AT2036">
        <v>2</v>
      </c>
      <c r="BA2036">
        <f>SUM(Pre[[#This Row],[1]:[46]])</f>
        <v>4</v>
      </c>
    </row>
    <row r="2037" spans="1:53" x14ac:dyDescent="0.2">
      <c r="A2037" t="s">
        <v>22</v>
      </c>
      <c r="B2037" t="s">
        <v>54</v>
      </c>
      <c r="C2037">
        <v>3969</v>
      </c>
      <c r="D2037" t="s">
        <v>7</v>
      </c>
      <c r="E2037" t="s">
        <v>8</v>
      </c>
      <c r="F2037" t="s">
        <v>9</v>
      </c>
      <c r="T2037">
        <v>1</v>
      </c>
      <c r="AH2037">
        <v>1</v>
      </c>
      <c r="AU2037">
        <v>1</v>
      </c>
      <c r="BA2037">
        <f>SUM(Pre[[#This Row],[1]:[46]])</f>
        <v>3</v>
      </c>
    </row>
    <row r="2038" spans="1:53" x14ac:dyDescent="0.2">
      <c r="A2038" t="s">
        <v>22</v>
      </c>
      <c r="B2038" t="s">
        <v>54</v>
      </c>
      <c r="C2038">
        <v>5749</v>
      </c>
      <c r="D2038" t="s">
        <v>7</v>
      </c>
      <c r="E2038" t="s">
        <v>8</v>
      </c>
      <c r="F2038" t="s">
        <v>9</v>
      </c>
      <c r="J2038">
        <v>1</v>
      </c>
      <c r="X2038">
        <v>1</v>
      </c>
      <c r="AJ2038">
        <v>1</v>
      </c>
      <c r="AX2038">
        <v>1</v>
      </c>
      <c r="BA2038">
        <f>SUM(Pre[[#This Row],[1]:[46]])</f>
        <v>4</v>
      </c>
    </row>
    <row r="2039" spans="1:53" x14ac:dyDescent="0.2">
      <c r="A2039" t="s">
        <v>22</v>
      </c>
      <c r="B2039" t="s">
        <v>54</v>
      </c>
      <c r="C2039">
        <v>5749</v>
      </c>
      <c r="D2039" t="s">
        <v>7</v>
      </c>
      <c r="E2039" t="s">
        <v>14</v>
      </c>
      <c r="F2039" t="s">
        <v>35</v>
      </c>
      <c r="J2039">
        <v>1</v>
      </c>
      <c r="X2039">
        <v>1</v>
      </c>
      <c r="AJ2039">
        <v>1</v>
      </c>
      <c r="AX2039">
        <v>1</v>
      </c>
      <c r="BA2039">
        <f>SUM(Pre[[#This Row],[1]:[46]])</f>
        <v>4</v>
      </c>
    </row>
    <row r="2040" spans="1:53" x14ac:dyDescent="0.2">
      <c r="A2040" t="s">
        <v>22</v>
      </c>
      <c r="B2040" t="s">
        <v>54</v>
      </c>
      <c r="C2040">
        <v>6436</v>
      </c>
      <c r="D2040" t="s">
        <v>7</v>
      </c>
      <c r="E2040" t="s">
        <v>14</v>
      </c>
      <c r="F2040" t="s">
        <v>20</v>
      </c>
      <c r="U2040">
        <v>1</v>
      </c>
      <c r="AV2040">
        <v>1</v>
      </c>
      <c r="BA2040">
        <f>SUM(Pre[[#This Row],[1]:[46]])</f>
        <v>2</v>
      </c>
    </row>
    <row r="2041" spans="1:53" x14ac:dyDescent="0.2">
      <c r="A2041" t="s">
        <v>22</v>
      </c>
      <c r="B2041" t="s">
        <v>54</v>
      </c>
      <c r="C2041">
        <v>6723</v>
      </c>
      <c r="D2041" t="s">
        <v>7</v>
      </c>
      <c r="E2041" t="s">
        <v>8</v>
      </c>
      <c r="F2041" t="s">
        <v>9</v>
      </c>
      <c r="BA2041">
        <f>SUM(Pre[[#This Row],[1]:[46]])</f>
        <v>0</v>
      </c>
    </row>
    <row r="2042" spans="1:53" x14ac:dyDescent="0.2">
      <c r="A2042" t="s">
        <v>22</v>
      </c>
      <c r="B2042" t="s">
        <v>54</v>
      </c>
      <c r="C2042">
        <v>6723</v>
      </c>
      <c r="D2042" t="s">
        <v>7</v>
      </c>
      <c r="E2042" t="s">
        <v>14</v>
      </c>
      <c r="F2042" t="s">
        <v>35</v>
      </c>
      <c r="BA2042">
        <f>SUM(Pre[[#This Row],[1]:[46]])</f>
        <v>0</v>
      </c>
    </row>
    <row r="2043" spans="1:53" x14ac:dyDescent="0.2">
      <c r="A2043" t="s">
        <v>22</v>
      </c>
      <c r="B2043" t="s">
        <v>54</v>
      </c>
      <c r="C2043">
        <v>6838</v>
      </c>
      <c r="D2043" t="s">
        <v>7</v>
      </c>
      <c r="E2043" t="s">
        <v>8</v>
      </c>
      <c r="F2043" t="s">
        <v>9</v>
      </c>
      <c r="J2043">
        <v>1</v>
      </c>
      <c r="U2043">
        <v>1</v>
      </c>
      <c r="AI2043">
        <v>1</v>
      </c>
      <c r="AV2043">
        <v>1</v>
      </c>
      <c r="BA2043">
        <f>SUM(Pre[[#This Row],[1]:[46]])</f>
        <v>4</v>
      </c>
    </row>
    <row r="2044" spans="1:53" x14ac:dyDescent="0.2">
      <c r="A2044" t="s">
        <v>22</v>
      </c>
      <c r="B2044" t="s">
        <v>54</v>
      </c>
      <c r="C2044">
        <v>6838</v>
      </c>
      <c r="D2044" t="s">
        <v>7</v>
      </c>
      <c r="E2044" t="s">
        <v>14</v>
      </c>
      <c r="F2044" t="s">
        <v>35</v>
      </c>
      <c r="AY2044">
        <v>1</v>
      </c>
      <c r="BA2044">
        <f>SUM(Pre[[#This Row],[1]:[46]])</f>
        <v>1</v>
      </c>
    </row>
    <row r="2045" spans="1:53" x14ac:dyDescent="0.2">
      <c r="A2045" t="s">
        <v>22</v>
      </c>
      <c r="B2045" t="s">
        <v>54</v>
      </c>
      <c r="C2045">
        <v>7928</v>
      </c>
      <c r="D2045" t="s">
        <v>7</v>
      </c>
      <c r="E2045" t="s">
        <v>14</v>
      </c>
      <c r="F2045" t="s">
        <v>35</v>
      </c>
      <c r="H2045">
        <v>1</v>
      </c>
      <c r="J2045">
        <v>1</v>
      </c>
      <c r="M2045">
        <v>1</v>
      </c>
      <c r="S2045">
        <v>1</v>
      </c>
      <c r="V2045">
        <v>1</v>
      </c>
      <c r="Y2045">
        <v>1</v>
      </c>
      <c r="AA2045">
        <v>1</v>
      </c>
      <c r="AC2045">
        <v>1</v>
      </c>
      <c r="AE2045">
        <v>1</v>
      </c>
      <c r="AI2045">
        <v>1</v>
      </c>
      <c r="AL2045">
        <v>1</v>
      </c>
      <c r="AO2045">
        <v>1</v>
      </c>
      <c r="AQ2045">
        <v>2</v>
      </c>
      <c r="AS2045">
        <v>1</v>
      </c>
      <c r="AT2045">
        <v>1</v>
      </c>
      <c r="AW2045">
        <v>1</v>
      </c>
      <c r="AY2045">
        <v>1</v>
      </c>
      <c r="AZ2045">
        <v>1</v>
      </c>
      <c r="BA2045">
        <f>SUM(Pre[[#This Row],[1]:[46]])</f>
        <v>19</v>
      </c>
    </row>
    <row r="2046" spans="1:53" x14ac:dyDescent="0.2">
      <c r="A2046" t="s">
        <v>22</v>
      </c>
      <c r="B2046" t="s">
        <v>54</v>
      </c>
      <c r="C2046">
        <v>7947</v>
      </c>
      <c r="D2046" t="s">
        <v>7</v>
      </c>
      <c r="E2046" t="s">
        <v>8</v>
      </c>
      <c r="F2046" t="s">
        <v>9</v>
      </c>
      <c r="X2046">
        <v>1</v>
      </c>
      <c r="AD2046">
        <v>1</v>
      </c>
      <c r="AK2046">
        <v>1</v>
      </c>
      <c r="AY2046">
        <v>1</v>
      </c>
      <c r="BA2046">
        <f>SUM(Pre[[#This Row],[1]:[46]])</f>
        <v>4</v>
      </c>
    </row>
    <row r="2047" spans="1:53" x14ac:dyDescent="0.2">
      <c r="A2047" t="s">
        <v>22</v>
      </c>
      <c r="B2047" t="s">
        <v>54</v>
      </c>
      <c r="C2047">
        <v>8010</v>
      </c>
      <c r="D2047" t="s">
        <v>7</v>
      </c>
      <c r="E2047" t="s">
        <v>8</v>
      </c>
      <c r="F2047" t="s">
        <v>23</v>
      </c>
      <c r="J2047">
        <v>2</v>
      </c>
      <c r="N2047">
        <v>1</v>
      </c>
      <c r="BA2047">
        <f>SUM(Pre[[#This Row],[1]:[46]])</f>
        <v>3</v>
      </c>
    </row>
    <row r="2048" spans="1:53" x14ac:dyDescent="0.2">
      <c r="A2048" t="s">
        <v>22</v>
      </c>
      <c r="B2048" t="s">
        <v>54</v>
      </c>
      <c r="C2048">
        <v>8810</v>
      </c>
      <c r="D2048" t="s">
        <v>7</v>
      </c>
      <c r="E2048" t="s">
        <v>8</v>
      </c>
      <c r="F2048" t="s">
        <v>9</v>
      </c>
      <c r="K2048">
        <v>1</v>
      </c>
      <c r="W2048">
        <v>1</v>
      </c>
      <c r="AJ2048">
        <v>1</v>
      </c>
      <c r="AW2048">
        <v>1</v>
      </c>
      <c r="BA2048">
        <f>SUM(Pre[[#This Row],[1]:[46]])</f>
        <v>4</v>
      </c>
    </row>
    <row r="2049" spans="1:53" x14ac:dyDescent="0.2">
      <c r="A2049" t="s">
        <v>22</v>
      </c>
      <c r="B2049" t="s">
        <v>54</v>
      </c>
      <c r="C2049">
        <v>10127</v>
      </c>
      <c r="D2049" t="s">
        <v>7</v>
      </c>
      <c r="E2049" t="s">
        <v>14</v>
      </c>
      <c r="F2049" t="s">
        <v>21</v>
      </c>
      <c r="BA2049">
        <f>SUM(Pre[[#This Row],[1]:[46]])</f>
        <v>0</v>
      </c>
    </row>
    <row r="2050" spans="1:53" x14ac:dyDescent="0.2">
      <c r="A2050" t="s">
        <v>22</v>
      </c>
      <c r="B2050" t="s">
        <v>54</v>
      </c>
      <c r="C2050">
        <v>10639</v>
      </c>
      <c r="D2050" t="s">
        <v>7</v>
      </c>
      <c r="E2050" t="s">
        <v>14</v>
      </c>
      <c r="F2050" t="s">
        <v>20</v>
      </c>
      <c r="N2050">
        <v>1</v>
      </c>
      <c r="BA2050">
        <f>SUM(Pre[[#This Row],[1]:[46]])</f>
        <v>1</v>
      </c>
    </row>
    <row r="2051" spans="1:53" x14ac:dyDescent="0.2">
      <c r="A2051" t="s">
        <v>22</v>
      </c>
      <c r="B2051" t="s">
        <v>54</v>
      </c>
      <c r="C2051">
        <v>10896</v>
      </c>
      <c r="D2051" t="s">
        <v>7</v>
      </c>
      <c r="E2051" t="s">
        <v>8</v>
      </c>
      <c r="F2051" t="s">
        <v>23</v>
      </c>
      <c r="L2051">
        <v>1</v>
      </c>
      <c r="W2051">
        <v>1</v>
      </c>
      <c r="X2051">
        <v>1</v>
      </c>
      <c r="AK2051">
        <v>1</v>
      </c>
      <c r="AX2051">
        <v>1</v>
      </c>
      <c r="BA2051">
        <f>SUM(Pre[[#This Row],[1]:[46]])</f>
        <v>5</v>
      </c>
    </row>
    <row r="2052" spans="1:53" x14ac:dyDescent="0.2">
      <c r="A2052" t="s">
        <v>22</v>
      </c>
      <c r="B2052" t="s">
        <v>54</v>
      </c>
      <c r="C2052">
        <v>11399</v>
      </c>
      <c r="D2052" t="s">
        <v>7</v>
      </c>
      <c r="E2052" t="s">
        <v>14</v>
      </c>
      <c r="F2052" t="s">
        <v>20</v>
      </c>
      <c r="M2052">
        <v>1</v>
      </c>
      <c r="AB2052">
        <v>1</v>
      </c>
      <c r="AM2052">
        <v>1</v>
      </c>
      <c r="AT2052">
        <v>1</v>
      </c>
      <c r="AW2052">
        <v>1</v>
      </c>
      <c r="BA2052">
        <f>SUM(Pre[[#This Row],[1]:[46]])</f>
        <v>5</v>
      </c>
    </row>
    <row r="2053" spans="1:53" x14ac:dyDescent="0.2">
      <c r="A2053" t="s">
        <v>22</v>
      </c>
      <c r="B2053" t="s">
        <v>54</v>
      </c>
      <c r="C2053">
        <v>11606</v>
      </c>
      <c r="D2053" t="s">
        <v>7</v>
      </c>
      <c r="E2053" t="s">
        <v>8</v>
      </c>
      <c r="F2053" t="s">
        <v>29</v>
      </c>
      <c r="S2053">
        <v>1</v>
      </c>
      <c r="AG2053">
        <v>1</v>
      </c>
      <c r="AV2053">
        <v>1</v>
      </c>
      <c r="BA2053">
        <f>SUM(Pre[[#This Row],[1]:[46]])</f>
        <v>3</v>
      </c>
    </row>
    <row r="2054" spans="1:53" x14ac:dyDescent="0.2">
      <c r="A2054" t="s">
        <v>22</v>
      </c>
      <c r="B2054" t="s">
        <v>54</v>
      </c>
      <c r="C2054">
        <v>11853</v>
      </c>
      <c r="D2054" t="s">
        <v>7</v>
      </c>
      <c r="E2054" t="s">
        <v>14</v>
      </c>
      <c r="F2054" t="s">
        <v>35</v>
      </c>
      <c r="AR2054">
        <v>1</v>
      </c>
      <c r="BA2054">
        <f>SUM(Pre[[#This Row],[1]:[46]])</f>
        <v>1</v>
      </c>
    </row>
    <row r="2055" spans="1:53" x14ac:dyDescent="0.2">
      <c r="A2055" t="s">
        <v>22</v>
      </c>
      <c r="B2055" t="s">
        <v>54</v>
      </c>
      <c r="C2055">
        <v>12082</v>
      </c>
      <c r="D2055" t="s">
        <v>7</v>
      </c>
      <c r="E2055" t="s">
        <v>8</v>
      </c>
      <c r="F2055" t="s">
        <v>9</v>
      </c>
      <c r="K2055">
        <v>1</v>
      </c>
      <c r="X2055">
        <v>1</v>
      </c>
      <c r="AL2055">
        <v>1</v>
      </c>
      <c r="AY2055">
        <v>1</v>
      </c>
      <c r="BA2055">
        <f>SUM(Pre[[#This Row],[1]:[46]])</f>
        <v>4</v>
      </c>
    </row>
    <row r="2056" spans="1:53" x14ac:dyDescent="0.2">
      <c r="A2056" t="s">
        <v>22</v>
      </c>
      <c r="B2056" t="s">
        <v>54</v>
      </c>
      <c r="C2056">
        <v>12131</v>
      </c>
      <c r="D2056" t="s">
        <v>7</v>
      </c>
      <c r="E2056" t="s">
        <v>14</v>
      </c>
      <c r="F2056" t="s">
        <v>35</v>
      </c>
      <c r="J2056">
        <v>1</v>
      </c>
      <c r="R2056">
        <v>1</v>
      </c>
      <c r="AA2056">
        <v>1</v>
      </c>
      <c r="BA2056">
        <f>SUM(Pre[[#This Row],[1]:[46]])</f>
        <v>3</v>
      </c>
    </row>
    <row r="2057" spans="1:53" x14ac:dyDescent="0.2">
      <c r="A2057" t="s">
        <v>22</v>
      </c>
      <c r="B2057" t="s">
        <v>54</v>
      </c>
      <c r="C2057">
        <v>12469</v>
      </c>
      <c r="D2057" t="s">
        <v>7</v>
      </c>
      <c r="E2057" t="s">
        <v>8</v>
      </c>
      <c r="F2057" t="s">
        <v>9</v>
      </c>
      <c r="S2057">
        <v>2</v>
      </c>
      <c r="V2057">
        <v>1</v>
      </c>
      <c r="AC2057">
        <v>1</v>
      </c>
      <c r="AG2057">
        <v>1</v>
      </c>
      <c r="AL2057">
        <v>1</v>
      </c>
      <c r="AQ2057">
        <v>1</v>
      </c>
      <c r="AU2057">
        <v>1</v>
      </c>
      <c r="BA2057">
        <f>SUM(Pre[[#This Row],[1]:[46]])</f>
        <v>8</v>
      </c>
    </row>
    <row r="2058" spans="1:53" x14ac:dyDescent="0.2">
      <c r="A2058" t="s">
        <v>22</v>
      </c>
      <c r="B2058" t="s">
        <v>54</v>
      </c>
      <c r="C2058">
        <v>12469</v>
      </c>
      <c r="D2058" t="s">
        <v>7</v>
      </c>
      <c r="E2058" t="s">
        <v>14</v>
      </c>
      <c r="F2058" t="s">
        <v>20</v>
      </c>
      <c r="I2058">
        <v>2</v>
      </c>
      <c r="P2058">
        <v>1</v>
      </c>
      <c r="AD2058">
        <v>1</v>
      </c>
      <c r="AJ2058">
        <v>1</v>
      </c>
      <c r="AS2058">
        <v>1</v>
      </c>
      <c r="BA2058">
        <f>SUM(Pre[[#This Row],[1]:[46]])</f>
        <v>6</v>
      </c>
    </row>
    <row r="2059" spans="1:53" x14ac:dyDescent="0.2">
      <c r="A2059" t="s">
        <v>22</v>
      </c>
      <c r="B2059" t="s">
        <v>54</v>
      </c>
      <c r="C2059">
        <v>12703</v>
      </c>
      <c r="D2059" t="s">
        <v>7</v>
      </c>
      <c r="E2059" t="s">
        <v>14</v>
      </c>
      <c r="F2059" t="s">
        <v>35</v>
      </c>
      <c r="H2059">
        <v>2</v>
      </c>
      <c r="L2059">
        <v>1</v>
      </c>
      <c r="P2059">
        <v>1</v>
      </c>
      <c r="U2059">
        <v>1</v>
      </c>
      <c r="AB2059">
        <v>1</v>
      </c>
      <c r="AH2059">
        <v>1</v>
      </c>
      <c r="AL2059">
        <v>1</v>
      </c>
      <c r="AQ2059">
        <v>1</v>
      </c>
      <c r="AX2059">
        <v>1</v>
      </c>
      <c r="BA2059">
        <f>SUM(Pre[[#This Row],[1]:[46]])</f>
        <v>10</v>
      </c>
    </row>
    <row r="2060" spans="1:53" x14ac:dyDescent="0.2">
      <c r="A2060" t="s">
        <v>22</v>
      </c>
      <c r="B2060" t="s">
        <v>54</v>
      </c>
      <c r="C2060">
        <v>12913</v>
      </c>
      <c r="D2060" t="s">
        <v>7</v>
      </c>
      <c r="E2060" t="s">
        <v>8</v>
      </c>
      <c r="F2060" t="s">
        <v>23</v>
      </c>
      <c r="R2060">
        <v>1</v>
      </c>
      <c r="AE2060">
        <v>1</v>
      </c>
      <c r="AO2060">
        <v>1</v>
      </c>
      <c r="BA2060">
        <f>SUM(Pre[[#This Row],[1]:[46]])</f>
        <v>3</v>
      </c>
    </row>
    <row r="2061" spans="1:53" x14ac:dyDescent="0.2">
      <c r="A2061" t="s">
        <v>22</v>
      </c>
      <c r="B2061" t="s">
        <v>54</v>
      </c>
      <c r="C2061">
        <v>12913</v>
      </c>
      <c r="D2061" t="s">
        <v>7</v>
      </c>
      <c r="E2061" t="s">
        <v>14</v>
      </c>
      <c r="F2061" t="s">
        <v>20</v>
      </c>
      <c r="R2061">
        <v>1</v>
      </c>
      <c r="AE2061">
        <v>1</v>
      </c>
      <c r="AO2061">
        <v>2</v>
      </c>
      <c r="BA2061">
        <f>SUM(Pre[[#This Row],[1]:[46]])</f>
        <v>4</v>
      </c>
    </row>
    <row r="2062" spans="1:53" x14ac:dyDescent="0.2">
      <c r="A2062" t="s">
        <v>22</v>
      </c>
      <c r="B2062" t="s">
        <v>54</v>
      </c>
      <c r="C2062">
        <v>12979</v>
      </c>
      <c r="D2062" t="s">
        <v>7</v>
      </c>
      <c r="E2062" t="s">
        <v>14</v>
      </c>
      <c r="F2062" t="s">
        <v>15</v>
      </c>
      <c r="N2062">
        <v>1</v>
      </c>
      <c r="BA2062">
        <f>SUM(Pre[[#This Row],[1]:[46]])</f>
        <v>1</v>
      </c>
    </row>
    <row r="2063" spans="1:53" x14ac:dyDescent="0.2">
      <c r="A2063" t="s">
        <v>22</v>
      </c>
      <c r="B2063" t="s">
        <v>54</v>
      </c>
      <c r="C2063">
        <v>14417</v>
      </c>
      <c r="D2063" t="s">
        <v>7</v>
      </c>
      <c r="E2063" t="s">
        <v>8</v>
      </c>
      <c r="F2063" t="s">
        <v>9</v>
      </c>
      <c r="R2063">
        <v>1</v>
      </c>
      <c r="BA2063">
        <f>SUM(Pre[[#This Row],[1]:[46]])</f>
        <v>1</v>
      </c>
    </row>
    <row r="2064" spans="1:53" x14ac:dyDescent="0.2">
      <c r="A2064" t="s">
        <v>22</v>
      </c>
      <c r="B2064" t="s">
        <v>54</v>
      </c>
      <c r="C2064">
        <v>14739</v>
      </c>
      <c r="D2064" t="s">
        <v>7</v>
      </c>
      <c r="E2064" t="s">
        <v>14</v>
      </c>
      <c r="F2064" t="s">
        <v>20</v>
      </c>
      <c r="M2064">
        <v>1</v>
      </c>
      <c r="W2064">
        <v>1</v>
      </c>
      <c r="AM2064">
        <v>2</v>
      </c>
      <c r="AZ2064">
        <v>1</v>
      </c>
      <c r="BA2064">
        <f>SUM(Pre[[#This Row],[1]:[46]])</f>
        <v>5</v>
      </c>
    </row>
    <row r="2065" spans="1:53" x14ac:dyDescent="0.2">
      <c r="A2065" t="s">
        <v>22</v>
      </c>
      <c r="B2065" t="s">
        <v>54</v>
      </c>
      <c r="C2065">
        <v>15015</v>
      </c>
      <c r="D2065" t="s">
        <v>7</v>
      </c>
      <c r="E2065" t="s">
        <v>14</v>
      </c>
      <c r="F2065" t="s">
        <v>35</v>
      </c>
      <c r="Q2065">
        <v>1</v>
      </c>
      <c r="AT2065">
        <v>1</v>
      </c>
      <c r="BA2065">
        <f>SUM(Pre[[#This Row],[1]:[46]])</f>
        <v>2</v>
      </c>
    </row>
    <row r="2066" spans="1:53" x14ac:dyDescent="0.2">
      <c r="A2066" t="s">
        <v>22</v>
      </c>
      <c r="B2066" t="s">
        <v>54</v>
      </c>
      <c r="C2066">
        <v>15403</v>
      </c>
      <c r="D2066" t="s">
        <v>7</v>
      </c>
      <c r="E2066" t="s">
        <v>14</v>
      </c>
      <c r="F2066" t="s">
        <v>19</v>
      </c>
      <c r="BA2066">
        <f>SUM(Pre[[#This Row],[1]:[46]])</f>
        <v>0</v>
      </c>
    </row>
    <row r="2067" spans="1:53" x14ac:dyDescent="0.2">
      <c r="A2067" t="s">
        <v>22</v>
      </c>
      <c r="B2067" t="s">
        <v>54</v>
      </c>
      <c r="C2067">
        <v>17618</v>
      </c>
      <c r="D2067" t="s">
        <v>7</v>
      </c>
      <c r="E2067" t="s">
        <v>14</v>
      </c>
      <c r="F2067" t="s">
        <v>20</v>
      </c>
      <c r="Q2067">
        <v>1</v>
      </c>
      <c r="BA2067">
        <f>SUM(Pre[[#This Row],[1]:[46]])</f>
        <v>1</v>
      </c>
    </row>
    <row r="2068" spans="1:53" x14ac:dyDescent="0.2">
      <c r="A2068" t="s">
        <v>22</v>
      </c>
      <c r="B2068" t="s">
        <v>54</v>
      </c>
      <c r="C2068">
        <v>19347</v>
      </c>
      <c r="D2068" t="s">
        <v>7</v>
      </c>
      <c r="E2068" t="s">
        <v>8</v>
      </c>
      <c r="F2068" t="s">
        <v>23</v>
      </c>
      <c r="T2068">
        <v>1</v>
      </c>
      <c r="AI2068">
        <v>1</v>
      </c>
      <c r="BA2068">
        <f>SUM(Pre[[#This Row],[1]:[46]])</f>
        <v>2</v>
      </c>
    </row>
    <row r="2069" spans="1:53" x14ac:dyDescent="0.2">
      <c r="A2069" t="s">
        <v>22</v>
      </c>
      <c r="B2069" t="s">
        <v>54</v>
      </c>
      <c r="C2069">
        <v>20827</v>
      </c>
      <c r="D2069" t="s">
        <v>7</v>
      </c>
      <c r="E2069" t="s">
        <v>14</v>
      </c>
      <c r="F2069" t="s">
        <v>35</v>
      </c>
      <c r="G2069">
        <v>1</v>
      </c>
      <c r="AV2069">
        <v>1</v>
      </c>
      <c r="BA2069">
        <f>SUM(Pre[[#This Row],[1]:[46]])</f>
        <v>2</v>
      </c>
    </row>
    <row r="2070" spans="1:53" x14ac:dyDescent="0.2">
      <c r="A2070" t="s">
        <v>22</v>
      </c>
      <c r="B2070" t="s">
        <v>54</v>
      </c>
      <c r="C2070">
        <v>20861</v>
      </c>
      <c r="D2070" t="s">
        <v>7</v>
      </c>
      <c r="E2070" t="s">
        <v>8</v>
      </c>
      <c r="F2070" t="s">
        <v>9</v>
      </c>
      <c r="H2070">
        <v>1</v>
      </c>
      <c r="V2070">
        <v>1</v>
      </c>
      <c r="AI2070">
        <v>1</v>
      </c>
      <c r="AV2070">
        <v>1</v>
      </c>
      <c r="BA2070">
        <f>SUM(Pre[[#This Row],[1]:[46]])</f>
        <v>4</v>
      </c>
    </row>
    <row r="2071" spans="1:53" x14ac:dyDescent="0.2">
      <c r="A2071" t="s">
        <v>22</v>
      </c>
      <c r="B2071" t="s">
        <v>54</v>
      </c>
      <c r="C2071">
        <v>21185</v>
      </c>
      <c r="D2071" t="s">
        <v>7</v>
      </c>
      <c r="E2071" t="s">
        <v>14</v>
      </c>
      <c r="F2071" t="s">
        <v>35</v>
      </c>
      <c r="AF2071">
        <v>1</v>
      </c>
      <c r="BA2071">
        <f>SUM(Pre[[#This Row],[1]:[46]])</f>
        <v>1</v>
      </c>
    </row>
    <row r="2072" spans="1:53" x14ac:dyDescent="0.2">
      <c r="A2072" t="s">
        <v>22</v>
      </c>
      <c r="B2072" t="s">
        <v>54</v>
      </c>
      <c r="C2072">
        <v>23380</v>
      </c>
      <c r="D2072" t="s">
        <v>7</v>
      </c>
      <c r="E2072" t="s">
        <v>14</v>
      </c>
      <c r="F2072" t="s">
        <v>35</v>
      </c>
      <c r="V2072">
        <v>1</v>
      </c>
      <c r="AE2072">
        <v>1</v>
      </c>
      <c r="BA2072">
        <f>SUM(Pre[[#This Row],[1]:[46]])</f>
        <v>2</v>
      </c>
    </row>
    <row r="2073" spans="1:53" x14ac:dyDescent="0.2">
      <c r="A2073" t="s">
        <v>22</v>
      </c>
      <c r="B2073" t="s">
        <v>54</v>
      </c>
      <c r="C2073">
        <v>23631</v>
      </c>
      <c r="D2073" t="s">
        <v>7</v>
      </c>
      <c r="E2073" t="s">
        <v>14</v>
      </c>
      <c r="F2073" t="s">
        <v>20</v>
      </c>
      <c r="R2073">
        <v>1</v>
      </c>
      <c r="BA2073">
        <f>SUM(Pre[[#This Row],[1]:[46]])</f>
        <v>1</v>
      </c>
    </row>
    <row r="2074" spans="1:53" x14ac:dyDescent="0.2">
      <c r="A2074" t="s">
        <v>22</v>
      </c>
      <c r="B2074" t="s">
        <v>54</v>
      </c>
      <c r="C2074">
        <v>24592</v>
      </c>
      <c r="D2074" t="s">
        <v>7</v>
      </c>
      <c r="E2074" t="s">
        <v>10</v>
      </c>
      <c r="F2074" t="s">
        <v>11</v>
      </c>
      <c r="Z2074">
        <v>1</v>
      </c>
      <c r="BA2074">
        <f>SUM(Pre[[#This Row],[1]:[46]])</f>
        <v>1</v>
      </c>
    </row>
    <row r="2075" spans="1:53" x14ac:dyDescent="0.2">
      <c r="A2075" t="s">
        <v>22</v>
      </c>
      <c r="B2075" t="s">
        <v>54</v>
      </c>
      <c r="C2075">
        <v>30203</v>
      </c>
      <c r="D2075" t="s">
        <v>7</v>
      </c>
      <c r="E2075" t="s">
        <v>14</v>
      </c>
      <c r="F2075" t="s">
        <v>35</v>
      </c>
      <c r="H2075">
        <v>1</v>
      </c>
      <c r="P2075">
        <v>1</v>
      </c>
      <c r="BA2075">
        <f>SUM(Pre[[#This Row],[1]:[46]])</f>
        <v>2</v>
      </c>
    </row>
    <row r="2076" spans="1:53" x14ac:dyDescent="0.2">
      <c r="A2076" t="s">
        <v>22</v>
      </c>
      <c r="B2076" t="s">
        <v>54</v>
      </c>
      <c r="C2076">
        <v>30638</v>
      </c>
      <c r="D2076" t="s">
        <v>7</v>
      </c>
      <c r="E2076" t="s">
        <v>14</v>
      </c>
      <c r="F2076" t="s">
        <v>35</v>
      </c>
      <c r="BA2076">
        <f>SUM(Pre[[#This Row],[1]:[46]])</f>
        <v>0</v>
      </c>
    </row>
    <row r="2077" spans="1:53" x14ac:dyDescent="0.2">
      <c r="A2077" t="s">
        <v>22</v>
      </c>
      <c r="B2077" t="s">
        <v>54</v>
      </c>
      <c r="C2077">
        <v>485</v>
      </c>
      <c r="D2077" t="s">
        <v>22</v>
      </c>
      <c r="E2077" t="s">
        <v>8</v>
      </c>
      <c r="F2077" t="s">
        <v>9</v>
      </c>
      <c r="O2077">
        <v>1</v>
      </c>
      <c r="AM2077">
        <v>2</v>
      </c>
      <c r="AZ2077">
        <v>1</v>
      </c>
      <c r="BA2077">
        <f>SUM(Pre[[#This Row],[1]:[46]])</f>
        <v>4</v>
      </c>
    </row>
    <row r="2078" spans="1:53" x14ac:dyDescent="0.2">
      <c r="A2078" t="s">
        <v>22</v>
      </c>
      <c r="B2078" t="s">
        <v>54</v>
      </c>
      <c r="C2078">
        <v>485</v>
      </c>
      <c r="D2078" t="s">
        <v>22</v>
      </c>
      <c r="E2078" t="s">
        <v>14</v>
      </c>
      <c r="F2078" t="s">
        <v>20</v>
      </c>
      <c r="BA2078">
        <f>SUM(Pre[[#This Row],[1]:[46]])</f>
        <v>0</v>
      </c>
    </row>
    <row r="2079" spans="1:53" x14ac:dyDescent="0.2">
      <c r="A2079" t="s">
        <v>22</v>
      </c>
      <c r="B2079" t="s">
        <v>54</v>
      </c>
      <c r="C2079">
        <v>1227</v>
      </c>
      <c r="D2079" t="s">
        <v>22</v>
      </c>
      <c r="E2079" t="s">
        <v>14</v>
      </c>
      <c r="F2079" t="s">
        <v>19</v>
      </c>
      <c r="BA2079">
        <f>SUM(Pre[[#This Row],[1]:[46]])</f>
        <v>0</v>
      </c>
    </row>
    <row r="2080" spans="1:53" x14ac:dyDescent="0.2">
      <c r="A2080" t="s">
        <v>22</v>
      </c>
      <c r="B2080" t="s">
        <v>54</v>
      </c>
      <c r="C2080">
        <v>1399</v>
      </c>
      <c r="D2080" t="s">
        <v>22</v>
      </c>
      <c r="E2080" t="s">
        <v>14</v>
      </c>
      <c r="F2080" t="s">
        <v>31</v>
      </c>
      <c r="T2080">
        <v>1</v>
      </c>
      <c r="AK2080">
        <v>1</v>
      </c>
      <c r="AL2080">
        <v>1</v>
      </c>
      <c r="AW2080">
        <v>1</v>
      </c>
      <c r="BA2080">
        <f>SUM(Pre[[#This Row],[1]:[46]])</f>
        <v>4</v>
      </c>
    </row>
    <row r="2081" spans="1:53" x14ac:dyDescent="0.2">
      <c r="A2081" t="s">
        <v>22</v>
      </c>
      <c r="B2081" t="s">
        <v>54</v>
      </c>
      <c r="C2081">
        <v>1679</v>
      </c>
      <c r="D2081" t="s">
        <v>22</v>
      </c>
      <c r="E2081" t="s">
        <v>14</v>
      </c>
      <c r="F2081" t="s">
        <v>19</v>
      </c>
      <c r="BA2081">
        <f>SUM(Pre[[#This Row],[1]:[46]])</f>
        <v>0</v>
      </c>
    </row>
    <row r="2082" spans="1:53" x14ac:dyDescent="0.2">
      <c r="A2082" t="s">
        <v>22</v>
      </c>
      <c r="B2082" t="s">
        <v>54</v>
      </c>
      <c r="C2082">
        <v>1976</v>
      </c>
      <c r="D2082" t="s">
        <v>22</v>
      </c>
      <c r="E2082" t="s">
        <v>14</v>
      </c>
      <c r="F2082" t="s">
        <v>35</v>
      </c>
      <c r="AJ2082">
        <v>1</v>
      </c>
      <c r="AN2082">
        <v>1</v>
      </c>
      <c r="AS2082">
        <v>1</v>
      </c>
      <c r="AX2082">
        <v>1</v>
      </c>
      <c r="BA2082">
        <f>SUM(Pre[[#This Row],[1]:[46]])</f>
        <v>4</v>
      </c>
    </row>
    <row r="2083" spans="1:53" x14ac:dyDescent="0.2">
      <c r="A2083" t="s">
        <v>22</v>
      </c>
      <c r="B2083" t="s">
        <v>54</v>
      </c>
      <c r="C2083">
        <v>1976</v>
      </c>
      <c r="D2083" t="s">
        <v>22</v>
      </c>
      <c r="E2083" t="s">
        <v>14</v>
      </c>
      <c r="F2083" t="s">
        <v>21</v>
      </c>
      <c r="Z2083">
        <v>2</v>
      </c>
      <c r="BA2083">
        <f>SUM(Pre[[#This Row],[1]:[46]])</f>
        <v>2</v>
      </c>
    </row>
    <row r="2084" spans="1:53" x14ac:dyDescent="0.2">
      <c r="A2084" t="s">
        <v>22</v>
      </c>
      <c r="B2084" t="s">
        <v>54</v>
      </c>
      <c r="C2084">
        <v>1976</v>
      </c>
      <c r="D2084" t="s">
        <v>22</v>
      </c>
      <c r="E2084" t="s">
        <v>14</v>
      </c>
      <c r="F2084" t="s">
        <v>20</v>
      </c>
      <c r="N2084">
        <v>1</v>
      </c>
      <c r="BA2084">
        <f>SUM(Pre[[#This Row],[1]:[46]])</f>
        <v>1</v>
      </c>
    </row>
    <row r="2085" spans="1:53" x14ac:dyDescent="0.2">
      <c r="A2085" t="s">
        <v>22</v>
      </c>
      <c r="B2085" t="s">
        <v>54</v>
      </c>
      <c r="C2085">
        <v>2051</v>
      </c>
      <c r="D2085" t="s">
        <v>22</v>
      </c>
      <c r="E2085" t="s">
        <v>14</v>
      </c>
      <c r="F2085" t="s">
        <v>20</v>
      </c>
      <c r="S2085">
        <v>1</v>
      </c>
      <c r="AZ2085">
        <v>1</v>
      </c>
      <c r="BA2085">
        <f>SUM(Pre[[#This Row],[1]:[46]])</f>
        <v>2</v>
      </c>
    </row>
    <row r="2086" spans="1:53" x14ac:dyDescent="0.2">
      <c r="A2086" t="s">
        <v>22</v>
      </c>
      <c r="B2086" t="s">
        <v>54</v>
      </c>
      <c r="C2086">
        <v>2389</v>
      </c>
      <c r="D2086" t="s">
        <v>22</v>
      </c>
      <c r="E2086" t="s">
        <v>8</v>
      </c>
      <c r="F2086" t="s">
        <v>9</v>
      </c>
      <c r="H2086">
        <v>1</v>
      </c>
      <c r="M2086">
        <v>1</v>
      </c>
      <c r="X2086">
        <v>2</v>
      </c>
      <c r="AP2086">
        <v>2</v>
      </c>
      <c r="AR2086">
        <v>1</v>
      </c>
      <c r="BA2086">
        <f>SUM(Pre[[#This Row],[1]:[46]])</f>
        <v>7</v>
      </c>
    </row>
    <row r="2087" spans="1:53" x14ac:dyDescent="0.2">
      <c r="A2087" t="s">
        <v>22</v>
      </c>
      <c r="B2087" t="s">
        <v>54</v>
      </c>
      <c r="C2087">
        <v>2389</v>
      </c>
      <c r="D2087" t="s">
        <v>22</v>
      </c>
      <c r="E2087" t="s">
        <v>26</v>
      </c>
      <c r="F2087" t="s">
        <v>27</v>
      </c>
      <c r="H2087">
        <v>1</v>
      </c>
      <c r="M2087">
        <v>1</v>
      </c>
      <c r="X2087">
        <v>2</v>
      </c>
      <c r="AE2087">
        <v>1</v>
      </c>
      <c r="AP2087">
        <v>2</v>
      </c>
      <c r="AR2087">
        <v>1</v>
      </c>
      <c r="BA2087">
        <f>SUM(Pre[[#This Row],[1]:[46]])</f>
        <v>8</v>
      </c>
    </row>
    <row r="2088" spans="1:53" x14ac:dyDescent="0.2">
      <c r="A2088" t="s">
        <v>22</v>
      </c>
      <c r="B2088" t="s">
        <v>54</v>
      </c>
      <c r="C2088">
        <v>2389</v>
      </c>
      <c r="D2088" t="s">
        <v>22</v>
      </c>
      <c r="E2088" t="s">
        <v>14</v>
      </c>
      <c r="F2088" t="s">
        <v>20</v>
      </c>
      <c r="N2088">
        <v>1</v>
      </c>
      <c r="AF2088">
        <v>1</v>
      </c>
      <c r="AQ2088">
        <v>1</v>
      </c>
      <c r="BA2088">
        <f>SUM(Pre[[#This Row],[1]:[46]])</f>
        <v>3</v>
      </c>
    </row>
    <row r="2089" spans="1:53" x14ac:dyDescent="0.2">
      <c r="A2089" t="s">
        <v>22</v>
      </c>
      <c r="B2089" t="s">
        <v>54</v>
      </c>
      <c r="C2089">
        <v>2417</v>
      </c>
      <c r="D2089" t="s">
        <v>22</v>
      </c>
      <c r="E2089" t="s">
        <v>14</v>
      </c>
      <c r="F2089" t="s">
        <v>19</v>
      </c>
      <c r="BA2089">
        <f>SUM(Pre[[#This Row],[1]:[46]])</f>
        <v>0</v>
      </c>
    </row>
    <row r="2090" spans="1:53" x14ac:dyDescent="0.2">
      <c r="A2090" t="s">
        <v>22</v>
      </c>
      <c r="B2090" t="s">
        <v>54</v>
      </c>
      <c r="C2090">
        <v>2775</v>
      </c>
      <c r="D2090" t="s">
        <v>22</v>
      </c>
      <c r="E2090" t="s">
        <v>8</v>
      </c>
      <c r="F2090" t="s">
        <v>29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2</v>
      </c>
      <c r="Q2090">
        <v>1</v>
      </c>
      <c r="R2090">
        <v>1</v>
      </c>
      <c r="S2090">
        <v>2</v>
      </c>
      <c r="U2090">
        <v>2</v>
      </c>
      <c r="V2090">
        <v>1</v>
      </c>
      <c r="W2090">
        <v>1</v>
      </c>
      <c r="Y2090">
        <v>2</v>
      </c>
      <c r="Z2090">
        <v>1</v>
      </c>
      <c r="AB2090">
        <v>2</v>
      </c>
      <c r="AD2090">
        <v>2</v>
      </c>
      <c r="AE2090">
        <v>1</v>
      </c>
      <c r="AG2090">
        <v>2</v>
      </c>
      <c r="AH2090">
        <v>1</v>
      </c>
      <c r="AJ2090">
        <v>1</v>
      </c>
      <c r="AK2090">
        <v>1</v>
      </c>
      <c r="AL2090">
        <v>1</v>
      </c>
      <c r="AM2090">
        <v>2</v>
      </c>
      <c r="AN2090">
        <v>1</v>
      </c>
      <c r="AO2090">
        <v>1</v>
      </c>
      <c r="AQ2090">
        <v>2</v>
      </c>
      <c r="AR2090">
        <v>1</v>
      </c>
      <c r="AS2090">
        <v>1</v>
      </c>
      <c r="AT2090">
        <v>1</v>
      </c>
      <c r="AU2090">
        <v>1</v>
      </c>
      <c r="AV2090">
        <v>1</v>
      </c>
      <c r="BA2090">
        <f>SUM(Pre[[#This Row],[1]:[46]])</f>
        <v>41</v>
      </c>
    </row>
    <row r="2091" spans="1:53" x14ac:dyDescent="0.2">
      <c r="A2091" t="s">
        <v>22</v>
      </c>
      <c r="B2091" t="s">
        <v>54</v>
      </c>
      <c r="C2091">
        <v>2793</v>
      </c>
      <c r="D2091" t="s">
        <v>22</v>
      </c>
      <c r="E2091" t="s">
        <v>14</v>
      </c>
      <c r="F2091" t="s">
        <v>20</v>
      </c>
      <c r="K2091">
        <v>1</v>
      </c>
      <c r="U2091">
        <v>1</v>
      </c>
      <c r="AH2091">
        <v>1</v>
      </c>
      <c r="AS2091">
        <v>1</v>
      </c>
      <c r="BA2091">
        <f>SUM(Pre[[#This Row],[1]:[46]])</f>
        <v>4</v>
      </c>
    </row>
    <row r="2092" spans="1:53" x14ac:dyDescent="0.2">
      <c r="A2092" t="s">
        <v>22</v>
      </c>
      <c r="B2092" t="s">
        <v>54</v>
      </c>
      <c r="C2092">
        <v>3908</v>
      </c>
      <c r="D2092" t="s">
        <v>22</v>
      </c>
      <c r="E2092" t="s">
        <v>14</v>
      </c>
      <c r="F2092" t="s">
        <v>20</v>
      </c>
      <c r="G2092">
        <v>1</v>
      </c>
      <c r="L2092">
        <v>1</v>
      </c>
      <c r="Q2092">
        <v>1</v>
      </c>
      <c r="S2092">
        <v>1</v>
      </c>
      <c r="Y2092">
        <v>1</v>
      </c>
      <c r="AD2092">
        <v>1</v>
      </c>
      <c r="AJ2092">
        <v>1</v>
      </c>
      <c r="AO2092">
        <v>1</v>
      </c>
      <c r="AT2092">
        <v>1</v>
      </c>
      <c r="BA2092">
        <f>SUM(Pre[[#This Row],[1]:[46]])</f>
        <v>9</v>
      </c>
    </row>
    <row r="2093" spans="1:53" x14ac:dyDescent="0.2">
      <c r="A2093" t="s">
        <v>22</v>
      </c>
      <c r="B2093" t="s">
        <v>54</v>
      </c>
      <c r="C2093">
        <v>3980</v>
      </c>
      <c r="D2093" t="s">
        <v>22</v>
      </c>
      <c r="E2093" t="s">
        <v>8</v>
      </c>
      <c r="F2093" t="s">
        <v>9</v>
      </c>
      <c r="G2093">
        <v>3</v>
      </c>
      <c r="H2093">
        <v>2</v>
      </c>
      <c r="AE2093">
        <v>1</v>
      </c>
      <c r="AO2093">
        <v>1</v>
      </c>
      <c r="AX2093">
        <v>1</v>
      </c>
      <c r="BA2093">
        <f>SUM(Pre[[#This Row],[1]:[46]])</f>
        <v>8</v>
      </c>
    </row>
    <row r="2094" spans="1:53" x14ac:dyDescent="0.2">
      <c r="A2094" t="s">
        <v>22</v>
      </c>
      <c r="B2094" t="s">
        <v>54</v>
      </c>
      <c r="C2094">
        <v>4153</v>
      </c>
      <c r="D2094" t="s">
        <v>22</v>
      </c>
      <c r="E2094" t="s">
        <v>8</v>
      </c>
      <c r="F2094" t="s">
        <v>29</v>
      </c>
      <c r="AV2094">
        <v>1</v>
      </c>
      <c r="BA2094">
        <f>SUM(Pre[[#This Row],[1]:[46]])</f>
        <v>1</v>
      </c>
    </row>
    <row r="2095" spans="1:53" x14ac:dyDescent="0.2">
      <c r="A2095" t="s">
        <v>22</v>
      </c>
      <c r="B2095" t="s">
        <v>54</v>
      </c>
      <c r="C2095">
        <v>4308</v>
      </c>
      <c r="D2095" t="s">
        <v>22</v>
      </c>
      <c r="E2095" t="s">
        <v>8</v>
      </c>
      <c r="F2095" t="s">
        <v>29</v>
      </c>
      <c r="G2095">
        <v>1</v>
      </c>
      <c r="Q2095">
        <v>1</v>
      </c>
      <c r="AG2095">
        <v>1</v>
      </c>
      <c r="AU2095">
        <v>1</v>
      </c>
      <c r="BA2095">
        <f>SUM(Pre[[#This Row],[1]:[46]])</f>
        <v>4</v>
      </c>
    </row>
    <row r="2096" spans="1:53" x14ac:dyDescent="0.2">
      <c r="A2096" t="s">
        <v>22</v>
      </c>
      <c r="B2096" t="s">
        <v>54</v>
      </c>
      <c r="C2096">
        <v>4308</v>
      </c>
      <c r="D2096" t="s">
        <v>22</v>
      </c>
      <c r="E2096" t="s">
        <v>26</v>
      </c>
      <c r="F2096" t="s">
        <v>27</v>
      </c>
      <c r="AL2096">
        <v>1</v>
      </c>
      <c r="AX2096">
        <v>1</v>
      </c>
      <c r="BA2096">
        <f>SUM(Pre[[#This Row],[1]:[46]])</f>
        <v>2</v>
      </c>
    </row>
    <row r="2097" spans="1:53" x14ac:dyDescent="0.2">
      <c r="A2097" t="s">
        <v>22</v>
      </c>
      <c r="B2097" t="s">
        <v>54</v>
      </c>
      <c r="C2097">
        <v>5342</v>
      </c>
      <c r="D2097" t="s">
        <v>22</v>
      </c>
      <c r="E2097" t="s">
        <v>10</v>
      </c>
      <c r="F2097" t="s">
        <v>11</v>
      </c>
      <c r="L2097">
        <v>1</v>
      </c>
      <c r="X2097">
        <v>1</v>
      </c>
      <c r="AM2097">
        <v>1</v>
      </c>
      <c r="BA2097">
        <f>SUM(Pre[[#This Row],[1]:[46]])</f>
        <v>3</v>
      </c>
    </row>
    <row r="2098" spans="1:53" x14ac:dyDescent="0.2">
      <c r="A2098" t="s">
        <v>22</v>
      </c>
      <c r="B2098" t="s">
        <v>54</v>
      </c>
      <c r="C2098">
        <v>5342</v>
      </c>
      <c r="D2098" t="s">
        <v>22</v>
      </c>
      <c r="E2098" t="s">
        <v>14</v>
      </c>
      <c r="F2098" t="s">
        <v>19</v>
      </c>
      <c r="BA2098">
        <f>SUM(Pre[[#This Row],[1]:[46]])</f>
        <v>0</v>
      </c>
    </row>
    <row r="2099" spans="1:53" x14ac:dyDescent="0.2">
      <c r="A2099" t="s">
        <v>22</v>
      </c>
      <c r="B2099" t="s">
        <v>54</v>
      </c>
      <c r="C2099">
        <v>5499</v>
      </c>
      <c r="D2099" t="s">
        <v>22</v>
      </c>
      <c r="E2099" t="s">
        <v>8</v>
      </c>
      <c r="F2099" t="s">
        <v>9</v>
      </c>
      <c r="Q2099">
        <v>1</v>
      </c>
      <c r="AD2099">
        <v>1</v>
      </c>
      <c r="BA2099">
        <f>SUM(Pre[[#This Row],[1]:[46]])</f>
        <v>2</v>
      </c>
    </row>
    <row r="2100" spans="1:53" x14ac:dyDescent="0.2">
      <c r="A2100" t="s">
        <v>22</v>
      </c>
      <c r="B2100" t="s">
        <v>54</v>
      </c>
      <c r="C2100">
        <v>5499</v>
      </c>
      <c r="D2100" t="s">
        <v>22</v>
      </c>
      <c r="E2100" t="s">
        <v>14</v>
      </c>
      <c r="F2100" t="s">
        <v>35</v>
      </c>
      <c r="BA2100">
        <f>SUM(Pre[[#This Row],[1]:[46]])</f>
        <v>0</v>
      </c>
    </row>
    <row r="2101" spans="1:53" x14ac:dyDescent="0.2">
      <c r="A2101" t="s">
        <v>22</v>
      </c>
      <c r="B2101" t="s">
        <v>54</v>
      </c>
      <c r="C2101">
        <v>5506</v>
      </c>
      <c r="D2101" t="s">
        <v>22</v>
      </c>
      <c r="E2101" t="s">
        <v>14</v>
      </c>
      <c r="F2101" t="s">
        <v>20</v>
      </c>
      <c r="M2101">
        <v>1</v>
      </c>
      <c r="BA2101">
        <f>SUM(Pre[[#This Row],[1]:[46]])</f>
        <v>1</v>
      </c>
    </row>
    <row r="2102" spans="1:53" x14ac:dyDescent="0.2">
      <c r="A2102" t="s">
        <v>22</v>
      </c>
      <c r="B2102" t="s">
        <v>54</v>
      </c>
      <c r="C2102">
        <v>6435</v>
      </c>
      <c r="D2102" t="s">
        <v>22</v>
      </c>
      <c r="E2102" t="s">
        <v>14</v>
      </c>
      <c r="F2102" t="s">
        <v>20</v>
      </c>
      <c r="S2102">
        <v>1</v>
      </c>
      <c r="AO2102">
        <v>1</v>
      </c>
      <c r="BA2102">
        <f>SUM(Pre[[#This Row],[1]:[46]])</f>
        <v>2</v>
      </c>
    </row>
    <row r="2103" spans="1:53" x14ac:dyDescent="0.2">
      <c r="A2103" t="s">
        <v>22</v>
      </c>
      <c r="B2103" t="s">
        <v>54</v>
      </c>
      <c r="C2103">
        <v>6777</v>
      </c>
      <c r="D2103" t="s">
        <v>22</v>
      </c>
      <c r="E2103" t="s">
        <v>14</v>
      </c>
      <c r="F2103" t="s">
        <v>20</v>
      </c>
      <c r="O2103">
        <v>1</v>
      </c>
      <c r="Y2103">
        <v>1</v>
      </c>
      <c r="AF2103">
        <v>1</v>
      </c>
      <c r="BA2103">
        <f>SUM(Pre[[#This Row],[1]:[46]])</f>
        <v>3</v>
      </c>
    </row>
    <row r="2104" spans="1:53" x14ac:dyDescent="0.2">
      <c r="A2104" t="s">
        <v>22</v>
      </c>
      <c r="B2104" t="s">
        <v>54</v>
      </c>
      <c r="C2104">
        <v>7242</v>
      </c>
      <c r="D2104" t="s">
        <v>22</v>
      </c>
      <c r="E2104" t="s">
        <v>10</v>
      </c>
      <c r="F2104" t="s">
        <v>11</v>
      </c>
      <c r="BA2104">
        <f>SUM(Pre[[#This Row],[1]:[46]])</f>
        <v>0</v>
      </c>
    </row>
    <row r="2105" spans="1:53" x14ac:dyDescent="0.2">
      <c r="A2105" t="s">
        <v>22</v>
      </c>
      <c r="B2105" t="s">
        <v>54</v>
      </c>
      <c r="C2105">
        <v>7333</v>
      </c>
      <c r="D2105" t="s">
        <v>22</v>
      </c>
      <c r="E2105" t="s">
        <v>8</v>
      </c>
      <c r="F2105" t="s">
        <v>23</v>
      </c>
      <c r="K2105">
        <v>1</v>
      </c>
      <c r="AB2105">
        <v>1</v>
      </c>
      <c r="AZ2105">
        <v>1</v>
      </c>
      <c r="BA2105">
        <f>SUM(Pre[[#This Row],[1]:[46]])</f>
        <v>3</v>
      </c>
    </row>
    <row r="2106" spans="1:53" x14ac:dyDescent="0.2">
      <c r="A2106" t="s">
        <v>22</v>
      </c>
      <c r="B2106" t="s">
        <v>54</v>
      </c>
      <c r="C2106">
        <v>7333</v>
      </c>
      <c r="D2106" t="s">
        <v>22</v>
      </c>
      <c r="E2106" t="s">
        <v>14</v>
      </c>
      <c r="F2106" t="s">
        <v>20</v>
      </c>
      <c r="R2106">
        <v>1</v>
      </c>
      <c r="AB2106">
        <v>1</v>
      </c>
      <c r="BA2106">
        <f>SUM(Pre[[#This Row],[1]:[46]])</f>
        <v>2</v>
      </c>
    </row>
    <row r="2107" spans="1:53" x14ac:dyDescent="0.2">
      <c r="A2107" t="s">
        <v>22</v>
      </c>
      <c r="B2107" t="s">
        <v>54</v>
      </c>
      <c r="C2107">
        <v>7398</v>
      </c>
      <c r="D2107" t="s">
        <v>22</v>
      </c>
      <c r="E2107" t="s">
        <v>14</v>
      </c>
      <c r="F2107" t="s">
        <v>19</v>
      </c>
      <c r="BA2107">
        <f>SUM(Pre[[#This Row],[1]:[46]])</f>
        <v>0</v>
      </c>
    </row>
    <row r="2108" spans="1:53" x14ac:dyDescent="0.2">
      <c r="A2108" t="s">
        <v>22</v>
      </c>
      <c r="B2108" t="s">
        <v>54</v>
      </c>
      <c r="C2108">
        <v>7691</v>
      </c>
      <c r="D2108" t="s">
        <v>22</v>
      </c>
      <c r="E2108" t="s">
        <v>14</v>
      </c>
      <c r="F2108" t="s">
        <v>31</v>
      </c>
      <c r="M2108">
        <v>3</v>
      </c>
      <c r="Z2108">
        <v>1</v>
      </c>
      <c r="AL2108">
        <v>1</v>
      </c>
      <c r="AW2108">
        <v>1</v>
      </c>
      <c r="BA2108">
        <f>SUM(Pre[[#This Row],[1]:[46]])</f>
        <v>6</v>
      </c>
    </row>
    <row r="2109" spans="1:53" x14ac:dyDescent="0.2">
      <c r="A2109" t="s">
        <v>22</v>
      </c>
      <c r="B2109" t="s">
        <v>54</v>
      </c>
      <c r="C2109">
        <v>7946</v>
      </c>
      <c r="D2109" t="s">
        <v>22</v>
      </c>
      <c r="E2109" t="s">
        <v>14</v>
      </c>
      <c r="F2109" t="s">
        <v>35</v>
      </c>
      <c r="AO2109">
        <v>1</v>
      </c>
      <c r="AR2109">
        <v>1</v>
      </c>
      <c r="AT2109">
        <v>1</v>
      </c>
      <c r="AV2109">
        <v>1</v>
      </c>
      <c r="AW2109">
        <v>2</v>
      </c>
      <c r="AY2109">
        <v>1</v>
      </c>
      <c r="BA2109">
        <f>SUM(Pre[[#This Row],[1]:[46]])</f>
        <v>7</v>
      </c>
    </row>
    <row r="2110" spans="1:53" x14ac:dyDescent="0.2">
      <c r="A2110" t="s">
        <v>22</v>
      </c>
      <c r="B2110" t="s">
        <v>54</v>
      </c>
      <c r="C2110">
        <v>7946</v>
      </c>
      <c r="D2110" t="s">
        <v>22</v>
      </c>
      <c r="E2110" t="s">
        <v>14</v>
      </c>
      <c r="F2110" t="s">
        <v>19</v>
      </c>
      <c r="BA2110">
        <f>SUM(Pre[[#This Row],[1]:[46]])</f>
        <v>0</v>
      </c>
    </row>
    <row r="2111" spans="1:53" x14ac:dyDescent="0.2">
      <c r="A2111" t="s">
        <v>22</v>
      </c>
      <c r="B2111" t="s">
        <v>54</v>
      </c>
      <c r="C2111">
        <v>7946</v>
      </c>
      <c r="D2111" t="s">
        <v>22</v>
      </c>
      <c r="E2111" t="s">
        <v>14</v>
      </c>
      <c r="F2111" t="s">
        <v>20</v>
      </c>
      <c r="AK2111">
        <v>1</v>
      </c>
      <c r="BA2111">
        <f>SUM(Pre[[#This Row],[1]:[46]])</f>
        <v>1</v>
      </c>
    </row>
    <row r="2112" spans="1:53" x14ac:dyDescent="0.2">
      <c r="A2112" t="s">
        <v>22</v>
      </c>
      <c r="B2112" t="s">
        <v>54</v>
      </c>
      <c r="C2112">
        <v>7977</v>
      </c>
      <c r="D2112" t="s">
        <v>22</v>
      </c>
      <c r="E2112" t="s">
        <v>14</v>
      </c>
      <c r="F2112" t="s">
        <v>20</v>
      </c>
      <c r="AU2112">
        <v>1</v>
      </c>
      <c r="BA2112">
        <f>SUM(Pre[[#This Row],[1]:[46]])</f>
        <v>1</v>
      </c>
    </row>
    <row r="2113" spans="1:53" x14ac:dyDescent="0.2">
      <c r="A2113" t="s">
        <v>22</v>
      </c>
      <c r="B2113" t="s">
        <v>54</v>
      </c>
      <c r="C2113">
        <v>8145</v>
      </c>
      <c r="D2113" t="s">
        <v>22</v>
      </c>
      <c r="E2113" t="s">
        <v>8</v>
      </c>
      <c r="F2113" t="s">
        <v>23</v>
      </c>
      <c r="BA2113">
        <f>SUM(Pre[[#This Row],[1]:[46]])</f>
        <v>0</v>
      </c>
    </row>
    <row r="2114" spans="1:53" x14ac:dyDescent="0.2">
      <c r="A2114" t="s">
        <v>22</v>
      </c>
      <c r="B2114" t="s">
        <v>54</v>
      </c>
      <c r="C2114">
        <v>8145</v>
      </c>
      <c r="D2114" t="s">
        <v>22</v>
      </c>
      <c r="E2114" t="s">
        <v>8</v>
      </c>
      <c r="F2114" t="s">
        <v>34</v>
      </c>
      <c r="M2114">
        <v>1</v>
      </c>
      <c r="W2114">
        <v>2</v>
      </c>
      <c r="X2114">
        <v>2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2</v>
      </c>
      <c r="AM2114">
        <v>2</v>
      </c>
      <c r="AN2114">
        <v>1</v>
      </c>
      <c r="AO2114">
        <v>1</v>
      </c>
      <c r="AQ2114">
        <v>1</v>
      </c>
      <c r="AR2114">
        <v>1</v>
      </c>
      <c r="AT2114">
        <v>1</v>
      </c>
      <c r="AU2114">
        <v>1</v>
      </c>
      <c r="AV2114">
        <v>1</v>
      </c>
      <c r="AW2114">
        <v>1</v>
      </c>
      <c r="AY2114">
        <v>1</v>
      </c>
      <c r="AZ2114">
        <v>1</v>
      </c>
      <c r="BA2114">
        <f>SUM(Pre[[#This Row],[1]:[46]])</f>
        <v>32</v>
      </c>
    </row>
    <row r="2115" spans="1:53" x14ac:dyDescent="0.2">
      <c r="A2115" t="s">
        <v>22</v>
      </c>
      <c r="B2115" t="s">
        <v>54</v>
      </c>
      <c r="C2115">
        <v>8303</v>
      </c>
      <c r="D2115" t="s">
        <v>22</v>
      </c>
      <c r="E2115" t="s">
        <v>8</v>
      </c>
      <c r="F2115" t="s">
        <v>30</v>
      </c>
      <c r="P2115">
        <v>1</v>
      </c>
      <c r="AC2115">
        <v>1</v>
      </c>
      <c r="AP2115">
        <v>1</v>
      </c>
      <c r="BA2115">
        <f>SUM(Pre[[#This Row],[1]:[46]])</f>
        <v>3</v>
      </c>
    </row>
    <row r="2116" spans="1:53" x14ac:dyDescent="0.2">
      <c r="A2116" t="s">
        <v>22</v>
      </c>
      <c r="B2116" t="s">
        <v>54</v>
      </c>
      <c r="C2116">
        <v>9007</v>
      </c>
      <c r="D2116" t="s">
        <v>22</v>
      </c>
      <c r="E2116" t="s">
        <v>14</v>
      </c>
      <c r="F2116" t="s">
        <v>20</v>
      </c>
      <c r="L2116">
        <v>1</v>
      </c>
      <c r="Y2116">
        <v>1</v>
      </c>
      <c r="AL2116">
        <v>1</v>
      </c>
      <c r="AY2116">
        <v>1</v>
      </c>
      <c r="BA2116">
        <f>SUM(Pre[[#This Row],[1]:[46]])</f>
        <v>4</v>
      </c>
    </row>
    <row r="2117" spans="1:53" x14ac:dyDescent="0.2">
      <c r="A2117" t="s">
        <v>22</v>
      </c>
      <c r="B2117" t="s">
        <v>54</v>
      </c>
      <c r="C2117">
        <v>9014</v>
      </c>
      <c r="D2117" t="s">
        <v>22</v>
      </c>
      <c r="E2117" t="s">
        <v>14</v>
      </c>
      <c r="F2117" t="s">
        <v>20</v>
      </c>
      <c r="M2117">
        <v>1</v>
      </c>
      <c r="BA2117">
        <f>SUM(Pre[[#This Row],[1]:[46]])</f>
        <v>1</v>
      </c>
    </row>
    <row r="2118" spans="1:53" x14ac:dyDescent="0.2">
      <c r="A2118" t="s">
        <v>22</v>
      </c>
      <c r="B2118" t="s">
        <v>54</v>
      </c>
      <c r="C2118">
        <v>9046</v>
      </c>
      <c r="D2118" t="s">
        <v>22</v>
      </c>
      <c r="E2118" t="s">
        <v>10</v>
      </c>
      <c r="F2118" t="s">
        <v>16</v>
      </c>
      <c r="O2118">
        <v>1</v>
      </c>
      <c r="AB2118">
        <v>1</v>
      </c>
      <c r="AO2118">
        <v>1</v>
      </c>
      <c r="BA2118">
        <f>SUM(Pre[[#This Row],[1]:[46]])</f>
        <v>3</v>
      </c>
    </row>
    <row r="2119" spans="1:53" x14ac:dyDescent="0.2">
      <c r="A2119" t="s">
        <v>22</v>
      </c>
      <c r="B2119" t="s">
        <v>54</v>
      </c>
      <c r="C2119">
        <v>9046</v>
      </c>
      <c r="D2119" t="s">
        <v>22</v>
      </c>
      <c r="E2119" t="s">
        <v>8</v>
      </c>
      <c r="F2119" t="s">
        <v>9</v>
      </c>
      <c r="O2119">
        <v>1</v>
      </c>
      <c r="AB2119">
        <v>1</v>
      </c>
      <c r="AO2119">
        <v>1</v>
      </c>
      <c r="BA2119">
        <f>SUM(Pre[[#This Row],[1]:[46]])</f>
        <v>3</v>
      </c>
    </row>
    <row r="2120" spans="1:53" x14ac:dyDescent="0.2">
      <c r="A2120" t="s">
        <v>22</v>
      </c>
      <c r="B2120" t="s">
        <v>54</v>
      </c>
      <c r="C2120">
        <v>9874</v>
      </c>
      <c r="D2120" t="s">
        <v>22</v>
      </c>
      <c r="E2120" t="s">
        <v>14</v>
      </c>
      <c r="F2120" t="s">
        <v>20</v>
      </c>
      <c r="N2120">
        <v>1</v>
      </c>
      <c r="AN2120">
        <v>5</v>
      </c>
      <c r="AZ2120">
        <v>1</v>
      </c>
      <c r="BA2120">
        <f>SUM(Pre[[#This Row],[1]:[46]])</f>
        <v>7</v>
      </c>
    </row>
    <row r="2121" spans="1:53" x14ac:dyDescent="0.2">
      <c r="A2121" t="s">
        <v>22</v>
      </c>
      <c r="B2121" t="s">
        <v>54</v>
      </c>
      <c r="C2121">
        <v>10782</v>
      </c>
      <c r="D2121" t="s">
        <v>22</v>
      </c>
      <c r="E2121" t="s">
        <v>14</v>
      </c>
      <c r="F2121" t="s">
        <v>19</v>
      </c>
      <c r="BA2121">
        <f>SUM(Pre[[#This Row],[1]:[46]])</f>
        <v>0</v>
      </c>
    </row>
    <row r="2122" spans="1:53" x14ac:dyDescent="0.2">
      <c r="A2122" t="s">
        <v>22</v>
      </c>
      <c r="B2122" t="s">
        <v>54</v>
      </c>
      <c r="C2122">
        <v>10969</v>
      </c>
      <c r="D2122" t="s">
        <v>22</v>
      </c>
      <c r="E2122" t="s">
        <v>8</v>
      </c>
      <c r="F2122" t="s">
        <v>23</v>
      </c>
      <c r="G2122">
        <v>2</v>
      </c>
      <c r="I2122">
        <v>1</v>
      </c>
      <c r="K2122">
        <v>1</v>
      </c>
      <c r="M2122">
        <v>1</v>
      </c>
      <c r="O2122">
        <v>1</v>
      </c>
      <c r="Q2122">
        <v>1</v>
      </c>
      <c r="S2122">
        <v>1</v>
      </c>
      <c r="U2122">
        <v>1</v>
      </c>
      <c r="W2122">
        <v>1</v>
      </c>
      <c r="Y2122">
        <v>1</v>
      </c>
      <c r="AA2122">
        <v>1</v>
      </c>
      <c r="AC2122">
        <v>1</v>
      </c>
      <c r="AE2122">
        <v>1</v>
      </c>
      <c r="AG2122">
        <v>1</v>
      </c>
      <c r="AI2122">
        <v>1</v>
      </c>
      <c r="AK2122">
        <v>1</v>
      </c>
      <c r="AM2122">
        <v>1</v>
      </c>
      <c r="AO2122">
        <v>1</v>
      </c>
      <c r="AQ2122">
        <v>1</v>
      </c>
      <c r="AS2122">
        <v>1</v>
      </c>
      <c r="AU2122">
        <v>1</v>
      </c>
      <c r="AW2122">
        <v>1</v>
      </c>
      <c r="AY2122">
        <v>1</v>
      </c>
      <c r="BA2122">
        <f>SUM(Pre[[#This Row],[1]:[46]])</f>
        <v>24</v>
      </c>
    </row>
    <row r="2123" spans="1:53" x14ac:dyDescent="0.2">
      <c r="A2123" t="s">
        <v>22</v>
      </c>
      <c r="B2123" t="s">
        <v>54</v>
      </c>
      <c r="C2123">
        <v>10969</v>
      </c>
      <c r="D2123" t="s">
        <v>22</v>
      </c>
      <c r="E2123" t="s">
        <v>14</v>
      </c>
      <c r="F2123" t="s">
        <v>20</v>
      </c>
      <c r="G2123">
        <v>1</v>
      </c>
      <c r="I2123">
        <v>1</v>
      </c>
      <c r="K2123">
        <v>1</v>
      </c>
      <c r="M2123">
        <v>1</v>
      </c>
      <c r="O2123">
        <v>1</v>
      </c>
      <c r="Q2123">
        <v>1</v>
      </c>
      <c r="S2123">
        <v>1</v>
      </c>
      <c r="U2123">
        <v>1</v>
      </c>
      <c r="W2123">
        <v>1</v>
      </c>
      <c r="Y2123">
        <v>1</v>
      </c>
      <c r="AA2123">
        <v>1</v>
      </c>
      <c r="AC2123">
        <v>1</v>
      </c>
      <c r="AE2123">
        <v>1</v>
      </c>
      <c r="AG2123">
        <v>1</v>
      </c>
      <c r="AI2123">
        <v>1</v>
      </c>
      <c r="AK2123">
        <v>1</v>
      </c>
      <c r="AM2123">
        <v>1</v>
      </c>
      <c r="AO2123">
        <v>1</v>
      </c>
      <c r="AQ2123">
        <v>1</v>
      </c>
      <c r="AS2123">
        <v>1</v>
      </c>
      <c r="AU2123">
        <v>1</v>
      </c>
      <c r="AW2123">
        <v>1</v>
      </c>
      <c r="AY2123">
        <v>1</v>
      </c>
      <c r="BA2123">
        <f>SUM(Pre[[#This Row],[1]:[46]])</f>
        <v>23</v>
      </c>
    </row>
    <row r="2124" spans="1:53" x14ac:dyDescent="0.2">
      <c r="A2124" t="s">
        <v>22</v>
      </c>
      <c r="B2124" t="s">
        <v>54</v>
      </c>
      <c r="C2124">
        <v>11158</v>
      </c>
      <c r="D2124" t="s">
        <v>22</v>
      </c>
      <c r="E2124" t="s">
        <v>14</v>
      </c>
      <c r="F2124" t="s">
        <v>35</v>
      </c>
      <c r="P2124">
        <v>1</v>
      </c>
      <c r="AQ2124">
        <v>1</v>
      </c>
      <c r="BA2124">
        <f>SUM(Pre[[#This Row],[1]:[46]])</f>
        <v>2</v>
      </c>
    </row>
    <row r="2125" spans="1:53" x14ac:dyDescent="0.2">
      <c r="A2125" t="s">
        <v>22</v>
      </c>
      <c r="B2125" t="s">
        <v>54</v>
      </c>
      <c r="C2125">
        <v>11158</v>
      </c>
      <c r="D2125" t="s">
        <v>22</v>
      </c>
      <c r="E2125" t="s">
        <v>14</v>
      </c>
      <c r="F2125" t="s">
        <v>19</v>
      </c>
      <c r="BA2125">
        <f>SUM(Pre[[#This Row],[1]:[46]])</f>
        <v>0</v>
      </c>
    </row>
    <row r="2126" spans="1:53" x14ac:dyDescent="0.2">
      <c r="A2126" t="s">
        <v>22</v>
      </c>
      <c r="B2126" t="s">
        <v>54</v>
      </c>
      <c r="C2126">
        <v>11348</v>
      </c>
      <c r="D2126" t="s">
        <v>22</v>
      </c>
      <c r="E2126" t="s">
        <v>14</v>
      </c>
      <c r="F2126" t="s">
        <v>35</v>
      </c>
      <c r="J2126">
        <v>1</v>
      </c>
      <c r="N2126">
        <v>1</v>
      </c>
      <c r="Q2126">
        <v>1</v>
      </c>
      <c r="U2126">
        <v>1</v>
      </c>
      <c r="Z2126">
        <v>1</v>
      </c>
      <c r="AC2126">
        <v>1</v>
      </c>
      <c r="AH2126">
        <v>1</v>
      </c>
      <c r="AK2126">
        <v>1</v>
      </c>
      <c r="AP2126">
        <v>1</v>
      </c>
      <c r="AT2126">
        <v>1</v>
      </c>
      <c r="AW2126">
        <v>1</v>
      </c>
      <c r="BA2126">
        <f>SUM(Pre[[#This Row],[1]:[46]])</f>
        <v>11</v>
      </c>
    </row>
    <row r="2127" spans="1:53" x14ac:dyDescent="0.2">
      <c r="A2127" t="s">
        <v>22</v>
      </c>
      <c r="B2127" t="s">
        <v>54</v>
      </c>
      <c r="C2127">
        <v>11377</v>
      </c>
      <c r="D2127" t="s">
        <v>22</v>
      </c>
      <c r="E2127" t="s">
        <v>14</v>
      </c>
      <c r="F2127" t="s">
        <v>20</v>
      </c>
      <c r="I2127">
        <v>1</v>
      </c>
      <c r="N2127">
        <v>1</v>
      </c>
      <c r="AB2127">
        <v>1</v>
      </c>
      <c r="AP2127">
        <v>1</v>
      </c>
      <c r="BA2127">
        <f>SUM(Pre[[#This Row],[1]:[46]])</f>
        <v>4</v>
      </c>
    </row>
    <row r="2128" spans="1:53" x14ac:dyDescent="0.2">
      <c r="A2128" t="s">
        <v>22</v>
      </c>
      <c r="B2128" t="s">
        <v>54</v>
      </c>
      <c r="C2128">
        <v>11807</v>
      </c>
      <c r="D2128" t="s">
        <v>22</v>
      </c>
      <c r="E2128" t="s">
        <v>14</v>
      </c>
      <c r="F2128" t="s">
        <v>20</v>
      </c>
      <c r="H2128">
        <v>1</v>
      </c>
      <c r="L2128">
        <v>1</v>
      </c>
      <c r="Q2128">
        <v>1</v>
      </c>
      <c r="V2128">
        <v>1</v>
      </c>
      <c r="Z2128">
        <v>1</v>
      </c>
      <c r="AD2128">
        <v>1</v>
      </c>
      <c r="AR2128">
        <v>1</v>
      </c>
      <c r="AV2128">
        <v>1</v>
      </c>
      <c r="AZ2128">
        <v>1</v>
      </c>
      <c r="BA2128">
        <f>SUM(Pre[[#This Row],[1]:[46]])</f>
        <v>9</v>
      </c>
    </row>
    <row r="2129" spans="1:53" x14ac:dyDescent="0.2">
      <c r="A2129" t="s">
        <v>22</v>
      </c>
      <c r="B2129" t="s">
        <v>54</v>
      </c>
      <c r="C2129">
        <v>11852</v>
      </c>
      <c r="D2129" t="s">
        <v>22</v>
      </c>
      <c r="E2129" t="s">
        <v>14</v>
      </c>
      <c r="F2129" t="s">
        <v>20</v>
      </c>
      <c r="N2129">
        <v>1</v>
      </c>
      <c r="AD2129">
        <v>1</v>
      </c>
      <c r="AP2129">
        <v>1</v>
      </c>
      <c r="BA2129">
        <f>SUM(Pre[[#This Row],[1]:[46]])</f>
        <v>3</v>
      </c>
    </row>
    <row r="2130" spans="1:53" x14ac:dyDescent="0.2">
      <c r="A2130" t="s">
        <v>22</v>
      </c>
      <c r="B2130" t="s">
        <v>54</v>
      </c>
      <c r="C2130">
        <v>12100</v>
      </c>
      <c r="D2130" t="s">
        <v>22</v>
      </c>
      <c r="E2130" t="s">
        <v>10</v>
      </c>
      <c r="F2130" t="s">
        <v>11</v>
      </c>
      <c r="I2130">
        <v>1</v>
      </c>
      <c r="V2130">
        <v>1</v>
      </c>
      <c r="AI2130">
        <v>1</v>
      </c>
      <c r="AV2130">
        <v>1</v>
      </c>
      <c r="BA2130">
        <f>SUM(Pre[[#This Row],[1]:[46]])</f>
        <v>4</v>
      </c>
    </row>
    <row r="2131" spans="1:53" x14ac:dyDescent="0.2">
      <c r="A2131" t="s">
        <v>22</v>
      </c>
      <c r="B2131" t="s">
        <v>54</v>
      </c>
      <c r="C2131">
        <v>12100</v>
      </c>
      <c r="D2131" t="s">
        <v>22</v>
      </c>
      <c r="E2131" t="s">
        <v>8</v>
      </c>
      <c r="F2131" t="s">
        <v>29</v>
      </c>
      <c r="I2131">
        <v>1</v>
      </c>
      <c r="V2131">
        <v>1</v>
      </c>
      <c r="AI2131">
        <v>1</v>
      </c>
      <c r="AV2131">
        <v>1</v>
      </c>
      <c r="BA2131">
        <f>SUM(Pre[[#This Row],[1]:[46]])</f>
        <v>4</v>
      </c>
    </row>
    <row r="2132" spans="1:53" x14ac:dyDescent="0.2">
      <c r="A2132" t="s">
        <v>22</v>
      </c>
      <c r="B2132" t="s">
        <v>54</v>
      </c>
      <c r="C2132">
        <v>12102</v>
      </c>
      <c r="D2132" t="s">
        <v>22</v>
      </c>
      <c r="E2132" t="s">
        <v>14</v>
      </c>
      <c r="F2132" t="s">
        <v>20</v>
      </c>
      <c r="N2132">
        <v>1</v>
      </c>
      <c r="Z2132">
        <v>1</v>
      </c>
      <c r="AH2132">
        <v>1</v>
      </c>
      <c r="AK2132">
        <v>2</v>
      </c>
      <c r="AR2132">
        <v>2</v>
      </c>
      <c r="BA2132">
        <f>SUM(Pre[[#This Row],[1]:[46]])</f>
        <v>7</v>
      </c>
    </row>
    <row r="2133" spans="1:53" x14ac:dyDescent="0.2">
      <c r="A2133" t="s">
        <v>22</v>
      </c>
      <c r="B2133" t="s">
        <v>54</v>
      </c>
      <c r="C2133">
        <v>13000</v>
      </c>
      <c r="D2133" t="s">
        <v>22</v>
      </c>
      <c r="E2133" t="s">
        <v>14</v>
      </c>
      <c r="F2133" t="s">
        <v>35</v>
      </c>
      <c r="M2133">
        <v>1</v>
      </c>
      <c r="BA2133">
        <f>SUM(Pre[[#This Row],[1]:[46]])</f>
        <v>1</v>
      </c>
    </row>
    <row r="2134" spans="1:53" x14ac:dyDescent="0.2">
      <c r="A2134" t="s">
        <v>22</v>
      </c>
      <c r="B2134" t="s">
        <v>54</v>
      </c>
      <c r="C2134">
        <v>13194</v>
      </c>
      <c r="D2134" t="s">
        <v>22</v>
      </c>
      <c r="E2134" t="s">
        <v>14</v>
      </c>
      <c r="F2134" t="s">
        <v>19</v>
      </c>
      <c r="BA2134">
        <f>SUM(Pre[[#This Row],[1]:[46]])</f>
        <v>0</v>
      </c>
    </row>
    <row r="2135" spans="1:53" x14ac:dyDescent="0.2">
      <c r="A2135" t="s">
        <v>22</v>
      </c>
      <c r="B2135" t="s">
        <v>54</v>
      </c>
      <c r="C2135">
        <v>13194</v>
      </c>
      <c r="D2135" t="s">
        <v>22</v>
      </c>
      <c r="E2135" t="s">
        <v>14</v>
      </c>
      <c r="F2135" t="s">
        <v>20</v>
      </c>
      <c r="L2135">
        <v>1</v>
      </c>
      <c r="BA2135">
        <f>SUM(Pre[[#This Row],[1]:[46]])</f>
        <v>1</v>
      </c>
    </row>
    <row r="2136" spans="1:53" x14ac:dyDescent="0.2">
      <c r="A2136" t="s">
        <v>22</v>
      </c>
      <c r="B2136" t="s">
        <v>54</v>
      </c>
      <c r="C2136">
        <v>13652</v>
      </c>
      <c r="D2136" t="s">
        <v>22</v>
      </c>
      <c r="E2136" t="s">
        <v>8</v>
      </c>
      <c r="F2136" t="s">
        <v>23</v>
      </c>
      <c r="M2136">
        <v>1</v>
      </c>
      <c r="R2136">
        <v>2</v>
      </c>
      <c r="AD2136">
        <v>1</v>
      </c>
      <c r="AJ2136">
        <v>1</v>
      </c>
      <c r="AZ2136">
        <v>1</v>
      </c>
      <c r="BA2136">
        <f>SUM(Pre[[#This Row],[1]:[46]])</f>
        <v>6</v>
      </c>
    </row>
    <row r="2137" spans="1:53" x14ac:dyDescent="0.2">
      <c r="A2137" t="s">
        <v>22</v>
      </c>
      <c r="B2137" t="s">
        <v>54</v>
      </c>
      <c r="C2137">
        <v>13652</v>
      </c>
      <c r="D2137" t="s">
        <v>22</v>
      </c>
      <c r="E2137" t="s">
        <v>8</v>
      </c>
      <c r="F2137" t="s">
        <v>9</v>
      </c>
      <c r="BA2137">
        <f>SUM(Pre[[#This Row],[1]:[46]])</f>
        <v>0</v>
      </c>
    </row>
    <row r="2138" spans="1:53" x14ac:dyDescent="0.2">
      <c r="A2138" t="s">
        <v>22</v>
      </c>
      <c r="B2138" t="s">
        <v>54</v>
      </c>
      <c r="C2138">
        <v>14198</v>
      </c>
      <c r="D2138" t="s">
        <v>22</v>
      </c>
      <c r="E2138" t="s">
        <v>14</v>
      </c>
      <c r="F2138" t="s">
        <v>20</v>
      </c>
      <c r="Q2138">
        <v>1</v>
      </c>
      <c r="AE2138">
        <v>1</v>
      </c>
      <c r="AR2138">
        <v>1</v>
      </c>
      <c r="BA2138">
        <f>SUM(Pre[[#This Row],[1]:[46]])</f>
        <v>3</v>
      </c>
    </row>
    <row r="2139" spans="1:53" x14ac:dyDescent="0.2">
      <c r="A2139" t="s">
        <v>22</v>
      </c>
      <c r="B2139" t="s">
        <v>54</v>
      </c>
      <c r="C2139">
        <v>14210</v>
      </c>
      <c r="D2139" t="s">
        <v>22</v>
      </c>
      <c r="E2139" t="s">
        <v>14</v>
      </c>
      <c r="F2139" t="s">
        <v>35</v>
      </c>
      <c r="AA2139">
        <v>1</v>
      </c>
      <c r="BA2139">
        <f>SUM(Pre[[#This Row],[1]:[46]])</f>
        <v>1</v>
      </c>
    </row>
    <row r="2140" spans="1:53" x14ac:dyDescent="0.2">
      <c r="A2140" t="s">
        <v>22</v>
      </c>
      <c r="B2140" t="s">
        <v>54</v>
      </c>
      <c r="C2140">
        <v>14210</v>
      </c>
      <c r="D2140" t="s">
        <v>22</v>
      </c>
      <c r="E2140" t="s">
        <v>14</v>
      </c>
      <c r="F2140" t="s">
        <v>19</v>
      </c>
      <c r="BA2140">
        <f>SUM(Pre[[#This Row],[1]:[46]])</f>
        <v>0</v>
      </c>
    </row>
    <row r="2141" spans="1:53" x14ac:dyDescent="0.2">
      <c r="A2141" t="s">
        <v>22</v>
      </c>
      <c r="B2141" t="s">
        <v>54</v>
      </c>
      <c r="C2141">
        <v>14416</v>
      </c>
      <c r="D2141" t="s">
        <v>22</v>
      </c>
      <c r="E2141" t="s">
        <v>14</v>
      </c>
      <c r="F2141" t="s">
        <v>20</v>
      </c>
      <c r="Q2141">
        <v>1</v>
      </c>
      <c r="AD2141">
        <v>1</v>
      </c>
      <c r="AQ2141">
        <v>1</v>
      </c>
      <c r="BA2141">
        <f>SUM(Pre[[#This Row],[1]:[46]])</f>
        <v>3</v>
      </c>
    </row>
    <row r="2142" spans="1:53" x14ac:dyDescent="0.2">
      <c r="A2142" t="s">
        <v>22</v>
      </c>
      <c r="B2142" t="s">
        <v>54</v>
      </c>
      <c r="C2142">
        <v>14420</v>
      </c>
      <c r="D2142" t="s">
        <v>22</v>
      </c>
      <c r="E2142" t="s">
        <v>14</v>
      </c>
      <c r="F2142" t="s">
        <v>35</v>
      </c>
      <c r="L2142">
        <v>1</v>
      </c>
      <c r="S2142">
        <v>1</v>
      </c>
      <c r="W2142">
        <v>1</v>
      </c>
      <c r="AB2142">
        <v>1</v>
      </c>
      <c r="AH2142">
        <v>1</v>
      </c>
      <c r="AM2142">
        <v>1</v>
      </c>
      <c r="AR2142">
        <v>1</v>
      </c>
      <c r="AU2142">
        <v>1</v>
      </c>
      <c r="BA2142">
        <f>SUM(Pre[[#This Row],[1]:[46]])</f>
        <v>8</v>
      </c>
    </row>
    <row r="2143" spans="1:53" x14ac:dyDescent="0.2">
      <c r="A2143" t="s">
        <v>22</v>
      </c>
      <c r="B2143" t="s">
        <v>54</v>
      </c>
      <c r="C2143">
        <v>14756</v>
      </c>
      <c r="D2143" t="s">
        <v>22</v>
      </c>
      <c r="E2143" t="s">
        <v>8</v>
      </c>
      <c r="F2143" t="s">
        <v>9</v>
      </c>
      <c r="S2143">
        <v>1</v>
      </c>
      <c r="AD2143">
        <v>2</v>
      </c>
      <c r="AX2143">
        <v>3</v>
      </c>
      <c r="BA2143">
        <f>SUM(Pre[[#This Row],[1]:[46]])</f>
        <v>6</v>
      </c>
    </row>
    <row r="2144" spans="1:53" x14ac:dyDescent="0.2">
      <c r="A2144" t="s">
        <v>22</v>
      </c>
      <c r="B2144" t="s">
        <v>54</v>
      </c>
      <c r="C2144">
        <v>15561</v>
      </c>
      <c r="D2144" t="s">
        <v>22</v>
      </c>
      <c r="E2144" t="s">
        <v>14</v>
      </c>
      <c r="F2144" t="s">
        <v>21</v>
      </c>
      <c r="I2144">
        <v>1</v>
      </c>
      <c r="U2144">
        <v>2</v>
      </c>
      <c r="BA2144">
        <f>SUM(Pre[[#This Row],[1]:[46]])</f>
        <v>3</v>
      </c>
    </row>
    <row r="2145" spans="1:53" x14ac:dyDescent="0.2">
      <c r="A2145" t="s">
        <v>22</v>
      </c>
      <c r="B2145" t="s">
        <v>54</v>
      </c>
      <c r="C2145">
        <v>15561</v>
      </c>
      <c r="D2145" t="s">
        <v>22</v>
      </c>
      <c r="E2145" t="s">
        <v>14</v>
      </c>
      <c r="F2145" t="s">
        <v>20</v>
      </c>
      <c r="AJ2145">
        <v>1</v>
      </c>
      <c r="AT2145">
        <v>1</v>
      </c>
      <c r="BA2145">
        <f>SUM(Pre[[#This Row],[1]:[46]])</f>
        <v>2</v>
      </c>
    </row>
    <row r="2146" spans="1:53" x14ac:dyDescent="0.2">
      <c r="A2146" t="s">
        <v>22</v>
      </c>
      <c r="B2146" t="s">
        <v>54</v>
      </c>
      <c r="C2146">
        <v>15676</v>
      </c>
      <c r="D2146" t="s">
        <v>22</v>
      </c>
      <c r="E2146" t="s">
        <v>14</v>
      </c>
      <c r="F2146" t="s">
        <v>20</v>
      </c>
      <c r="G2146">
        <v>1</v>
      </c>
      <c r="AR2146">
        <v>2</v>
      </c>
      <c r="AV2146">
        <v>2</v>
      </c>
      <c r="AZ2146">
        <v>1</v>
      </c>
      <c r="BA2146">
        <f>SUM(Pre[[#This Row],[1]:[46]])</f>
        <v>6</v>
      </c>
    </row>
    <row r="2147" spans="1:53" x14ac:dyDescent="0.2">
      <c r="A2147" t="s">
        <v>22</v>
      </c>
      <c r="B2147" t="s">
        <v>54</v>
      </c>
      <c r="C2147">
        <v>16127</v>
      </c>
      <c r="D2147" t="s">
        <v>22</v>
      </c>
      <c r="E2147" t="s">
        <v>8</v>
      </c>
      <c r="F2147" t="s">
        <v>30</v>
      </c>
      <c r="J2147">
        <v>1</v>
      </c>
      <c r="O2147">
        <v>1</v>
      </c>
      <c r="T2147">
        <v>3</v>
      </c>
      <c r="X2147">
        <v>1</v>
      </c>
      <c r="AC2147">
        <v>1</v>
      </c>
      <c r="AH2147">
        <v>1</v>
      </c>
      <c r="AM2147">
        <v>1</v>
      </c>
      <c r="AR2147">
        <v>1</v>
      </c>
      <c r="AV2147">
        <v>1</v>
      </c>
      <c r="AZ2147">
        <v>1</v>
      </c>
      <c r="BA2147">
        <f>SUM(Pre[[#This Row],[1]:[46]])</f>
        <v>12</v>
      </c>
    </row>
    <row r="2148" spans="1:53" x14ac:dyDescent="0.2">
      <c r="A2148" t="s">
        <v>22</v>
      </c>
      <c r="B2148" t="s">
        <v>54</v>
      </c>
      <c r="C2148">
        <v>16420</v>
      </c>
      <c r="D2148" t="s">
        <v>22</v>
      </c>
      <c r="E2148" t="s">
        <v>14</v>
      </c>
      <c r="F2148" t="s">
        <v>15</v>
      </c>
      <c r="S2148">
        <v>1</v>
      </c>
      <c r="X2148">
        <v>1</v>
      </c>
      <c r="AW2148">
        <v>1</v>
      </c>
      <c r="BA2148">
        <f>SUM(Pre[[#This Row],[1]:[46]])</f>
        <v>3</v>
      </c>
    </row>
    <row r="2149" spans="1:53" x14ac:dyDescent="0.2">
      <c r="A2149" t="s">
        <v>22</v>
      </c>
      <c r="B2149" t="s">
        <v>54</v>
      </c>
      <c r="C2149">
        <v>18805</v>
      </c>
      <c r="D2149" t="s">
        <v>22</v>
      </c>
      <c r="E2149" t="s">
        <v>8</v>
      </c>
      <c r="F2149" t="s">
        <v>9</v>
      </c>
      <c r="I2149">
        <v>1</v>
      </c>
      <c r="M2149">
        <v>1</v>
      </c>
      <c r="P2149">
        <v>1</v>
      </c>
      <c r="Q2149">
        <v>1</v>
      </c>
      <c r="U2149">
        <v>1</v>
      </c>
      <c r="Y2149">
        <v>1</v>
      </c>
      <c r="AE2149">
        <v>1</v>
      </c>
      <c r="AI2149">
        <v>1</v>
      </c>
      <c r="AM2149">
        <v>1</v>
      </c>
      <c r="AQ2149">
        <v>1</v>
      </c>
      <c r="AU2149">
        <v>1</v>
      </c>
      <c r="AY2149">
        <v>1</v>
      </c>
      <c r="BA2149">
        <f>SUM(Pre[[#This Row],[1]:[46]])</f>
        <v>12</v>
      </c>
    </row>
    <row r="2150" spans="1:53" x14ac:dyDescent="0.2">
      <c r="A2150" t="s">
        <v>22</v>
      </c>
      <c r="B2150" t="s">
        <v>54</v>
      </c>
      <c r="C2150">
        <v>18958</v>
      </c>
      <c r="D2150" t="s">
        <v>22</v>
      </c>
      <c r="E2150" t="s">
        <v>14</v>
      </c>
      <c r="F2150" t="s">
        <v>19</v>
      </c>
      <c r="J2150">
        <v>1</v>
      </c>
      <c r="W2150">
        <v>1</v>
      </c>
      <c r="AC2150">
        <v>1</v>
      </c>
      <c r="BA2150">
        <f>SUM(Pre[[#This Row],[1]:[46]])</f>
        <v>3</v>
      </c>
    </row>
    <row r="2151" spans="1:53" x14ac:dyDescent="0.2">
      <c r="A2151" t="s">
        <v>22</v>
      </c>
      <c r="B2151" t="s">
        <v>54</v>
      </c>
      <c r="C2151">
        <v>18958</v>
      </c>
      <c r="D2151" t="s">
        <v>22</v>
      </c>
      <c r="E2151" t="s">
        <v>14</v>
      </c>
      <c r="F2151" t="s">
        <v>21</v>
      </c>
      <c r="AI2151">
        <v>1</v>
      </c>
      <c r="AW2151">
        <v>1</v>
      </c>
      <c r="BA2151">
        <f>SUM(Pre[[#This Row],[1]:[46]])</f>
        <v>2</v>
      </c>
    </row>
    <row r="2152" spans="1:53" x14ac:dyDescent="0.2">
      <c r="A2152" t="s">
        <v>22</v>
      </c>
      <c r="B2152" t="s">
        <v>54</v>
      </c>
      <c r="C2152">
        <v>19703</v>
      </c>
      <c r="D2152" t="s">
        <v>22</v>
      </c>
      <c r="E2152" t="s">
        <v>14</v>
      </c>
      <c r="F2152" t="s">
        <v>20</v>
      </c>
      <c r="H2152">
        <v>1</v>
      </c>
      <c r="O2152">
        <v>1</v>
      </c>
      <c r="S2152">
        <v>1</v>
      </c>
      <c r="AB2152">
        <v>1</v>
      </c>
      <c r="BA2152">
        <f>SUM(Pre[[#This Row],[1]:[46]])</f>
        <v>4</v>
      </c>
    </row>
    <row r="2153" spans="1:53" x14ac:dyDescent="0.2">
      <c r="A2153" t="s">
        <v>22</v>
      </c>
      <c r="B2153" t="s">
        <v>54</v>
      </c>
      <c r="C2153">
        <v>20377</v>
      </c>
      <c r="D2153" t="s">
        <v>22</v>
      </c>
      <c r="E2153" t="s">
        <v>14</v>
      </c>
      <c r="F2153" t="s">
        <v>20</v>
      </c>
      <c r="M2153">
        <v>1</v>
      </c>
      <c r="AA2153">
        <v>1</v>
      </c>
      <c r="AO2153">
        <v>2</v>
      </c>
      <c r="BA2153">
        <f>SUM(Pre[[#This Row],[1]:[46]])</f>
        <v>4</v>
      </c>
    </row>
    <row r="2154" spans="1:53" x14ac:dyDescent="0.2">
      <c r="A2154" t="s">
        <v>22</v>
      </c>
      <c r="B2154" t="s">
        <v>54</v>
      </c>
      <c r="C2154">
        <v>23501</v>
      </c>
      <c r="D2154" t="s">
        <v>22</v>
      </c>
      <c r="E2154" t="s">
        <v>14</v>
      </c>
      <c r="F2154" t="s">
        <v>20</v>
      </c>
      <c r="G2154">
        <v>1</v>
      </c>
      <c r="BA2154">
        <f>SUM(Pre[[#This Row],[1]:[46]])</f>
        <v>1</v>
      </c>
    </row>
    <row r="2155" spans="1:53" x14ac:dyDescent="0.2">
      <c r="A2155" t="s">
        <v>22</v>
      </c>
      <c r="B2155" t="s">
        <v>54</v>
      </c>
      <c r="C2155">
        <v>24838</v>
      </c>
      <c r="D2155" t="s">
        <v>22</v>
      </c>
      <c r="E2155" t="s">
        <v>14</v>
      </c>
      <c r="F2155" t="s">
        <v>35</v>
      </c>
      <c r="BA2155">
        <f>SUM(Pre[[#This Row],[1]:[46]])</f>
        <v>0</v>
      </c>
    </row>
    <row r="2156" spans="1:53" x14ac:dyDescent="0.2">
      <c r="A2156" t="s">
        <v>22</v>
      </c>
      <c r="B2156" t="s">
        <v>54</v>
      </c>
      <c r="C2156">
        <v>12003</v>
      </c>
      <c r="D2156" t="s">
        <v>7</v>
      </c>
      <c r="E2156" t="s">
        <v>14</v>
      </c>
      <c r="F2156" t="s">
        <v>20</v>
      </c>
      <c r="P2156">
        <v>1</v>
      </c>
      <c r="AD2156">
        <v>1</v>
      </c>
      <c r="AO2156">
        <v>2</v>
      </c>
      <c r="BA2156">
        <f>SUM(Pre[[#This Row],[1]:[46]])</f>
        <v>4</v>
      </c>
    </row>
    <row r="2157" spans="1:53" x14ac:dyDescent="0.2">
      <c r="A2157" t="s">
        <v>22</v>
      </c>
      <c r="B2157" t="s">
        <v>54</v>
      </c>
      <c r="C2157">
        <v>12194</v>
      </c>
      <c r="D2157" t="s">
        <v>22</v>
      </c>
      <c r="E2157" t="s">
        <v>14</v>
      </c>
      <c r="F2157" t="s">
        <v>20</v>
      </c>
      <c r="BA2157">
        <f>SUM(Pre[[#This Row],[1]:[46]])</f>
        <v>0</v>
      </c>
    </row>
    <row r="2158" spans="1:53" x14ac:dyDescent="0.2">
      <c r="A2158" t="s">
        <v>22</v>
      </c>
      <c r="B2158" t="s">
        <v>54</v>
      </c>
      <c r="C2158">
        <v>2774</v>
      </c>
      <c r="D2158" t="s">
        <v>7</v>
      </c>
      <c r="E2158" t="s">
        <v>10</v>
      </c>
      <c r="F2158" t="s">
        <v>11</v>
      </c>
      <c r="G2158">
        <v>1</v>
      </c>
      <c r="H2158">
        <v>1</v>
      </c>
      <c r="I2158">
        <v>2</v>
      </c>
      <c r="K2158">
        <v>1</v>
      </c>
      <c r="L2158">
        <v>1</v>
      </c>
      <c r="M2158">
        <v>2</v>
      </c>
      <c r="O2158">
        <v>2</v>
      </c>
      <c r="Q2158">
        <v>1</v>
      </c>
      <c r="R2158">
        <v>1</v>
      </c>
      <c r="S2158">
        <v>2</v>
      </c>
      <c r="U2158">
        <v>2</v>
      </c>
      <c r="V2158">
        <v>1</v>
      </c>
      <c r="W2158">
        <v>1</v>
      </c>
      <c r="X2158">
        <v>1</v>
      </c>
      <c r="Y2158">
        <v>1</v>
      </c>
      <c r="Z2158">
        <v>1</v>
      </c>
      <c r="AB2158">
        <v>2</v>
      </c>
      <c r="AD2158">
        <v>2</v>
      </c>
      <c r="AE2158">
        <v>1</v>
      </c>
      <c r="AG2158">
        <v>2</v>
      </c>
      <c r="AH2158">
        <v>1</v>
      </c>
      <c r="AJ2158">
        <v>1</v>
      </c>
      <c r="AK2158">
        <v>1</v>
      </c>
      <c r="AL2158">
        <v>1</v>
      </c>
      <c r="AM2158">
        <v>2</v>
      </c>
      <c r="AN2158">
        <v>1</v>
      </c>
      <c r="AO2158">
        <v>1</v>
      </c>
      <c r="AP2158">
        <v>1</v>
      </c>
      <c r="AQ2158">
        <v>2</v>
      </c>
      <c r="AR2158">
        <v>1</v>
      </c>
      <c r="AS2158">
        <v>1</v>
      </c>
      <c r="AT2158">
        <v>1</v>
      </c>
      <c r="AU2158">
        <v>1</v>
      </c>
      <c r="AV2158">
        <v>1</v>
      </c>
      <c r="AW2158">
        <v>1</v>
      </c>
      <c r="AY2158">
        <v>1</v>
      </c>
      <c r="AZ2158">
        <v>2</v>
      </c>
      <c r="BA2158">
        <f>SUM(Pre[[#This Row],[1]:[46]])</f>
        <v>48</v>
      </c>
    </row>
    <row r="2159" spans="1:53" x14ac:dyDescent="0.2">
      <c r="A2159" t="s">
        <v>22</v>
      </c>
      <c r="B2159" t="s">
        <v>54</v>
      </c>
      <c r="C2159">
        <v>7625</v>
      </c>
      <c r="D2159" t="s">
        <v>7</v>
      </c>
      <c r="E2159" t="s">
        <v>14</v>
      </c>
      <c r="F2159" t="s">
        <v>20</v>
      </c>
      <c r="AO2159">
        <v>1</v>
      </c>
      <c r="AT2159">
        <v>1</v>
      </c>
      <c r="BA2159">
        <f>SUM(Pre[[#This Row],[1]:[46]])</f>
        <v>2</v>
      </c>
    </row>
    <row r="2160" spans="1:53" x14ac:dyDescent="0.2">
      <c r="A2160" t="s">
        <v>22</v>
      </c>
      <c r="B2160" t="s">
        <v>54</v>
      </c>
      <c r="C2160">
        <v>7915</v>
      </c>
      <c r="D2160" t="s">
        <v>7</v>
      </c>
      <c r="E2160" t="s">
        <v>14</v>
      </c>
      <c r="F2160" t="s">
        <v>35</v>
      </c>
      <c r="N2160">
        <v>1</v>
      </c>
      <c r="X2160">
        <v>1</v>
      </c>
      <c r="AM2160">
        <v>1</v>
      </c>
      <c r="AY2160">
        <v>1</v>
      </c>
      <c r="BA2160">
        <f>SUM(Pre[[#This Row],[1]:[46]])</f>
        <v>4</v>
      </c>
    </row>
    <row r="2161" spans="1:53" x14ac:dyDescent="0.2">
      <c r="A2161" t="s">
        <v>22</v>
      </c>
      <c r="B2161" t="s">
        <v>54</v>
      </c>
      <c r="C2161">
        <v>8010</v>
      </c>
      <c r="D2161" t="s">
        <v>7</v>
      </c>
      <c r="E2161" t="s">
        <v>14</v>
      </c>
      <c r="F2161" t="s">
        <v>35</v>
      </c>
      <c r="J2161">
        <v>2</v>
      </c>
      <c r="N2161">
        <v>1</v>
      </c>
      <c r="BA2161">
        <f>SUM(Pre[[#This Row],[1]:[46]])</f>
        <v>3</v>
      </c>
    </row>
    <row r="2162" spans="1:53" x14ac:dyDescent="0.2">
      <c r="A2162" t="s">
        <v>22</v>
      </c>
      <c r="B2162" t="s">
        <v>54</v>
      </c>
      <c r="C2162">
        <v>8010</v>
      </c>
      <c r="D2162" t="s">
        <v>7</v>
      </c>
      <c r="E2162" t="s">
        <v>14</v>
      </c>
      <c r="F2162" t="s">
        <v>20</v>
      </c>
      <c r="AQ2162">
        <v>3</v>
      </c>
      <c r="AR2162">
        <v>1</v>
      </c>
      <c r="BA2162">
        <f>SUM(Pre[[#This Row],[1]:[46]])</f>
        <v>4</v>
      </c>
    </row>
    <row r="2163" spans="1:53" x14ac:dyDescent="0.2">
      <c r="A2163" t="s">
        <v>22</v>
      </c>
      <c r="B2163" t="s">
        <v>54</v>
      </c>
      <c r="C2163">
        <v>11098</v>
      </c>
      <c r="D2163" t="s">
        <v>7</v>
      </c>
      <c r="E2163" t="s">
        <v>10</v>
      </c>
      <c r="F2163" t="s">
        <v>16</v>
      </c>
      <c r="BA2163">
        <f>SUM(Pre[[#This Row],[1]:[46]])</f>
        <v>0</v>
      </c>
    </row>
    <row r="2164" spans="1:53" x14ac:dyDescent="0.2">
      <c r="A2164" t="s">
        <v>22</v>
      </c>
      <c r="B2164" t="s">
        <v>54</v>
      </c>
      <c r="C2164">
        <v>5</v>
      </c>
      <c r="D2164" t="s">
        <v>22</v>
      </c>
      <c r="E2164" t="s">
        <v>10</v>
      </c>
      <c r="F2164" t="s">
        <v>11</v>
      </c>
      <c r="BA2164">
        <f>SUM(Pre[[#This Row],[1]:[46]])</f>
        <v>0</v>
      </c>
    </row>
    <row r="2165" spans="1:53" x14ac:dyDescent="0.2">
      <c r="A2165" t="s">
        <v>22</v>
      </c>
      <c r="B2165" t="s">
        <v>54</v>
      </c>
      <c r="C2165">
        <v>16842</v>
      </c>
      <c r="D2165" t="s">
        <v>22</v>
      </c>
      <c r="E2165" t="s">
        <v>14</v>
      </c>
      <c r="F2165" t="s">
        <v>20</v>
      </c>
      <c r="BA2165">
        <f>SUM(Pre[[#This Row],[1]:[46]])</f>
        <v>0</v>
      </c>
    </row>
    <row r="2166" spans="1:53" x14ac:dyDescent="0.2">
      <c r="A2166" t="s">
        <v>22</v>
      </c>
      <c r="B2166" t="s">
        <v>54</v>
      </c>
      <c r="C2166">
        <v>3969</v>
      </c>
      <c r="D2166" t="s">
        <v>7</v>
      </c>
      <c r="E2166" t="s">
        <v>14</v>
      </c>
      <c r="F2166" t="s">
        <v>35</v>
      </c>
      <c r="G2166">
        <v>1</v>
      </c>
      <c r="T2166">
        <v>1</v>
      </c>
      <c r="AH2166">
        <v>1</v>
      </c>
      <c r="AU2166">
        <v>1</v>
      </c>
      <c r="BA2166">
        <f>SUM(Pre[[#This Row],[1]:[46]])</f>
        <v>4</v>
      </c>
    </row>
    <row r="2167" spans="1:53" x14ac:dyDescent="0.2">
      <c r="A2167" t="s">
        <v>22</v>
      </c>
      <c r="B2167" t="s">
        <v>54</v>
      </c>
      <c r="C2167">
        <v>8810</v>
      </c>
      <c r="D2167" t="s">
        <v>7</v>
      </c>
      <c r="E2167" t="s">
        <v>14</v>
      </c>
      <c r="F2167" t="s">
        <v>35</v>
      </c>
      <c r="T2167">
        <v>1</v>
      </c>
      <c r="AG2167">
        <v>1</v>
      </c>
      <c r="AS2167">
        <v>1</v>
      </c>
      <c r="BA2167">
        <f>SUM(Pre[[#This Row],[1]:[46]])</f>
        <v>3</v>
      </c>
    </row>
    <row r="2168" spans="1:53" x14ac:dyDescent="0.2">
      <c r="A2168" t="s">
        <v>22</v>
      </c>
      <c r="B2168" t="s">
        <v>54</v>
      </c>
      <c r="C2168">
        <v>19347</v>
      </c>
      <c r="D2168" t="s">
        <v>7</v>
      </c>
      <c r="E2168" t="s">
        <v>14</v>
      </c>
      <c r="F2168" t="s">
        <v>35</v>
      </c>
      <c r="G2168">
        <v>1</v>
      </c>
      <c r="N2168">
        <v>1</v>
      </c>
      <c r="Q2168">
        <v>1</v>
      </c>
      <c r="V2168">
        <v>1</v>
      </c>
      <c r="Z2168">
        <v>1</v>
      </c>
      <c r="AE2168">
        <v>1</v>
      </c>
      <c r="AH2168">
        <v>1</v>
      </c>
      <c r="AS2168">
        <v>1</v>
      </c>
      <c r="BA2168">
        <f>SUM(Pre[[#This Row],[1]:[46]])</f>
        <v>8</v>
      </c>
    </row>
    <row r="2169" spans="1:53" x14ac:dyDescent="0.2">
      <c r="A2169" t="s">
        <v>22</v>
      </c>
      <c r="B2169" t="s">
        <v>54</v>
      </c>
      <c r="C2169">
        <v>20072</v>
      </c>
      <c r="D2169" t="s">
        <v>7</v>
      </c>
      <c r="E2169" t="s">
        <v>14</v>
      </c>
      <c r="F2169" t="s">
        <v>35</v>
      </c>
      <c r="P2169">
        <v>1</v>
      </c>
      <c r="BA2169">
        <f>SUM(Pre[[#This Row],[1]:[46]])</f>
        <v>1</v>
      </c>
    </row>
    <row r="2170" spans="1:53" x14ac:dyDescent="0.2">
      <c r="A2170" t="s">
        <v>22</v>
      </c>
      <c r="B2170" t="s">
        <v>54</v>
      </c>
      <c r="C2170">
        <v>8145</v>
      </c>
      <c r="D2170" t="s">
        <v>22</v>
      </c>
      <c r="E2170" t="s">
        <v>10</v>
      </c>
      <c r="F2170" t="s">
        <v>11</v>
      </c>
      <c r="M2170">
        <v>1</v>
      </c>
      <c r="W2170">
        <v>2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2</v>
      </c>
      <c r="AM2170">
        <v>2</v>
      </c>
      <c r="AN2170">
        <v>1</v>
      </c>
      <c r="AO2170">
        <v>1</v>
      </c>
      <c r="AQ2170">
        <v>1</v>
      </c>
      <c r="AR2170">
        <v>1</v>
      </c>
      <c r="AT2170">
        <v>1</v>
      </c>
      <c r="AU2170">
        <v>1</v>
      </c>
      <c r="AV2170">
        <v>1</v>
      </c>
      <c r="AW2170">
        <v>1</v>
      </c>
      <c r="AY2170">
        <v>1</v>
      </c>
      <c r="AZ2170">
        <v>1</v>
      </c>
      <c r="BA2170">
        <f>SUM(Pre[[#This Row],[1]:[46]])</f>
        <v>31</v>
      </c>
    </row>
    <row r="2171" spans="1:53" x14ac:dyDescent="0.2">
      <c r="A2171" t="s">
        <v>22</v>
      </c>
      <c r="B2171" t="s">
        <v>54</v>
      </c>
      <c r="C2171">
        <v>13652</v>
      </c>
      <c r="D2171" t="s">
        <v>22</v>
      </c>
      <c r="E2171" t="s">
        <v>14</v>
      </c>
      <c r="F2171" t="s">
        <v>21</v>
      </c>
      <c r="W2171">
        <v>1</v>
      </c>
      <c r="AD2171">
        <v>1</v>
      </c>
      <c r="AJ2171">
        <v>1</v>
      </c>
      <c r="AR2171">
        <v>1</v>
      </c>
      <c r="BA2171">
        <f>SUM(Pre[[#This Row],[1]:[46]])</f>
        <v>4</v>
      </c>
    </row>
    <row r="2172" spans="1:53" x14ac:dyDescent="0.2">
      <c r="A2172" t="s">
        <v>22</v>
      </c>
      <c r="B2172" t="s">
        <v>54</v>
      </c>
      <c r="C2172">
        <v>4886</v>
      </c>
      <c r="D2172" t="s">
        <v>7</v>
      </c>
      <c r="E2172" t="s">
        <v>14</v>
      </c>
      <c r="F2172" t="s">
        <v>20</v>
      </c>
      <c r="K2172">
        <v>1</v>
      </c>
      <c r="M2172">
        <v>1</v>
      </c>
      <c r="O2172">
        <v>1</v>
      </c>
      <c r="U2172">
        <v>1</v>
      </c>
      <c r="X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BA2172">
        <f>SUM(Pre[[#This Row],[1]:[46]])</f>
        <v>15</v>
      </c>
    </row>
    <row r="2173" spans="1:53" x14ac:dyDescent="0.2">
      <c r="A2173" t="s">
        <v>22</v>
      </c>
      <c r="B2173" t="s">
        <v>54</v>
      </c>
      <c r="C2173">
        <v>7947</v>
      </c>
      <c r="D2173" t="s">
        <v>7</v>
      </c>
      <c r="E2173" t="s">
        <v>14</v>
      </c>
      <c r="F2173" t="s">
        <v>35</v>
      </c>
      <c r="T2173">
        <v>1</v>
      </c>
      <c r="AK2173">
        <v>1</v>
      </c>
      <c r="AV2173">
        <v>1</v>
      </c>
      <c r="AW2173">
        <v>1</v>
      </c>
      <c r="AX2173">
        <v>1</v>
      </c>
      <c r="BA2173">
        <f>SUM(Pre[[#This Row],[1]:[46]])</f>
        <v>5</v>
      </c>
    </row>
    <row r="2174" spans="1:53" x14ac:dyDescent="0.2">
      <c r="A2174" t="s">
        <v>22</v>
      </c>
      <c r="B2174" t="s">
        <v>54</v>
      </c>
      <c r="C2174">
        <v>14595</v>
      </c>
      <c r="D2174" t="s">
        <v>7</v>
      </c>
      <c r="E2174" t="s">
        <v>14</v>
      </c>
      <c r="F2174" t="s">
        <v>20</v>
      </c>
      <c r="S2174">
        <v>2</v>
      </c>
      <c r="AA2174">
        <v>2</v>
      </c>
      <c r="AR2174">
        <v>2</v>
      </c>
      <c r="BA2174">
        <f>SUM(Pre[[#This Row],[1]:[46]])</f>
        <v>6</v>
      </c>
    </row>
    <row r="2175" spans="1:53" x14ac:dyDescent="0.2">
      <c r="A2175" t="s">
        <v>22</v>
      </c>
      <c r="B2175" t="s">
        <v>54</v>
      </c>
      <c r="C2175">
        <v>2775</v>
      </c>
      <c r="D2175" t="s">
        <v>22</v>
      </c>
      <c r="E2175" t="s">
        <v>10</v>
      </c>
      <c r="F2175" t="s">
        <v>11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2</v>
      </c>
      <c r="O2175">
        <v>2</v>
      </c>
      <c r="Q2175">
        <v>1</v>
      </c>
      <c r="R2175">
        <v>1</v>
      </c>
      <c r="S2175">
        <v>2</v>
      </c>
      <c r="U2175">
        <v>2</v>
      </c>
      <c r="V2175">
        <v>1</v>
      </c>
      <c r="W2175">
        <v>1</v>
      </c>
      <c r="Y2175">
        <v>2</v>
      </c>
      <c r="Z2175">
        <v>1</v>
      </c>
      <c r="AB2175">
        <v>2</v>
      </c>
      <c r="AD2175">
        <v>2</v>
      </c>
      <c r="AE2175">
        <v>1</v>
      </c>
      <c r="AG2175">
        <v>2</v>
      </c>
      <c r="AH2175">
        <v>1</v>
      </c>
      <c r="AJ2175">
        <v>1</v>
      </c>
      <c r="AK2175">
        <v>1</v>
      </c>
      <c r="AL2175">
        <v>1</v>
      </c>
      <c r="AM2175">
        <v>2</v>
      </c>
      <c r="AN2175">
        <v>1</v>
      </c>
      <c r="AO2175">
        <v>1</v>
      </c>
      <c r="AQ2175">
        <v>2</v>
      </c>
      <c r="AR2175">
        <v>1</v>
      </c>
      <c r="AS2175">
        <v>1</v>
      </c>
      <c r="AT2175">
        <v>1</v>
      </c>
      <c r="AU2175">
        <v>1</v>
      </c>
      <c r="AV2175">
        <v>1</v>
      </c>
      <c r="BA2175">
        <f>SUM(Pre[[#This Row],[1]:[46]])</f>
        <v>43</v>
      </c>
    </row>
    <row r="2176" spans="1:53" x14ac:dyDescent="0.2">
      <c r="A2176" t="s">
        <v>22</v>
      </c>
      <c r="B2176" t="s">
        <v>54</v>
      </c>
      <c r="C2176">
        <v>4308</v>
      </c>
      <c r="D2176" t="s">
        <v>22</v>
      </c>
      <c r="E2176" t="s">
        <v>14</v>
      </c>
      <c r="F2176" t="s">
        <v>20</v>
      </c>
      <c r="G2176">
        <v>1</v>
      </c>
      <c r="Q2176">
        <v>1</v>
      </c>
      <c r="AD2176">
        <v>1</v>
      </c>
      <c r="AQ2176">
        <v>1</v>
      </c>
      <c r="BA2176">
        <f>SUM(Pre[[#This Row],[1]:[46]])</f>
        <v>4</v>
      </c>
    </row>
    <row r="2177" spans="1:53" x14ac:dyDescent="0.2">
      <c r="A2177" t="s">
        <v>22</v>
      </c>
      <c r="B2177" t="s">
        <v>54</v>
      </c>
      <c r="C2177">
        <v>449</v>
      </c>
      <c r="D2177" t="s">
        <v>7</v>
      </c>
      <c r="E2177" t="s">
        <v>8</v>
      </c>
      <c r="F2177" t="s">
        <v>34</v>
      </c>
      <c r="R2177">
        <v>1</v>
      </c>
      <c r="BA2177">
        <f>SUM(Pre[[#This Row],[1]:[46]])</f>
        <v>1</v>
      </c>
    </row>
    <row r="2178" spans="1:53" x14ac:dyDescent="0.2">
      <c r="A2178" t="s">
        <v>22</v>
      </c>
      <c r="B2178" t="s">
        <v>54</v>
      </c>
      <c r="C2178">
        <v>682</v>
      </c>
      <c r="D2178" t="s">
        <v>7</v>
      </c>
      <c r="E2178" t="s">
        <v>8</v>
      </c>
      <c r="F2178" t="s">
        <v>23</v>
      </c>
      <c r="AK2178">
        <v>1</v>
      </c>
      <c r="BA2178">
        <f>SUM(Pre[[#This Row],[1]:[46]])</f>
        <v>1</v>
      </c>
    </row>
    <row r="2179" spans="1:53" x14ac:dyDescent="0.2">
      <c r="A2179" t="s">
        <v>22</v>
      </c>
      <c r="B2179" t="s">
        <v>54</v>
      </c>
      <c r="C2179">
        <v>1655</v>
      </c>
      <c r="D2179" t="s">
        <v>7</v>
      </c>
      <c r="E2179" t="s">
        <v>8</v>
      </c>
      <c r="F2179" t="s">
        <v>9</v>
      </c>
      <c r="BA2179">
        <f>SUM(Pre[[#This Row],[1]:[46]])</f>
        <v>0</v>
      </c>
    </row>
    <row r="2180" spans="1:53" x14ac:dyDescent="0.2">
      <c r="A2180" t="s">
        <v>22</v>
      </c>
      <c r="B2180" t="s">
        <v>54</v>
      </c>
      <c r="C2180">
        <v>2622</v>
      </c>
      <c r="D2180" t="s">
        <v>7</v>
      </c>
      <c r="E2180" t="s">
        <v>8</v>
      </c>
      <c r="F2180" t="s">
        <v>9</v>
      </c>
      <c r="U2180">
        <v>1</v>
      </c>
      <c r="AO2180">
        <v>1</v>
      </c>
      <c r="BA2180">
        <f>SUM(Pre[[#This Row],[1]:[46]])</f>
        <v>2</v>
      </c>
    </row>
    <row r="2181" spans="1:53" x14ac:dyDescent="0.2">
      <c r="A2181" t="s">
        <v>22</v>
      </c>
      <c r="B2181" t="s">
        <v>54</v>
      </c>
      <c r="C2181">
        <v>3722</v>
      </c>
      <c r="D2181" t="s">
        <v>7</v>
      </c>
      <c r="E2181" t="s">
        <v>8</v>
      </c>
      <c r="F2181" t="s">
        <v>9</v>
      </c>
      <c r="O2181">
        <v>1</v>
      </c>
      <c r="AC2181">
        <v>1</v>
      </c>
      <c r="AP2181">
        <v>1</v>
      </c>
      <c r="BA2181">
        <f>SUM(Pre[[#This Row],[1]:[46]])</f>
        <v>3</v>
      </c>
    </row>
    <row r="2182" spans="1:53" x14ac:dyDescent="0.2">
      <c r="A2182" t="s">
        <v>22</v>
      </c>
      <c r="B2182" t="s">
        <v>54</v>
      </c>
      <c r="C2182">
        <v>3789</v>
      </c>
      <c r="D2182" t="s">
        <v>7</v>
      </c>
      <c r="E2182" t="s">
        <v>8</v>
      </c>
      <c r="F2182" t="s">
        <v>9</v>
      </c>
      <c r="I2182">
        <v>2</v>
      </c>
      <c r="V2182">
        <v>1</v>
      </c>
      <c r="AI2182">
        <v>1</v>
      </c>
      <c r="AZ2182">
        <v>1</v>
      </c>
      <c r="BA2182">
        <f>SUM(Pre[[#This Row],[1]:[46]])</f>
        <v>5</v>
      </c>
    </row>
    <row r="2183" spans="1:53" x14ac:dyDescent="0.2">
      <c r="A2183" t="s">
        <v>22</v>
      </c>
      <c r="B2183" t="s">
        <v>54</v>
      </c>
      <c r="C2183">
        <v>3827</v>
      </c>
      <c r="D2183" t="s">
        <v>7</v>
      </c>
      <c r="E2183" t="s">
        <v>8</v>
      </c>
      <c r="F2183" t="s">
        <v>23</v>
      </c>
      <c r="H2183">
        <v>1</v>
      </c>
      <c r="V2183">
        <v>1</v>
      </c>
      <c r="AH2183">
        <v>1</v>
      </c>
      <c r="AV2183">
        <v>1</v>
      </c>
      <c r="BA2183">
        <f>SUM(Pre[[#This Row],[1]:[46]])</f>
        <v>4</v>
      </c>
    </row>
    <row r="2184" spans="1:53" x14ac:dyDescent="0.2">
      <c r="A2184" t="s">
        <v>22</v>
      </c>
      <c r="B2184" t="s">
        <v>54</v>
      </c>
      <c r="C2184">
        <v>5500</v>
      </c>
      <c r="D2184" t="s">
        <v>7</v>
      </c>
      <c r="E2184" t="s">
        <v>8</v>
      </c>
      <c r="F2184" t="s">
        <v>9</v>
      </c>
      <c r="H2184">
        <v>1</v>
      </c>
      <c r="K2184">
        <v>1</v>
      </c>
      <c r="O2184">
        <v>1</v>
      </c>
      <c r="S2184">
        <v>1</v>
      </c>
      <c r="U2184">
        <v>1</v>
      </c>
      <c r="V2184">
        <v>1</v>
      </c>
      <c r="X2184">
        <v>2</v>
      </c>
      <c r="Z2184">
        <v>1</v>
      </c>
      <c r="AB2184">
        <v>1</v>
      </c>
      <c r="AD2184">
        <v>1</v>
      </c>
      <c r="AE2184">
        <v>1</v>
      </c>
      <c r="AH2184">
        <v>1</v>
      </c>
      <c r="AJ2184">
        <v>1</v>
      </c>
      <c r="AL2184">
        <v>1</v>
      </c>
      <c r="AN2184">
        <v>1</v>
      </c>
      <c r="AP2184">
        <v>1</v>
      </c>
      <c r="AR2184">
        <v>1</v>
      </c>
      <c r="AT2184">
        <v>1</v>
      </c>
      <c r="AV2184">
        <v>1</v>
      </c>
      <c r="AX2184">
        <v>1</v>
      </c>
      <c r="AZ2184">
        <v>1</v>
      </c>
      <c r="BA2184">
        <f>SUM(Pre[[#This Row],[1]:[46]])</f>
        <v>22</v>
      </c>
    </row>
    <row r="2185" spans="1:53" x14ac:dyDescent="0.2">
      <c r="A2185" t="s">
        <v>22</v>
      </c>
      <c r="B2185" t="s">
        <v>54</v>
      </c>
      <c r="C2185">
        <v>5876</v>
      </c>
      <c r="D2185" t="s">
        <v>7</v>
      </c>
      <c r="E2185" t="s">
        <v>8</v>
      </c>
      <c r="F2185" t="s">
        <v>9</v>
      </c>
      <c r="M2185">
        <v>1</v>
      </c>
      <c r="Y2185">
        <v>2</v>
      </c>
      <c r="AB2185">
        <v>3</v>
      </c>
      <c r="AO2185">
        <v>1</v>
      </c>
      <c r="AX2185">
        <v>1</v>
      </c>
      <c r="BA2185">
        <f>SUM(Pre[[#This Row],[1]:[46]])</f>
        <v>8</v>
      </c>
    </row>
    <row r="2186" spans="1:53" x14ac:dyDescent="0.2">
      <c r="A2186" t="s">
        <v>22</v>
      </c>
      <c r="B2186" t="s">
        <v>54</v>
      </c>
      <c r="C2186">
        <v>6413</v>
      </c>
      <c r="D2186" t="s">
        <v>7</v>
      </c>
      <c r="E2186" t="s">
        <v>8</v>
      </c>
      <c r="F2186" t="s">
        <v>23</v>
      </c>
      <c r="H2186">
        <v>1</v>
      </c>
      <c r="U2186">
        <v>1</v>
      </c>
      <c r="AM2186">
        <v>1</v>
      </c>
      <c r="AY2186">
        <v>1</v>
      </c>
      <c r="BA2186">
        <f>SUM(Pre[[#This Row],[1]:[46]])</f>
        <v>4</v>
      </c>
    </row>
    <row r="2187" spans="1:53" x14ac:dyDescent="0.2">
      <c r="A2187" t="s">
        <v>22</v>
      </c>
      <c r="B2187" t="s">
        <v>54</v>
      </c>
      <c r="C2187">
        <v>7307</v>
      </c>
      <c r="D2187" t="s">
        <v>7</v>
      </c>
      <c r="E2187" t="s">
        <v>8</v>
      </c>
      <c r="F2187" t="s">
        <v>9</v>
      </c>
      <c r="W2187">
        <v>1</v>
      </c>
      <c r="AQ2187">
        <v>1</v>
      </c>
      <c r="BA2187">
        <f>SUM(Pre[[#This Row],[1]:[46]])</f>
        <v>2</v>
      </c>
    </row>
    <row r="2188" spans="1:53" x14ac:dyDescent="0.2">
      <c r="A2188" t="s">
        <v>22</v>
      </c>
      <c r="B2188" t="s">
        <v>54</v>
      </c>
      <c r="C2188">
        <v>8677</v>
      </c>
      <c r="D2188" t="s">
        <v>7</v>
      </c>
      <c r="E2188" t="s">
        <v>8</v>
      </c>
      <c r="F2188" t="s">
        <v>9</v>
      </c>
      <c r="R2188">
        <v>1</v>
      </c>
      <c r="U2188">
        <v>1</v>
      </c>
      <c r="AV2188">
        <v>1</v>
      </c>
      <c r="BA2188">
        <f>SUM(Pre[[#This Row],[1]:[46]])</f>
        <v>3</v>
      </c>
    </row>
    <row r="2189" spans="1:53" x14ac:dyDescent="0.2">
      <c r="A2189" t="s">
        <v>22</v>
      </c>
      <c r="B2189" t="s">
        <v>54</v>
      </c>
      <c r="C2189">
        <v>9382</v>
      </c>
      <c r="D2189" t="s">
        <v>7</v>
      </c>
      <c r="E2189" t="s">
        <v>8</v>
      </c>
      <c r="F2189" t="s">
        <v>29</v>
      </c>
      <c r="U2189">
        <v>1</v>
      </c>
      <c r="AJ2189">
        <v>1</v>
      </c>
      <c r="AW2189">
        <v>1</v>
      </c>
      <c r="BA2189">
        <f>SUM(Pre[[#This Row],[1]:[46]])</f>
        <v>3</v>
      </c>
    </row>
    <row r="2190" spans="1:53" x14ac:dyDescent="0.2">
      <c r="A2190" t="s">
        <v>22</v>
      </c>
      <c r="B2190" t="s">
        <v>54</v>
      </c>
      <c r="C2190">
        <v>11282</v>
      </c>
      <c r="D2190" t="s">
        <v>7</v>
      </c>
      <c r="E2190" t="s">
        <v>8</v>
      </c>
      <c r="F2190" t="s">
        <v>9</v>
      </c>
      <c r="G2190">
        <v>1</v>
      </c>
      <c r="S2190">
        <v>1</v>
      </c>
      <c r="AG2190">
        <v>1</v>
      </c>
      <c r="AT2190">
        <v>1</v>
      </c>
      <c r="BA2190">
        <f>SUM(Pre[[#This Row],[1]:[46]])</f>
        <v>4</v>
      </c>
    </row>
    <row r="2191" spans="1:53" x14ac:dyDescent="0.2">
      <c r="A2191" t="s">
        <v>22</v>
      </c>
      <c r="B2191" t="s">
        <v>54</v>
      </c>
      <c r="C2191">
        <v>11716</v>
      </c>
      <c r="D2191" t="s">
        <v>7</v>
      </c>
      <c r="E2191" t="s">
        <v>8</v>
      </c>
      <c r="F2191" t="s">
        <v>9</v>
      </c>
      <c r="X2191">
        <v>1</v>
      </c>
      <c r="AK2191">
        <v>1</v>
      </c>
      <c r="BA2191">
        <f>SUM(Pre[[#This Row],[1]:[46]])</f>
        <v>2</v>
      </c>
    </row>
    <row r="2192" spans="1:53" x14ac:dyDescent="0.2">
      <c r="A2192" t="s">
        <v>22</v>
      </c>
      <c r="B2192" t="s">
        <v>54</v>
      </c>
      <c r="C2192">
        <v>12214</v>
      </c>
      <c r="D2192" t="s">
        <v>7</v>
      </c>
      <c r="E2192" t="s">
        <v>8</v>
      </c>
      <c r="F2192" t="s">
        <v>9</v>
      </c>
      <c r="Z2192">
        <v>1</v>
      </c>
      <c r="AO2192">
        <v>1</v>
      </c>
      <c r="BA2192">
        <f>SUM(Pre[[#This Row],[1]:[46]])</f>
        <v>2</v>
      </c>
    </row>
    <row r="2193" spans="1:53" x14ac:dyDescent="0.2">
      <c r="A2193" t="s">
        <v>22</v>
      </c>
      <c r="B2193" t="s">
        <v>54</v>
      </c>
      <c r="C2193">
        <v>12678</v>
      </c>
      <c r="D2193" t="s">
        <v>7</v>
      </c>
      <c r="E2193" t="s">
        <v>8</v>
      </c>
      <c r="F2193" t="s">
        <v>9</v>
      </c>
      <c r="R2193">
        <v>1</v>
      </c>
      <c r="AT2193">
        <v>1</v>
      </c>
      <c r="BA2193">
        <f>SUM(Pre[[#This Row],[1]:[46]])</f>
        <v>2</v>
      </c>
    </row>
    <row r="2194" spans="1:53" x14ac:dyDescent="0.2">
      <c r="A2194" t="s">
        <v>22</v>
      </c>
      <c r="B2194" t="s">
        <v>54</v>
      </c>
      <c r="C2194">
        <v>12926</v>
      </c>
      <c r="D2194" t="s">
        <v>7</v>
      </c>
      <c r="E2194" t="s">
        <v>8</v>
      </c>
      <c r="F2194" t="s">
        <v>23</v>
      </c>
      <c r="J2194">
        <v>1</v>
      </c>
      <c r="Q2194">
        <v>1</v>
      </c>
      <c r="AC2194">
        <v>1</v>
      </c>
      <c r="AP2194">
        <v>1</v>
      </c>
      <c r="BA2194">
        <f>SUM(Pre[[#This Row],[1]:[46]])</f>
        <v>4</v>
      </c>
    </row>
    <row r="2195" spans="1:53" x14ac:dyDescent="0.2">
      <c r="A2195" t="s">
        <v>22</v>
      </c>
      <c r="B2195" t="s">
        <v>54</v>
      </c>
      <c r="C2195">
        <v>13145</v>
      </c>
      <c r="D2195" t="s">
        <v>7</v>
      </c>
      <c r="E2195" t="s">
        <v>8</v>
      </c>
      <c r="F2195" t="s">
        <v>9</v>
      </c>
      <c r="G2195">
        <v>1</v>
      </c>
      <c r="T2195">
        <v>1</v>
      </c>
      <c r="AG2195">
        <v>1</v>
      </c>
      <c r="AT2195">
        <v>1</v>
      </c>
      <c r="BA2195">
        <f>SUM(Pre[[#This Row],[1]:[46]])</f>
        <v>4</v>
      </c>
    </row>
    <row r="2196" spans="1:53" x14ac:dyDescent="0.2">
      <c r="A2196" t="s">
        <v>22</v>
      </c>
      <c r="B2196" t="s">
        <v>54</v>
      </c>
      <c r="C2196">
        <v>13964</v>
      </c>
      <c r="D2196" t="s">
        <v>7</v>
      </c>
      <c r="E2196" t="s">
        <v>8</v>
      </c>
      <c r="F2196" t="s">
        <v>34</v>
      </c>
      <c r="L2196">
        <v>1</v>
      </c>
      <c r="BA2196">
        <f>SUM(Pre[[#This Row],[1]:[46]])</f>
        <v>1</v>
      </c>
    </row>
    <row r="2197" spans="1:53" x14ac:dyDescent="0.2">
      <c r="A2197" t="s">
        <v>22</v>
      </c>
      <c r="B2197" t="s">
        <v>54</v>
      </c>
      <c r="C2197">
        <v>30418</v>
      </c>
      <c r="D2197" t="s">
        <v>7</v>
      </c>
      <c r="E2197" t="s">
        <v>8</v>
      </c>
      <c r="F2197" t="s">
        <v>29</v>
      </c>
      <c r="W2197">
        <v>1</v>
      </c>
      <c r="AZ2197">
        <v>1</v>
      </c>
      <c r="BA2197">
        <f>SUM(Pre[[#This Row],[1]:[46]])</f>
        <v>2</v>
      </c>
    </row>
    <row r="2198" spans="1:53" x14ac:dyDescent="0.2">
      <c r="A2198" t="s">
        <v>22</v>
      </c>
      <c r="B2198" t="s">
        <v>54</v>
      </c>
      <c r="C2198">
        <v>666</v>
      </c>
      <c r="D2198" t="s">
        <v>22</v>
      </c>
      <c r="E2198" t="s">
        <v>8</v>
      </c>
      <c r="F2198" t="s">
        <v>9</v>
      </c>
      <c r="M2198">
        <v>2</v>
      </c>
      <c r="Z2198">
        <v>1</v>
      </c>
      <c r="AM2198">
        <v>1</v>
      </c>
      <c r="AZ2198">
        <v>1</v>
      </c>
      <c r="BA2198">
        <f>SUM(Pre[[#This Row],[1]:[46]])</f>
        <v>5</v>
      </c>
    </row>
    <row r="2199" spans="1:53" x14ac:dyDescent="0.2">
      <c r="A2199" t="s">
        <v>22</v>
      </c>
      <c r="B2199" t="s">
        <v>54</v>
      </c>
      <c r="C2199">
        <v>3399</v>
      </c>
      <c r="D2199" t="s">
        <v>22</v>
      </c>
      <c r="E2199" t="s">
        <v>8</v>
      </c>
      <c r="F2199" t="s">
        <v>9</v>
      </c>
      <c r="G2199">
        <v>1</v>
      </c>
      <c r="T2199">
        <v>1</v>
      </c>
      <c r="W2199">
        <v>1</v>
      </c>
      <c r="AE2199">
        <v>1</v>
      </c>
      <c r="AU2199">
        <v>1</v>
      </c>
      <c r="BA2199">
        <f>SUM(Pre[[#This Row],[1]:[46]])</f>
        <v>5</v>
      </c>
    </row>
    <row r="2200" spans="1:53" x14ac:dyDescent="0.2">
      <c r="A2200" t="s">
        <v>22</v>
      </c>
      <c r="B2200" t="s">
        <v>54</v>
      </c>
      <c r="C2200">
        <v>3551</v>
      </c>
      <c r="D2200" t="s">
        <v>22</v>
      </c>
      <c r="E2200" t="s">
        <v>8</v>
      </c>
      <c r="F2200" t="s">
        <v>23</v>
      </c>
      <c r="AP2200">
        <v>1</v>
      </c>
      <c r="BA2200">
        <f>SUM(Pre[[#This Row],[1]:[46]])</f>
        <v>1</v>
      </c>
    </row>
    <row r="2201" spans="1:53" x14ac:dyDescent="0.2">
      <c r="A2201" t="s">
        <v>22</v>
      </c>
      <c r="B2201" t="s">
        <v>54</v>
      </c>
      <c r="C2201">
        <v>7958</v>
      </c>
      <c r="D2201" t="s">
        <v>22</v>
      </c>
      <c r="E2201" t="s">
        <v>8</v>
      </c>
      <c r="F2201" t="s">
        <v>23</v>
      </c>
      <c r="M2201">
        <v>1</v>
      </c>
      <c r="V2201">
        <v>1</v>
      </c>
      <c r="AE2201">
        <v>1</v>
      </c>
      <c r="AM2201">
        <v>1</v>
      </c>
      <c r="AV2201">
        <v>1</v>
      </c>
      <c r="BA2201">
        <f>SUM(Pre[[#This Row],[1]:[46]])</f>
        <v>5</v>
      </c>
    </row>
    <row r="2202" spans="1:53" x14ac:dyDescent="0.2">
      <c r="A2202" t="s">
        <v>22</v>
      </c>
      <c r="B2202" t="s">
        <v>54</v>
      </c>
      <c r="C2202">
        <v>9153</v>
      </c>
      <c r="D2202" t="s">
        <v>22</v>
      </c>
      <c r="E2202" t="s">
        <v>8</v>
      </c>
      <c r="F2202" t="s">
        <v>9</v>
      </c>
      <c r="K2202">
        <v>1</v>
      </c>
      <c r="X2202">
        <v>1</v>
      </c>
      <c r="AJ2202">
        <v>1</v>
      </c>
      <c r="AW2202">
        <v>1</v>
      </c>
      <c r="BA2202">
        <f>SUM(Pre[[#This Row],[1]:[46]])</f>
        <v>4</v>
      </c>
    </row>
    <row r="2203" spans="1:53" x14ac:dyDescent="0.2">
      <c r="A2203" t="s">
        <v>22</v>
      </c>
      <c r="B2203" t="s">
        <v>54</v>
      </c>
      <c r="C2203">
        <v>10237</v>
      </c>
      <c r="D2203" t="s">
        <v>22</v>
      </c>
      <c r="E2203" t="s">
        <v>8</v>
      </c>
      <c r="F2203" t="s">
        <v>9</v>
      </c>
      <c r="M2203">
        <v>2</v>
      </c>
      <c r="Y2203">
        <v>1</v>
      </c>
      <c r="AN2203">
        <v>1</v>
      </c>
      <c r="AZ2203">
        <v>1</v>
      </c>
      <c r="BA2203">
        <f>SUM(Pre[[#This Row],[1]:[46]])</f>
        <v>5</v>
      </c>
    </row>
    <row r="2204" spans="1:53" x14ac:dyDescent="0.2">
      <c r="A2204" t="s">
        <v>22</v>
      </c>
      <c r="B2204" t="s">
        <v>54</v>
      </c>
      <c r="C2204">
        <v>12677</v>
      </c>
      <c r="D2204" t="s">
        <v>22</v>
      </c>
      <c r="E2204" t="s">
        <v>8</v>
      </c>
      <c r="F2204" t="s">
        <v>9</v>
      </c>
      <c r="J2204">
        <v>1</v>
      </c>
      <c r="Y2204">
        <v>1</v>
      </c>
      <c r="AQ2204">
        <v>1</v>
      </c>
      <c r="BA2204">
        <f>SUM(Pre[[#This Row],[1]:[46]])</f>
        <v>3</v>
      </c>
    </row>
    <row r="2205" spans="1:53" x14ac:dyDescent="0.2">
      <c r="A2205" t="s">
        <v>22</v>
      </c>
      <c r="B2205" t="s">
        <v>54</v>
      </c>
      <c r="C2205">
        <v>13186</v>
      </c>
      <c r="D2205" t="s">
        <v>22</v>
      </c>
      <c r="E2205" t="s">
        <v>8</v>
      </c>
      <c r="F2205" t="s">
        <v>9</v>
      </c>
      <c r="R2205">
        <v>1</v>
      </c>
      <c r="AD2205">
        <v>1</v>
      </c>
      <c r="BA2205">
        <f>SUM(Pre[[#This Row],[1]:[46]])</f>
        <v>2</v>
      </c>
    </row>
    <row r="2206" spans="1:53" x14ac:dyDescent="0.2">
      <c r="A2206" t="s">
        <v>22</v>
      </c>
      <c r="B2206" t="s">
        <v>54</v>
      </c>
      <c r="C2206">
        <v>13416</v>
      </c>
      <c r="D2206" t="s">
        <v>22</v>
      </c>
      <c r="E2206" t="s">
        <v>26</v>
      </c>
      <c r="F2206" t="s">
        <v>27</v>
      </c>
      <c r="M2206">
        <v>1</v>
      </c>
      <c r="AA2206">
        <v>1</v>
      </c>
      <c r="AN2206">
        <v>1</v>
      </c>
      <c r="BA2206">
        <f>SUM(Pre[[#This Row],[1]:[46]])</f>
        <v>3</v>
      </c>
    </row>
    <row r="2207" spans="1:53" x14ac:dyDescent="0.2">
      <c r="A2207" t="s">
        <v>22</v>
      </c>
      <c r="B2207" t="s">
        <v>54</v>
      </c>
      <c r="C2207">
        <v>15016</v>
      </c>
      <c r="D2207" t="s">
        <v>22</v>
      </c>
      <c r="E2207" t="s">
        <v>8</v>
      </c>
      <c r="F2207" t="s">
        <v>9</v>
      </c>
      <c r="AL2207">
        <v>1</v>
      </c>
      <c r="BA2207">
        <f>SUM(Pre[[#This Row],[1]:[46]])</f>
        <v>1</v>
      </c>
    </row>
    <row r="2208" spans="1:53" x14ac:dyDescent="0.2">
      <c r="A2208" t="s">
        <v>22</v>
      </c>
      <c r="B2208" t="s">
        <v>54</v>
      </c>
      <c r="C2208">
        <v>15324</v>
      </c>
      <c r="D2208" t="s">
        <v>22</v>
      </c>
      <c r="E2208" t="s">
        <v>8</v>
      </c>
      <c r="F2208" t="s">
        <v>23</v>
      </c>
      <c r="G2208">
        <v>1</v>
      </c>
      <c r="K2208">
        <v>1</v>
      </c>
      <c r="P2208">
        <v>1</v>
      </c>
      <c r="T2208">
        <v>1</v>
      </c>
      <c r="X2208">
        <v>1</v>
      </c>
      <c r="Z2208">
        <v>1</v>
      </c>
      <c r="AF2208">
        <v>1</v>
      </c>
      <c r="AL2208">
        <v>4</v>
      </c>
      <c r="AO2208">
        <v>3</v>
      </c>
      <c r="AT2208">
        <v>3</v>
      </c>
      <c r="AY2208">
        <v>1</v>
      </c>
      <c r="BA2208">
        <f>SUM(Pre[[#This Row],[1]:[46]])</f>
        <v>18</v>
      </c>
    </row>
    <row r="2209" spans="1:53" x14ac:dyDescent="0.2">
      <c r="A2209" t="s">
        <v>22</v>
      </c>
      <c r="B2209" t="s">
        <v>54</v>
      </c>
      <c r="C2209">
        <v>15910</v>
      </c>
      <c r="D2209" t="s">
        <v>22</v>
      </c>
      <c r="E2209" t="s">
        <v>8</v>
      </c>
      <c r="F2209" t="s">
        <v>9</v>
      </c>
      <c r="I2209">
        <v>1</v>
      </c>
      <c r="P2209">
        <v>1</v>
      </c>
      <c r="T2209">
        <v>1</v>
      </c>
      <c r="Y2209">
        <v>1</v>
      </c>
      <c r="AD2209">
        <v>1</v>
      </c>
      <c r="AH2209">
        <v>1</v>
      </c>
      <c r="AM2209">
        <v>1</v>
      </c>
      <c r="AZ2209">
        <v>1</v>
      </c>
      <c r="BA2209">
        <f>SUM(Pre[[#This Row],[1]:[46]])</f>
        <v>8</v>
      </c>
    </row>
    <row r="2210" spans="1:53" x14ac:dyDescent="0.2">
      <c r="A2210" t="s">
        <v>22</v>
      </c>
      <c r="B2210" t="s">
        <v>54</v>
      </c>
      <c r="C2210">
        <v>17099</v>
      </c>
      <c r="D2210" t="s">
        <v>22</v>
      </c>
      <c r="E2210" t="s">
        <v>8</v>
      </c>
      <c r="F2210" t="s">
        <v>9</v>
      </c>
      <c r="BA2210">
        <f>SUM(Pre[[#This Row],[1]:[46]])</f>
        <v>0</v>
      </c>
    </row>
    <row r="2211" spans="1:53" x14ac:dyDescent="0.2">
      <c r="A2211" t="s">
        <v>22</v>
      </c>
      <c r="B2211" t="s">
        <v>54</v>
      </c>
      <c r="C2211">
        <v>19277</v>
      </c>
      <c r="D2211" t="s">
        <v>22</v>
      </c>
      <c r="E2211" t="s">
        <v>8</v>
      </c>
      <c r="F2211" t="s">
        <v>9</v>
      </c>
      <c r="AN2211">
        <v>2</v>
      </c>
      <c r="BA2211">
        <f>SUM(Pre[[#This Row],[1]:[46]])</f>
        <v>2</v>
      </c>
    </row>
    <row r="2212" spans="1:53" x14ac:dyDescent="0.2">
      <c r="A2212" t="s">
        <v>22</v>
      </c>
      <c r="B2212" t="s">
        <v>54</v>
      </c>
      <c r="C2212">
        <v>20808</v>
      </c>
      <c r="D2212" t="s">
        <v>22</v>
      </c>
      <c r="E2212" t="s">
        <v>8</v>
      </c>
      <c r="F2212" t="s">
        <v>9</v>
      </c>
      <c r="G2212">
        <v>1</v>
      </c>
      <c r="K2212">
        <v>1</v>
      </c>
      <c r="O2212">
        <v>1</v>
      </c>
      <c r="T2212">
        <v>1</v>
      </c>
      <c r="AB2212">
        <v>1</v>
      </c>
      <c r="AF2212">
        <v>1</v>
      </c>
      <c r="AO2212">
        <v>1</v>
      </c>
      <c r="AS2212">
        <v>1</v>
      </c>
      <c r="AW2212">
        <v>1</v>
      </c>
      <c r="BA2212">
        <f>SUM(Pre[[#This Row],[1]:[46]])</f>
        <v>9</v>
      </c>
    </row>
    <row r="2213" spans="1:53" x14ac:dyDescent="0.2">
      <c r="A2213" t="s">
        <v>22</v>
      </c>
      <c r="B2213" t="s">
        <v>54</v>
      </c>
      <c r="C2213">
        <v>30522</v>
      </c>
      <c r="D2213" t="s">
        <v>22</v>
      </c>
      <c r="E2213" t="s">
        <v>8</v>
      </c>
      <c r="F2213" t="s">
        <v>23</v>
      </c>
      <c r="M2213">
        <v>1</v>
      </c>
      <c r="Y2213">
        <v>1</v>
      </c>
      <c r="AL2213">
        <v>1</v>
      </c>
      <c r="AY2213">
        <v>1</v>
      </c>
      <c r="BA2213">
        <f>SUM(Pre[[#This Row],[1]:[46]])</f>
        <v>4</v>
      </c>
    </row>
    <row r="2214" spans="1:53" x14ac:dyDescent="0.2">
      <c r="A2214" t="s">
        <v>22</v>
      </c>
      <c r="B2214" t="s">
        <v>54</v>
      </c>
      <c r="C2214">
        <v>33432</v>
      </c>
      <c r="D2214" t="s">
        <v>22</v>
      </c>
      <c r="E2214" t="s">
        <v>8</v>
      </c>
      <c r="F2214" t="s">
        <v>30</v>
      </c>
      <c r="T2214">
        <v>1</v>
      </c>
      <c r="AI2214">
        <v>1</v>
      </c>
      <c r="AT2214">
        <v>1</v>
      </c>
      <c r="BA2214">
        <f>SUM(Pre[[#This Row],[1]:[46]])</f>
        <v>3</v>
      </c>
    </row>
    <row r="2215" spans="1:53" x14ac:dyDescent="0.2">
      <c r="A2215" t="s">
        <v>22</v>
      </c>
      <c r="B2215" t="s">
        <v>54</v>
      </c>
      <c r="C2215">
        <v>33432</v>
      </c>
      <c r="D2215" t="s">
        <v>22</v>
      </c>
      <c r="E2215" t="s">
        <v>8</v>
      </c>
      <c r="F2215" t="s">
        <v>29</v>
      </c>
      <c r="BA2215">
        <f>SUM(Pre[[#This Row],[1]:[46]])</f>
        <v>0</v>
      </c>
    </row>
    <row r="2216" spans="1:53" x14ac:dyDescent="0.2">
      <c r="A2216" t="s">
        <v>22</v>
      </c>
      <c r="B2216" t="s">
        <v>54</v>
      </c>
      <c r="C2216">
        <v>1680</v>
      </c>
      <c r="D2216" t="s">
        <v>7</v>
      </c>
      <c r="E2216" t="s">
        <v>8</v>
      </c>
      <c r="F2216" t="s">
        <v>9</v>
      </c>
      <c r="BA2216">
        <f>SUM(Pre[[#This Row],[1]:[46]])</f>
        <v>0</v>
      </c>
    </row>
    <row r="2217" spans="1:53" x14ac:dyDescent="0.2">
      <c r="A2217" t="s">
        <v>22</v>
      </c>
      <c r="B2217" t="s">
        <v>54</v>
      </c>
      <c r="C2217">
        <v>2774</v>
      </c>
      <c r="D2217" t="s">
        <v>7</v>
      </c>
      <c r="E2217" t="s">
        <v>8</v>
      </c>
      <c r="F2217" t="s">
        <v>29</v>
      </c>
      <c r="G2217">
        <v>1</v>
      </c>
      <c r="H2217">
        <v>1</v>
      </c>
      <c r="I2217">
        <v>2</v>
      </c>
      <c r="K2217">
        <v>1</v>
      </c>
      <c r="L2217">
        <v>1</v>
      </c>
      <c r="M2217">
        <v>2</v>
      </c>
      <c r="O2217">
        <v>2</v>
      </c>
      <c r="Q2217">
        <v>1</v>
      </c>
      <c r="R2217">
        <v>1</v>
      </c>
      <c r="S2217">
        <v>2</v>
      </c>
      <c r="U2217">
        <v>2</v>
      </c>
      <c r="V2217">
        <v>1</v>
      </c>
      <c r="W2217">
        <v>1</v>
      </c>
      <c r="X2217">
        <v>1</v>
      </c>
      <c r="Y2217">
        <v>1</v>
      </c>
      <c r="Z2217">
        <v>1</v>
      </c>
      <c r="AB2217">
        <v>2</v>
      </c>
      <c r="AD2217">
        <v>2</v>
      </c>
      <c r="AE2217">
        <v>1</v>
      </c>
      <c r="AG2217">
        <v>2</v>
      </c>
      <c r="AH2217">
        <v>1</v>
      </c>
      <c r="AJ2217">
        <v>1</v>
      </c>
      <c r="AK2217">
        <v>1</v>
      </c>
      <c r="AL2217">
        <v>1</v>
      </c>
      <c r="AM2217">
        <v>2</v>
      </c>
      <c r="AN2217">
        <v>1</v>
      </c>
      <c r="AO2217">
        <v>1</v>
      </c>
      <c r="AP2217">
        <v>1</v>
      </c>
      <c r="AQ2217">
        <v>2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1</v>
      </c>
      <c r="AY2217">
        <v>1</v>
      </c>
      <c r="AZ2217">
        <v>2</v>
      </c>
      <c r="BA2217">
        <f>SUM(Pre[[#This Row],[1]:[46]])</f>
        <v>48</v>
      </c>
    </row>
    <row r="2218" spans="1:53" x14ac:dyDescent="0.2">
      <c r="A2218" t="s">
        <v>22</v>
      </c>
      <c r="B2218" t="s">
        <v>54</v>
      </c>
      <c r="C2218">
        <v>7915</v>
      </c>
      <c r="D2218" t="s">
        <v>7</v>
      </c>
      <c r="E2218" t="s">
        <v>8</v>
      </c>
      <c r="F2218" t="s">
        <v>9</v>
      </c>
      <c r="N2218">
        <v>1</v>
      </c>
      <c r="X2218">
        <v>2</v>
      </c>
      <c r="AM2218">
        <v>1</v>
      </c>
      <c r="AY2218">
        <v>1</v>
      </c>
      <c r="BA2218">
        <f>SUM(Pre[[#This Row],[1]:[46]])</f>
        <v>5</v>
      </c>
    </row>
    <row r="2219" spans="1:53" x14ac:dyDescent="0.2">
      <c r="A2219" t="s">
        <v>22</v>
      </c>
      <c r="B2219" t="s">
        <v>54</v>
      </c>
      <c r="C2219">
        <v>10238</v>
      </c>
      <c r="D2219" t="s">
        <v>7</v>
      </c>
      <c r="E2219" t="s">
        <v>8</v>
      </c>
      <c r="F2219" t="s">
        <v>9</v>
      </c>
      <c r="M2219">
        <v>1</v>
      </c>
      <c r="Z2219">
        <v>1</v>
      </c>
      <c r="AO2219">
        <v>1</v>
      </c>
      <c r="BA2219">
        <f>SUM(Pre[[#This Row],[1]:[46]])</f>
        <v>3</v>
      </c>
    </row>
    <row r="2220" spans="1:53" x14ac:dyDescent="0.2">
      <c r="A2220" t="s">
        <v>22</v>
      </c>
      <c r="B2220" t="s">
        <v>54</v>
      </c>
      <c r="C2220">
        <v>10736</v>
      </c>
      <c r="D2220" t="s">
        <v>7</v>
      </c>
      <c r="E2220" t="s">
        <v>8</v>
      </c>
      <c r="F2220" t="s">
        <v>9</v>
      </c>
      <c r="M2220">
        <v>1</v>
      </c>
      <c r="AA2220">
        <v>1</v>
      </c>
      <c r="AO2220">
        <v>1</v>
      </c>
      <c r="BA2220">
        <f>SUM(Pre[[#This Row],[1]:[46]])</f>
        <v>3</v>
      </c>
    </row>
    <row r="2221" spans="1:53" x14ac:dyDescent="0.2">
      <c r="A2221" t="s">
        <v>22</v>
      </c>
      <c r="B2221" t="s">
        <v>54</v>
      </c>
      <c r="C2221">
        <v>11718</v>
      </c>
      <c r="D2221" t="s">
        <v>7</v>
      </c>
      <c r="E2221" t="s">
        <v>8</v>
      </c>
      <c r="F2221" t="s">
        <v>9</v>
      </c>
      <c r="AJ2221">
        <v>1</v>
      </c>
      <c r="BA2221">
        <f>SUM(Pre[[#This Row],[1]:[46]])</f>
        <v>1</v>
      </c>
    </row>
    <row r="2222" spans="1:53" x14ac:dyDescent="0.2">
      <c r="A2222" t="s">
        <v>22</v>
      </c>
      <c r="B2222" t="s">
        <v>54</v>
      </c>
      <c r="C2222">
        <v>11750</v>
      </c>
      <c r="D2222" t="s">
        <v>7</v>
      </c>
      <c r="E2222" t="s">
        <v>8</v>
      </c>
      <c r="F2222" t="s">
        <v>9</v>
      </c>
      <c r="K2222">
        <v>1</v>
      </c>
      <c r="AP2222">
        <v>1</v>
      </c>
      <c r="BA2222">
        <f>SUM(Pre[[#This Row],[1]:[46]])</f>
        <v>2</v>
      </c>
    </row>
    <row r="2223" spans="1:53" x14ac:dyDescent="0.2">
      <c r="A2223" t="s">
        <v>22</v>
      </c>
      <c r="B2223" t="s">
        <v>54</v>
      </c>
      <c r="C2223">
        <v>12131</v>
      </c>
      <c r="D2223" t="s">
        <v>7</v>
      </c>
      <c r="E2223" t="s">
        <v>8</v>
      </c>
      <c r="F2223" t="s">
        <v>9</v>
      </c>
      <c r="AA2223">
        <v>1</v>
      </c>
      <c r="AS2223">
        <v>2</v>
      </c>
      <c r="BA2223">
        <f>SUM(Pre[[#This Row],[1]:[46]])</f>
        <v>3</v>
      </c>
    </row>
    <row r="2224" spans="1:53" x14ac:dyDescent="0.2">
      <c r="A2224" t="s">
        <v>22</v>
      </c>
      <c r="B2224" t="s">
        <v>54</v>
      </c>
      <c r="C2224">
        <v>12703</v>
      </c>
      <c r="D2224" t="s">
        <v>7</v>
      </c>
      <c r="E2224" t="s">
        <v>8</v>
      </c>
      <c r="F2224" t="s">
        <v>9</v>
      </c>
      <c r="H2224">
        <v>1</v>
      </c>
      <c r="L2224">
        <v>1</v>
      </c>
      <c r="P2224">
        <v>1</v>
      </c>
      <c r="U2224">
        <v>1</v>
      </c>
      <c r="Z2224">
        <v>1</v>
      </c>
      <c r="AB2224">
        <v>1</v>
      </c>
      <c r="AD2224">
        <v>1</v>
      </c>
      <c r="AH2224">
        <v>1</v>
      </c>
      <c r="AL2224">
        <v>3</v>
      </c>
      <c r="AQ2224">
        <v>1</v>
      </c>
      <c r="AU2224">
        <v>1</v>
      </c>
      <c r="AY2224">
        <v>1</v>
      </c>
      <c r="BA2224">
        <f>SUM(Pre[[#This Row],[1]:[46]])</f>
        <v>14</v>
      </c>
    </row>
    <row r="2225" spans="1:53" x14ac:dyDescent="0.2">
      <c r="A2225" t="s">
        <v>22</v>
      </c>
      <c r="B2225" t="s">
        <v>54</v>
      </c>
      <c r="C2225">
        <v>14810</v>
      </c>
      <c r="D2225" t="s">
        <v>7</v>
      </c>
      <c r="E2225" t="s">
        <v>8</v>
      </c>
      <c r="F2225" t="s">
        <v>9</v>
      </c>
      <c r="H2225">
        <v>1</v>
      </c>
      <c r="J2225">
        <v>1</v>
      </c>
      <c r="L2225">
        <v>1</v>
      </c>
      <c r="N2225">
        <v>1</v>
      </c>
      <c r="P2225">
        <v>1</v>
      </c>
      <c r="R2225">
        <v>1</v>
      </c>
      <c r="T2225">
        <v>2</v>
      </c>
      <c r="Z2225">
        <v>1</v>
      </c>
      <c r="AB2225">
        <v>1</v>
      </c>
      <c r="AD2225">
        <v>1</v>
      </c>
      <c r="AF2225">
        <v>1</v>
      </c>
      <c r="AG2225">
        <v>1</v>
      </c>
      <c r="AL2225">
        <v>1</v>
      </c>
      <c r="AN2225">
        <v>1</v>
      </c>
      <c r="AQ2225">
        <v>1</v>
      </c>
      <c r="AS2225">
        <v>1</v>
      </c>
      <c r="AU2225">
        <v>1</v>
      </c>
      <c r="AX2225">
        <v>1</v>
      </c>
      <c r="AY2225">
        <v>1</v>
      </c>
      <c r="BA2225">
        <f>SUM(Pre[[#This Row],[1]:[46]])</f>
        <v>20</v>
      </c>
    </row>
    <row r="2226" spans="1:53" x14ac:dyDescent="0.2">
      <c r="A2226" t="s">
        <v>22</v>
      </c>
      <c r="B2226" t="s">
        <v>54</v>
      </c>
      <c r="C2226">
        <v>20827</v>
      </c>
      <c r="D2226" t="s">
        <v>7</v>
      </c>
      <c r="E2226" t="s">
        <v>8</v>
      </c>
      <c r="F2226" t="s">
        <v>9</v>
      </c>
      <c r="G2226">
        <v>1</v>
      </c>
      <c r="V2226">
        <v>1</v>
      </c>
      <c r="X2226">
        <v>1</v>
      </c>
      <c r="AK2226">
        <v>1</v>
      </c>
      <c r="AX2226">
        <v>1</v>
      </c>
      <c r="BA2226">
        <f>SUM(Pre[[#This Row],[1]:[46]])</f>
        <v>5</v>
      </c>
    </row>
    <row r="2227" spans="1:53" x14ac:dyDescent="0.2">
      <c r="A2227" t="s">
        <v>22</v>
      </c>
      <c r="B2227" t="s">
        <v>54</v>
      </c>
      <c r="C2227">
        <v>293</v>
      </c>
      <c r="D2227" t="s">
        <v>22</v>
      </c>
      <c r="E2227" t="s">
        <v>8</v>
      </c>
      <c r="F2227" t="s">
        <v>23</v>
      </c>
      <c r="H2227">
        <v>1</v>
      </c>
      <c r="V2227">
        <v>1</v>
      </c>
      <c r="AJ2227">
        <v>1</v>
      </c>
      <c r="AY2227">
        <v>1</v>
      </c>
      <c r="BA2227">
        <f>SUM(Pre[[#This Row],[1]:[46]])</f>
        <v>4</v>
      </c>
    </row>
    <row r="2228" spans="1:53" x14ac:dyDescent="0.2">
      <c r="A2228" t="s">
        <v>22</v>
      </c>
      <c r="B2228" t="s">
        <v>54</v>
      </c>
      <c r="C2228">
        <v>1679</v>
      </c>
      <c r="D2228" t="s">
        <v>22</v>
      </c>
      <c r="E2228" t="s">
        <v>8</v>
      </c>
      <c r="F2228" t="s">
        <v>29</v>
      </c>
      <c r="M2228">
        <v>1</v>
      </c>
      <c r="Z2228">
        <v>1</v>
      </c>
      <c r="AK2228">
        <v>1</v>
      </c>
      <c r="AY2228">
        <v>1</v>
      </c>
      <c r="BA2228">
        <f>SUM(Pre[[#This Row],[1]:[46]])</f>
        <v>4</v>
      </c>
    </row>
    <row r="2229" spans="1:53" x14ac:dyDescent="0.2">
      <c r="A2229" t="s">
        <v>22</v>
      </c>
      <c r="B2229" t="s">
        <v>54</v>
      </c>
      <c r="C2229">
        <v>3644</v>
      </c>
      <c r="D2229" t="s">
        <v>22</v>
      </c>
      <c r="E2229" t="s">
        <v>8</v>
      </c>
      <c r="F2229" t="s">
        <v>9</v>
      </c>
      <c r="AF2229">
        <v>1</v>
      </c>
      <c r="AY2229">
        <v>1</v>
      </c>
      <c r="BA2229">
        <f>SUM(Pre[[#This Row],[1]:[46]])</f>
        <v>2</v>
      </c>
    </row>
    <row r="2230" spans="1:53" x14ac:dyDescent="0.2">
      <c r="A2230" t="s">
        <v>22</v>
      </c>
      <c r="B2230" t="s">
        <v>54</v>
      </c>
      <c r="C2230">
        <v>3908</v>
      </c>
      <c r="D2230" t="s">
        <v>22</v>
      </c>
      <c r="E2230" t="s">
        <v>8</v>
      </c>
      <c r="F2230" t="s">
        <v>9</v>
      </c>
      <c r="J2230">
        <v>1</v>
      </c>
      <c r="Q2230">
        <v>1</v>
      </c>
      <c r="S2230">
        <v>1</v>
      </c>
      <c r="Y2230">
        <v>1</v>
      </c>
      <c r="AD2230">
        <v>1</v>
      </c>
      <c r="AI2230">
        <v>1</v>
      </c>
      <c r="AJ2230">
        <v>1</v>
      </c>
      <c r="AO2230">
        <v>1</v>
      </c>
      <c r="AT2230">
        <v>1</v>
      </c>
      <c r="AY2230">
        <v>1</v>
      </c>
      <c r="BA2230">
        <f>SUM(Pre[[#This Row],[1]:[46]])</f>
        <v>10</v>
      </c>
    </row>
    <row r="2231" spans="1:53" x14ac:dyDescent="0.2">
      <c r="A2231" t="s">
        <v>22</v>
      </c>
      <c r="B2231" t="s">
        <v>54</v>
      </c>
      <c r="C2231">
        <v>6409</v>
      </c>
      <c r="D2231" t="s">
        <v>22</v>
      </c>
      <c r="E2231" t="s">
        <v>8</v>
      </c>
      <c r="F2231" t="s">
        <v>23</v>
      </c>
      <c r="K2231">
        <v>1</v>
      </c>
      <c r="AA2231">
        <v>3</v>
      </c>
      <c r="AN2231">
        <v>1</v>
      </c>
      <c r="BA2231">
        <f>SUM(Pre[[#This Row],[1]:[46]])</f>
        <v>5</v>
      </c>
    </row>
    <row r="2232" spans="1:53" x14ac:dyDescent="0.2">
      <c r="A2232" t="s">
        <v>22</v>
      </c>
      <c r="B2232" t="s">
        <v>54</v>
      </c>
      <c r="C2232">
        <v>6777</v>
      </c>
      <c r="D2232" t="s">
        <v>22</v>
      </c>
      <c r="E2232" t="s">
        <v>8</v>
      </c>
      <c r="F2232" t="s">
        <v>23</v>
      </c>
      <c r="S2232">
        <v>1</v>
      </c>
      <c r="AK2232">
        <v>1</v>
      </c>
      <c r="BA2232">
        <f>SUM(Pre[[#This Row],[1]:[46]])</f>
        <v>2</v>
      </c>
    </row>
    <row r="2233" spans="1:53" x14ac:dyDescent="0.2">
      <c r="A2233" t="s">
        <v>22</v>
      </c>
      <c r="B2233" t="s">
        <v>54</v>
      </c>
      <c r="C2233">
        <v>7398</v>
      </c>
      <c r="D2233" t="s">
        <v>22</v>
      </c>
      <c r="E2233" t="s">
        <v>8</v>
      </c>
      <c r="F2233" t="s">
        <v>23</v>
      </c>
      <c r="U2233">
        <v>1</v>
      </c>
      <c r="AH2233">
        <v>1</v>
      </c>
      <c r="AY2233">
        <v>1</v>
      </c>
      <c r="BA2233">
        <f>SUM(Pre[[#This Row],[1]:[46]])</f>
        <v>3</v>
      </c>
    </row>
    <row r="2234" spans="1:53" x14ac:dyDescent="0.2">
      <c r="A2234" t="s">
        <v>22</v>
      </c>
      <c r="B2234" t="s">
        <v>54</v>
      </c>
      <c r="C2234">
        <v>7691</v>
      </c>
      <c r="D2234" t="s">
        <v>22</v>
      </c>
      <c r="E2234" t="s">
        <v>8</v>
      </c>
      <c r="F2234" t="s">
        <v>9</v>
      </c>
      <c r="Q2234">
        <v>1</v>
      </c>
      <c r="Z2234">
        <v>1</v>
      </c>
      <c r="AL2234">
        <v>1</v>
      </c>
      <c r="BA2234">
        <f>SUM(Pre[[#This Row],[1]:[46]])</f>
        <v>3</v>
      </c>
    </row>
    <row r="2235" spans="1:53" x14ac:dyDescent="0.2">
      <c r="A2235" t="s">
        <v>22</v>
      </c>
      <c r="B2235" t="s">
        <v>54</v>
      </c>
      <c r="C2235">
        <v>7946</v>
      </c>
      <c r="D2235" t="s">
        <v>22</v>
      </c>
      <c r="E2235" t="s">
        <v>8</v>
      </c>
      <c r="F2235" t="s">
        <v>23</v>
      </c>
      <c r="O2235">
        <v>1</v>
      </c>
      <c r="AB2235">
        <v>1</v>
      </c>
      <c r="AO2235">
        <v>1</v>
      </c>
      <c r="AP2235">
        <v>1</v>
      </c>
      <c r="AR2235">
        <v>2</v>
      </c>
      <c r="AT2235">
        <v>1</v>
      </c>
      <c r="AV2235">
        <v>1</v>
      </c>
      <c r="BA2235">
        <f>SUM(Pre[[#This Row],[1]:[46]])</f>
        <v>8</v>
      </c>
    </row>
    <row r="2236" spans="1:53" x14ac:dyDescent="0.2">
      <c r="A2236" t="s">
        <v>22</v>
      </c>
      <c r="B2236" t="s">
        <v>54</v>
      </c>
      <c r="C2236">
        <v>11673</v>
      </c>
      <c r="D2236" t="s">
        <v>22</v>
      </c>
      <c r="E2236" t="s">
        <v>8</v>
      </c>
      <c r="F2236" t="s">
        <v>9</v>
      </c>
      <c r="M2236">
        <v>1</v>
      </c>
      <c r="Z2236">
        <v>1</v>
      </c>
      <c r="AM2236">
        <v>1</v>
      </c>
      <c r="AY2236">
        <v>2</v>
      </c>
      <c r="BA2236">
        <f>SUM(Pre[[#This Row],[1]:[46]])</f>
        <v>5</v>
      </c>
    </row>
    <row r="2237" spans="1:53" x14ac:dyDescent="0.2">
      <c r="A2237" t="s">
        <v>22</v>
      </c>
      <c r="B2237" t="s">
        <v>54</v>
      </c>
      <c r="C2237">
        <v>11717</v>
      </c>
      <c r="D2237" t="s">
        <v>22</v>
      </c>
      <c r="E2237" t="s">
        <v>8</v>
      </c>
      <c r="F2237" t="s">
        <v>9</v>
      </c>
      <c r="L2237">
        <v>1</v>
      </c>
      <c r="AW2237">
        <v>1</v>
      </c>
      <c r="BA2237">
        <f>SUM(Pre[[#This Row],[1]:[46]])</f>
        <v>2</v>
      </c>
    </row>
    <row r="2238" spans="1:53" x14ac:dyDescent="0.2">
      <c r="A2238" t="s">
        <v>22</v>
      </c>
      <c r="B2238" t="s">
        <v>54</v>
      </c>
      <c r="C2238">
        <v>11731</v>
      </c>
      <c r="D2238" t="s">
        <v>22</v>
      </c>
      <c r="E2238" t="s">
        <v>8</v>
      </c>
      <c r="F2238" t="s">
        <v>23</v>
      </c>
      <c r="AH2238">
        <v>1</v>
      </c>
      <c r="AN2238">
        <v>1</v>
      </c>
      <c r="AT2238">
        <v>1</v>
      </c>
      <c r="AY2238">
        <v>1</v>
      </c>
      <c r="BA2238">
        <f>SUM(Pre[[#This Row],[1]:[46]])</f>
        <v>4</v>
      </c>
    </row>
    <row r="2239" spans="1:53" x14ac:dyDescent="0.2">
      <c r="A2239" t="s">
        <v>22</v>
      </c>
      <c r="B2239" t="s">
        <v>54</v>
      </c>
      <c r="C2239">
        <v>11731</v>
      </c>
      <c r="D2239" t="s">
        <v>22</v>
      </c>
      <c r="E2239" t="s">
        <v>8</v>
      </c>
      <c r="F2239" t="s">
        <v>34</v>
      </c>
      <c r="Q2239">
        <v>1</v>
      </c>
      <c r="Y2239">
        <v>2</v>
      </c>
      <c r="AG2239">
        <v>1</v>
      </c>
      <c r="BA2239">
        <f>SUM(Pre[[#This Row],[1]:[46]])</f>
        <v>4</v>
      </c>
    </row>
    <row r="2240" spans="1:53" x14ac:dyDescent="0.2">
      <c r="A2240" t="s">
        <v>22</v>
      </c>
      <c r="B2240" t="s">
        <v>54</v>
      </c>
      <c r="C2240">
        <v>11731</v>
      </c>
      <c r="D2240" t="s">
        <v>22</v>
      </c>
      <c r="E2240" t="s">
        <v>26</v>
      </c>
      <c r="F2240" t="s">
        <v>27</v>
      </c>
      <c r="BA2240">
        <f>SUM(Pre[[#This Row],[1]:[46]])</f>
        <v>0</v>
      </c>
    </row>
    <row r="2241" spans="1:53" x14ac:dyDescent="0.2">
      <c r="A2241" t="s">
        <v>22</v>
      </c>
      <c r="B2241" t="s">
        <v>54</v>
      </c>
      <c r="C2241">
        <v>11749</v>
      </c>
      <c r="D2241" t="s">
        <v>22</v>
      </c>
      <c r="E2241" t="s">
        <v>8</v>
      </c>
      <c r="F2241" t="s">
        <v>9</v>
      </c>
      <c r="W2241">
        <v>1</v>
      </c>
      <c r="AR2241">
        <v>1</v>
      </c>
      <c r="BA2241">
        <f>SUM(Pre[[#This Row],[1]:[46]])</f>
        <v>2</v>
      </c>
    </row>
    <row r="2242" spans="1:53" x14ac:dyDescent="0.2">
      <c r="A2242" t="s">
        <v>22</v>
      </c>
      <c r="B2242" t="s">
        <v>54</v>
      </c>
      <c r="C2242">
        <v>11852</v>
      </c>
      <c r="D2242" t="s">
        <v>22</v>
      </c>
      <c r="E2242" t="s">
        <v>8</v>
      </c>
      <c r="F2242" t="s">
        <v>9</v>
      </c>
      <c r="AD2242">
        <v>1</v>
      </c>
      <c r="AP2242">
        <v>1</v>
      </c>
      <c r="BA2242">
        <f>SUM(Pre[[#This Row],[1]:[46]])</f>
        <v>2</v>
      </c>
    </row>
    <row r="2243" spans="1:53" x14ac:dyDescent="0.2">
      <c r="A2243" t="s">
        <v>22</v>
      </c>
      <c r="B2243" t="s">
        <v>54</v>
      </c>
      <c r="C2243">
        <v>13194</v>
      </c>
      <c r="D2243" t="s">
        <v>22</v>
      </c>
      <c r="E2243" t="s">
        <v>8</v>
      </c>
      <c r="F2243" t="s">
        <v>23</v>
      </c>
      <c r="I2243">
        <v>1</v>
      </c>
      <c r="N2243">
        <v>1</v>
      </c>
      <c r="R2243">
        <v>1</v>
      </c>
      <c r="W2243">
        <v>1</v>
      </c>
      <c r="AA2243">
        <v>1</v>
      </c>
      <c r="AE2243">
        <v>1</v>
      </c>
      <c r="AJ2243">
        <v>1</v>
      </c>
      <c r="AO2243">
        <v>1</v>
      </c>
      <c r="AT2243">
        <v>1</v>
      </c>
      <c r="BA2243">
        <f>SUM(Pre[[#This Row],[1]:[46]])</f>
        <v>9</v>
      </c>
    </row>
    <row r="2244" spans="1:53" x14ac:dyDescent="0.2">
      <c r="A2244" t="s">
        <v>22</v>
      </c>
      <c r="B2244" t="s">
        <v>54</v>
      </c>
      <c r="C2244">
        <v>13194</v>
      </c>
      <c r="D2244" t="s">
        <v>22</v>
      </c>
      <c r="E2244" t="s">
        <v>8</v>
      </c>
      <c r="F2244" t="s">
        <v>29</v>
      </c>
      <c r="AX2244">
        <v>1</v>
      </c>
      <c r="BA2244">
        <f>SUM(Pre[[#This Row],[1]:[46]])</f>
        <v>1</v>
      </c>
    </row>
    <row r="2245" spans="1:53" x14ac:dyDescent="0.2">
      <c r="A2245" t="s">
        <v>22</v>
      </c>
      <c r="B2245" t="s">
        <v>54</v>
      </c>
      <c r="C2245">
        <v>13500</v>
      </c>
      <c r="D2245" t="s">
        <v>22</v>
      </c>
      <c r="E2245" t="s">
        <v>8</v>
      </c>
      <c r="F2245" t="s">
        <v>9</v>
      </c>
      <c r="BA2245">
        <f>SUM(Pre[[#This Row],[1]:[46]])</f>
        <v>0</v>
      </c>
    </row>
    <row r="2246" spans="1:53" x14ac:dyDescent="0.2">
      <c r="A2246" t="s">
        <v>22</v>
      </c>
      <c r="B2246" t="s">
        <v>54</v>
      </c>
      <c r="C2246">
        <v>14198</v>
      </c>
      <c r="D2246" t="s">
        <v>22</v>
      </c>
      <c r="E2246" t="s">
        <v>8</v>
      </c>
      <c r="F2246" t="s">
        <v>9</v>
      </c>
      <c r="Q2246">
        <v>3</v>
      </c>
      <c r="AE2246">
        <v>1</v>
      </c>
      <c r="AI2246">
        <v>1</v>
      </c>
      <c r="AR2246">
        <v>1</v>
      </c>
      <c r="BA2246">
        <f>SUM(Pre[[#This Row],[1]:[46]])</f>
        <v>6</v>
      </c>
    </row>
    <row r="2247" spans="1:53" x14ac:dyDescent="0.2">
      <c r="A2247" t="s">
        <v>22</v>
      </c>
      <c r="B2247" t="s">
        <v>54</v>
      </c>
      <c r="C2247">
        <v>14198</v>
      </c>
      <c r="D2247" t="s">
        <v>22</v>
      </c>
      <c r="E2247" t="s">
        <v>26</v>
      </c>
      <c r="F2247" t="s">
        <v>27</v>
      </c>
      <c r="AN2247">
        <v>1</v>
      </c>
      <c r="BA2247">
        <f>SUM(Pre[[#This Row],[1]:[46]])</f>
        <v>1</v>
      </c>
    </row>
    <row r="2248" spans="1:53" x14ac:dyDescent="0.2">
      <c r="A2248" t="s">
        <v>22</v>
      </c>
      <c r="B2248" t="s">
        <v>54</v>
      </c>
      <c r="C2248">
        <v>14210</v>
      </c>
      <c r="D2248" t="s">
        <v>22</v>
      </c>
      <c r="E2248" t="s">
        <v>8</v>
      </c>
      <c r="F2248" t="s">
        <v>9</v>
      </c>
      <c r="R2248">
        <v>1</v>
      </c>
      <c r="AA2248">
        <v>1</v>
      </c>
      <c r="AU2248">
        <v>1</v>
      </c>
      <c r="BA2248">
        <f>SUM(Pre[[#This Row],[1]:[46]])</f>
        <v>3</v>
      </c>
    </row>
    <row r="2249" spans="1:53" x14ac:dyDescent="0.2">
      <c r="A2249" t="s">
        <v>22</v>
      </c>
      <c r="B2249" t="s">
        <v>54</v>
      </c>
      <c r="C2249">
        <v>14469</v>
      </c>
      <c r="D2249" t="s">
        <v>22</v>
      </c>
      <c r="E2249" t="s">
        <v>8</v>
      </c>
      <c r="F2249" t="s">
        <v>23</v>
      </c>
      <c r="M2249">
        <v>1</v>
      </c>
      <c r="Z2249">
        <v>2</v>
      </c>
      <c r="AL2249">
        <v>1</v>
      </c>
      <c r="AY2249">
        <v>1</v>
      </c>
      <c r="BA2249">
        <f>SUM(Pre[[#This Row],[1]:[46]])</f>
        <v>5</v>
      </c>
    </row>
    <row r="2250" spans="1:53" x14ac:dyDescent="0.2">
      <c r="A2250" t="s">
        <v>22</v>
      </c>
      <c r="B2250" t="s">
        <v>54</v>
      </c>
      <c r="C2250">
        <v>14469</v>
      </c>
      <c r="D2250" t="s">
        <v>22</v>
      </c>
      <c r="E2250" t="s">
        <v>26</v>
      </c>
      <c r="F2250" t="s">
        <v>27</v>
      </c>
      <c r="M2250">
        <v>1</v>
      </c>
      <c r="Z2250">
        <v>1</v>
      </c>
      <c r="AL2250">
        <v>1</v>
      </c>
      <c r="AY2250">
        <v>1</v>
      </c>
      <c r="BA2250">
        <f>SUM(Pre[[#This Row],[1]:[46]])</f>
        <v>4</v>
      </c>
    </row>
    <row r="2251" spans="1:53" x14ac:dyDescent="0.2">
      <c r="A2251" t="s">
        <v>22</v>
      </c>
      <c r="B2251" t="s">
        <v>54</v>
      </c>
      <c r="C2251">
        <v>15676</v>
      </c>
      <c r="D2251" t="s">
        <v>22</v>
      </c>
      <c r="E2251" t="s">
        <v>8</v>
      </c>
      <c r="F2251" t="s">
        <v>9</v>
      </c>
      <c r="G2251">
        <v>1</v>
      </c>
      <c r="AM2251">
        <v>2</v>
      </c>
      <c r="AZ2251">
        <v>1</v>
      </c>
      <c r="BA2251">
        <f>SUM(Pre[[#This Row],[1]:[46]])</f>
        <v>4</v>
      </c>
    </row>
    <row r="2252" spans="1:53" x14ac:dyDescent="0.2">
      <c r="A2252" t="s">
        <v>22</v>
      </c>
      <c r="B2252" t="s">
        <v>54</v>
      </c>
      <c r="C2252">
        <v>16420</v>
      </c>
      <c r="D2252" t="s">
        <v>22</v>
      </c>
      <c r="E2252" t="s">
        <v>8</v>
      </c>
      <c r="F2252" t="s">
        <v>23</v>
      </c>
      <c r="BA2252">
        <f>SUM(Pre[[#This Row],[1]:[46]])</f>
        <v>0</v>
      </c>
    </row>
    <row r="2253" spans="1:53" x14ac:dyDescent="0.2">
      <c r="A2253" t="s">
        <v>22</v>
      </c>
      <c r="B2253" t="s">
        <v>54</v>
      </c>
      <c r="C2253">
        <v>16420</v>
      </c>
      <c r="D2253" t="s">
        <v>22</v>
      </c>
      <c r="E2253" t="s">
        <v>8</v>
      </c>
      <c r="F2253" t="s">
        <v>9</v>
      </c>
      <c r="AH2253">
        <v>1</v>
      </c>
      <c r="BA2253">
        <f>SUM(Pre[[#This Row],[1]:[46]])</f>
        <v>1</v>
      </c>
    </row>
    <row r="2254" spans="1:53" x14ac:dyDescent="0.2">
      <c r="A2254" t="s">
        <v>22</v>
      </c>
      <c r="B2254" t="s">
        <v>54</v>
      </c>
      <c r="C2254">
        <v>23021</v>
      </c>
      <c r="D2254" t="s">
        <v>22</v>
      </c>
      <c r="E2254" t="s">
        <v>8</v>
      </c>
      <c r="F2254" t="s">
        <v>9</v>
      </c>
      <c r="N2254">
        <v>1</v>
      </c>
      <c r="Z2254">
        <v>1</v>
      </c>
      <c r="BA2254">
        <f>SUM(Pre[[#This Row],[1]:[46]])</f>
        <v>2</v>
      </c>
    </row>
    <row r="2255" spans="1:53" x14ac:dyDescent="0.2">
      <c r="A2255" t="s">
        <v>22</v>
      </c>
      <c r="B2255" t="s">
        <v>54</v>
      </c>
      <c r="C2255">
        <v>30955</v>
      </c>
      <c r="D2255" t="s">
        <v>22</v>
      </c>
      <c r="E2255" t="s">
        <v>8</v>
      </c>
      <c r="F2255" t="s">
        <v>9</v>
      </c>
      <c r="N2255">
        <v>1</v>
      </c>
      <c r="BA2255">
        <f>SUM(Pre[[#This Row],[1]:[46]])</f>
        <v>1</v>
      </c>
    </row>
    <row r="2256" spans="1:53" x14ac:dyDescent="0.2">
      <c r="A2256" t="s">
        <v>59</v>
      </c>
      <c r="B2256" t="s">
        <v>54</v>
      </c>
      <c r="C2256">
        <v>1444</v>
      </c>
      <c r="D2256" t="s">
        <v>7</v>
      </c>
      <c r="E2256" t="s">
        <v>8</v>
      </c>
      <c r="F2256" t="s">
        <v>23</v>
      </c>
      <c r="J2256">
        <v>1</v>
      </c>
      <c r="Y2256">
        <v>1</v>
      </c>
      <c r="AL2256">
        <v>1</v>
      </c>
      <c r="AX2256">
        <v>1</v>
      </c>
      <c r="BA2256">
        <f>SUM(Pre[[#This Row],[1]:[46]])</f>
        <v>4</v>
      </c>
    </row>
    <row r="2257" spans="1:53" x14ac:dyDescent="0.2">
      <c r="A2257" t="s">
        <v>59</v>
      </c>
      <c r="B2257" t="s">
        <v>54</v>
      </c>
      <c r="C2257">
        <v>1534</v>
      </c>
      <c r="D2257" t="s">
        <v>7</v>
      </c>
      <c r="E2257" t="s">
        <v>14</v>
      </c>
      <c r="F2257" t="s">
        <v>19</v>
      </c>
      <c r="AI2257">
        <v>1</v>
      </c>
      <c r="BA2257">
        <f>SUM(Pre[[#This Row],[1]:[46]])</f>
        <v>1</v>
      </c>
    </row>
    <row r="2258" spans="1:53" x14ac:dyDescent="0.2">
      <c r="A2258" t="s">
        <v>59</v>
      </c>
      <c r="B2258" t="s">
        <v>54</v>
      </c>
      <c r="C2258">
        <v>6023</v>
      </c>
      <c r="D2258" t="s">
        <v>7</v>
      </c>
      <c r="E2258" t="s">
        <v>14</v>
      </c>
      <c r="F2258" t="s">
        <v>35</v>
      </c>
      <c r="K2258">
        <v>1</v>
      </c>
      <c r="P2258">
        <v>1</v>
      </c>
      <c r="R2258">
        <v>2</v>
      </c>
      <c r="BA2258">
        <f>SUM(Pre[[#This Row],[1]:[46]])</f>
        <v>4</v>
      </c>
    </row>
    <row r="2259" spans="1:53" x14ac:dyDescent="0.2">
      <c r="A2259" t="s">
        <v>59</v>
      </c>
      <c r="B2259" t="s">
        <v>54</v>
      </c>
      <c r="C2259">
        <v>6217</v>
      </c>
      <c r="D2259" t="s">
        <v>7</v>
      </c>
      <c r="E2259" t="s">
        <v>8</v>
      </c>
      <c r="F2259" t="s">
        <v>23</v>
      </c>
      <c r="BA2259">
        <f>SUM(Pre[[#This Row],[1]:[46]])</f>
        <v>0</v>
      </c>
    </row>
    <row r="2260" spans="1:53" x14ac:dyDescent="0.2">
      <c r="A2260" t="s">
        <v>59</v>
      </c>
      <c r="B2260" t="s">
        <v>54</v>
      </c>
      <c r="C2260">
        <v>8134</v>
      </c>
      <c r="D2260" t="s">
        <v>7</v>
      </c>
      <c r="E2260" t="s">
        <v>8</v>
      </c>
      <c r="F2260" t="s">
        <v>9</v>
      </c>
      <c r="T2260">
        <v>1</v>
      </c>
      <c r="AH2260">
        <v>1</v>
      </c>
      <c r="AU2260">
        <v>1</v>
      </c>
      <c r="BA2260">
        <f>SUM(Pre[[#This Row],[1]:[46]])</f>
        <v>3</v>
      </c>
    </row>
    <row r="2261" spans="1:53" x14ac:dyDescent="0.2">
      <c r="A2261" t="s">
        <v>59</v>
      </c>
      <c r="B2261" t="s">
        <v>54</v>
      </c>
      <c r="C2261">
        <v>11328</v>
      </c>
      <c r="D2261" t="s">
        <v>7</v>
      </c>
      <c r="E2261" t="s">
        <v>8</v>
      </c>
      <c r="F2261" t="s">
        <v>9</v>
      </c>
      <c r="AF2261">
        <v>1</v>
      </c>
      <c r="AV2261">
        <v>1</v>
      </c>
      <c r="BA2261">
        <f>SUM(Pre[[#This Row],[1]:[46]])</f>
        <v>2</v>
      </c>
    </row>
    <row r="2262" spans="1:53" x14ac:dyDescent="0.2">
      <c r="A2262" t="s">
        <v>59</v>
      </c>
      <c r="B2262" t="s">
        <v>54</v>
      </c>
      <c r="C2262">
        <v>11328</v>
      </c>
      <c r="D2262" t="s">
        <v>7</v>
      </c>
      <c r="E2262" t="s">
        <v>14</v>
      </c>
      <c r="F2262" t="s">
        <v>20</v>
      </c>
      <c r="W2262">
        <v>1</v>
      </c>
      <c r="AK2262">
        <v>1</v>
      </c>
      <c r="AX2262">
        <v>1</v>
      </c>
      <c r="BA2262">
        <f>SUM(Pre[[#This Row],[1]:[46]])</f>
        <v>3</v>
      </c>
    </row>
    <row r="2263" spans="1:53" x14ac:dyDescent="0.2">
      <c r="A2263" t="s">
        <v>59</v>
      </c>
      <c r="B2263" t="s">
        <v>54</v>
      </c>
      <c r="C2263">
        <v>11953</v>
      </c>
      <c r="D2263" t="s">
        <v>7</v>
      </c>
      <c r="E2263" t="s">
        <v>10</v>
      </c>
      <c r="F2263" t="s">
        <v>11</v>
      </c>
      <c r="H2263">
        <v>1</v>
      </c>
      <c r="AI2263">
        <v>1</v>
      </c>
      <c r="BA2263">
        <f>SUM(Pre[[#This Row],[1]:[46]])</f>
        <v>2</v>
      </c>
    </row>
    <row r="2264" spans="1:53" x14ac:dyDescent="0.2">
      <c r="A2264" t="s">
        <v>59</v>
      </c>
      <c r="B2264" t="s">
        <v>54</v>
      </c>
      <c r="C2264">
        <v>12014</v>
      </c>
      <c r="D2264" t="s">
        <v>7</v>
      </c>
      <c r="E2264" t="s">
        <v>8</v>
      </c>
      <c r="F2264" t="s">
        <v>9</v>
      </c>
      <c r="L2264">
        <v>1</v>
      </c>
      <c r="Q2264">
        <v>1</v>
      </c>
      <c r="V2264">
        <v>2</v>
      </c>
      <c r="Z2264">
        <v>1</v>
      </c>
      <c r="AE2264">
        <v>2</v>
      </c>
      <c r="AP2264">
        <v>1</v>
      </c>
      <c r="AQ2264">
        <v>1</v>
      </c>
      <c r="BA2264">
        <f>SUM(Pre[[#This Row],[1]:[46]])</f>
        <v>9</v>
      </c>
    </row>
    <row r="2265" spans="1:53" x14ac:dyDescent="0.2">
      <c r="A2265" t="s">
        <v>59</v>
      </c>
      <c r="B2265" t="s">
        <v>54</v>
      </c>
      <c r="C2265">
        <v>13538</v>
      </c>
      <c r="D2265" t="s">
        <v>7</v>
      </c>
      <c r="E2265" t="s">
        <v>8</v>
      </c>
      <c r="F2265" t="s">
        <v>9</v>
      </c>
      <c r="BA2265">
        <f>SUM(Pre[[#This Row],[1]:[46]])</f>
        <v>0</v>
      </c>
    </row>
    <row r="2266" spans="1:53" x14ac:dyDescent="0.2">
      <c r="A2266" t="s">
        <v>59</v>
      </c>
      <c r="B2266" t="s">
        <v>54</v>
      </c>
      <c r="C2266">
        <v>14045</v>
      </c>
      <c r="D2266" t="s">
        <v>7</v>
      </c>
      <c r="E2266" t="s">
        <v>10</v>
      </c>
      <c r="F2266" t="s">
        <v>16</v>
      </c>
      <c r="AG2266">
        <v>1</v>
      </c>
      <c r="AN2266">
        <v>1</v>
      </c>
      <c r="BA2266">
        <f>SUM(Pre[[#This Row],[1]:[46]])</f>
        <v>2</v>
      </c>
    </row>
    <row r="2267" spans="1:53" x14ac:dyDescent="0.2">
      <c r="A2267" t="s">
        <v>59</v>
      </c>
      <c r="B2267" t="s">
        <v>54</v>
      </c>
      <c r="C2267">
        <v>16788</v>
      </c>
      <c r="D2267" t="s">
        <v>7</v>
      </c>
      <c r="E2267" t="s">
        <v>10</v>
      </c>
      <c r="F2267" t="s">
        <v>11</v>
      </c>
      <c r="AX2267">
        <v>1</v>
      </c>
      <c r="BA2267">
        <f>SUM(Pre[[#This Row],[1]:[46]])</f>
        <v>1</v>
      </c>
    </row>
    <row r="2268" spans="1:53" x14ac:dyDescent="0.2">
      <c r="A2268" t="s">
        <v>59</v>
      </c>
      <c r="B2268" t="s">
        <v>54</v>
      </c>
      <c r="C2268">
        <v>29236</v>
      </c>
      <c r="D2268" t="s">
        <v>7</v>
      </c>
      <c r="E2268" t="s">
        <v>8</v>
      </c>
      <c r="F2268" t="s">
        <v>45</v>
      </c>
      <c r="Q2268">
        <v>1</v>
      </c>
      <c r="AF2268">
        <v>1</v>
      </c>
      <c r="AS2268">
        <v>1</v>
      </c>
      <c r="BA2268">
        <f>SUM(Pre[[#This Row],[1]:[46]])</f>
        <v>3</v>
      </c>
    </row>
    <row r="2269" spans="1:53" x14ac:dyDescent="0.2">
      <c r="A2269" t="s">
        <v>59</v>
      </c>
      <c r="B2269" t="s">
        <v>54</v>
      </c>
      <c r="C2269">
        <v>825</v>
      </c>
      <c r="D2269" t="s">
        <v>22</v>
      </c>
      <c r="E2269" t="s">
        <v>14</v>
      </c>
      <c r="F2269" t="s">
        <v>20</v>
      </c>
      <c r="R2269">
        <v>1</v>
      </c>
      <c r="AE2269">
        <v>1</v>
      </c>
      <c r="AK2269">
        <v>2</v>
      </c>
      <c r="AO2269">
        <v>1</v>
      </c>
      <c r="BA2269">
        <f>SUM(Pre[[#This Row],[1]:[46]])</f>
        <v>5</v>
      </c>
    </row>
    <row r="2270" spans="1:53" x14ac:dyDescent="0.2">
      <c r="A2270" t="s">
        <v>59</v>
      </c>
      <c r="B2270" t="s">
        <v>54</v>
      </c>
      <c r="C2270">
        <v>4816</v>
      </c>
      <c r="D2270" t="s">
        <v>22</v>
      </c>
      <c r="E2270" t="s">
        <v>8</v>
      </c>
      <c r="F2270" t="s">
        <v>29</v>
      </c>
      <c r="U2270">
        <v>1</v>
      </c>
      <c r="Y2270">
        <v>1</v>
      </c>
      <c r="AB2270">
        <v>1</v>
      </c>
      <c r="AE2270">
        <v>1</v>
      </c>
      <c r="AH2270">
        <v>1</v>
      </c>
      <c r="AK2270">
        <v>1</v>
      </c>
      <c r="AM2270">
        <v>1</v>
      </c>
      <c r="AO2270">
        <v>1</v>
      </c>
      <c r="AR2270">
        <v>1</v>
      </c>
      <c r="BA2270">
        <f>SUM(Pre[[#This Row],[1]:[46]])</f>
        <v>9</v>
      </c>
    </row>
    <row r="2271" spans="1:53" x14ac:dyDescent="0.2">
      <c r="A2271" t="s">
        <v>59</v>
      </c>
      <c r="B2271" t="s">
        <v>54</v>
      </c>
      <c r="C2271">
        <v>5361</v>
      </c>
      <c r="D2271" t="s">
        <v>22</v>
      </c>
      <c r="E2271" t="s">
        <v>8</v>
      </c>
      <c r="F2271" t="s">
        <v>9</v>
      </c>
      <c r="L2271">
        <v>1</v>
      </c>
      <c r="Z2271">
        <v>1</v>
      </c>
      <c r="BA2271">
        <f>SUM(Pre[[#This Row],[1]:[46]])</f>
        <v>2</v>
      </c>
    </row>
    <row r="2272" spans="1:53" x14ac:dyDescent="0.2">
      <c r="A2272" t="s">
        <v>59</v>
      </c>
      <c r="B2272" t="s">
        <v>54</v>
      </c>
      <c r="C2272">
        <v>5361</v>
      </c>
      <c r="D2272" t="s">
        <v>22</v>
      </c>
      <c r="E2272" t="s">
        <v>8</v>
      </c>
      <c r="F2272" t="s">
        <v>29</v>
      </c>
      <c r="Z2272">
        <v>2</v>
      </c>
      <c r="BA2272">
        <f>SUM(Pre[[#This Row],[1]:[46]])</f>
        <v>2</v>
      </c>
    </row>
    <row r="2273" spans="1:53" x14ac:dyDescent="0.2">
      <c r="A2273" t="s">
        <v>59</v>
      </c>
      <c r="B2273" t="s">
        <v>54</v>
      </c>
      <c r="C2273">
        <v>5564</v>
      </c>
      <c r="D2273" t="s">
        <v>22</v>
      </c>
      <c r="E2273" t="s">
        <v>8</v>
      </c>
      <c r="F2273" t="s">
        <v>23</v>
      </c>
      <c r="K2273">
        <v>1</v>
      </c>
      <c r="AA2273">
        <v>1</v>
      </c>
      <c r="AO2273">
        <v>1</v>
      </c>
      <c r="BA2273">
        <f>SUM(Pre[[#This Row],[1]:[46]])</f>
        <v>3</v>
      </c>
    </row>
    <row r="2274" spans="1:53" x14ac:dyDescent="0.2">
      <c r="A2274" t="s">
        <v>59</v>
      </c>
      <c r="B2274" t="s">
        <v>54</v>
      </c>
      <c r="C2274">
        <v>6321</v>
      </c>
      <c r="D2274" t="s">
        <v>22</v>
      </c>
      <c r="E2274" t="s">
        <v>8</v>
      </c>
      <c r="F2274" t="s">
        <v>29</v>
      </c>
      <c r="V2274">
        <v>1</v>
      </c>
      <c r="AJ2274">
        <v>1</v>
      </c>
      <c r="AW2274">
        <v>1</v>
      </c>
      <c r="BA2274">
        <f>SUM(Pre[[#This Row],[1]:[46]])</f>
        <v>3</v>
      </c>
    </row>
    <row r="2275" spans="1:53" x14ac:dyDescent="0.2">
      <c r="A2275" t="s">
        <v>59</v>
      </c>
      <c r="B2275" t="s">
        <v>54</v>
      </c>
      <c r="C2275">
        <v>6359</v>
      </c>
      <c r="D2275" t="s">
        <v>22</v>
      </c>
      <c r="E2275" t="s">
        <v>8</v>
      </c>
      <c r="F2275" t="s">
        <v>23</v>
      </c>
      <c r="J2275">
        <v>1</v>
      </c>
      <c r="BA2275">
        <f>SUM(Pre[[#This Row],[1]:[46]])</f>
        <v>1</v>
      </c>
    </row>
    <row r="2276" spans="1:53" x14ac:dyDescent="0.2">
      <c r="A2276" t="s">
        <v>59</v>
      </c>
      <c r="B2276" t="s">
        <v>54</v>
      </c>
      <c r="C2276">
        <v>6525</v>
      </c>
      <c r="D2276" t="s">
        <v>22</v>
      </c>
      <c r="E2276" t="s">
        <v>8</v>
      </c>
      <c r="F2276" t="s">
        <v>9</v>
      </c>
      <c r="K2276">
        <v>1</v>
      </c>
      <c r="L2276">
        <v>1</v>
      </c>
      <c r="AG2276">
        <v>2</v>
      </c>
      <c r="AZ2276">
        <v>1</v>
      </c>
      <c r="BA2276">
        <f>SUM(Pre[[#This Row],[1]:[46]])</f>
        <v>5</v>
      </c>
    </row>
    <row r="2277" spans="1:53" x14ac:dyDescent="0.2">
      <c r="A2277" t="s">
        <v>59</v>
      </c>
      <c r="B2277" t="s">
        <v>54</v>
      </c>
      <c r="C2277">
        <v>7516</v>
      </c>
      <c r="D2277" t="s">
        <v>22</v>
      </c>
      <c r="E2277" t="s">
        <v>8</v>
      </c>
      <c r="F2277" t="s">
        <v>23</v>
      </c>
      <c r="J2277">
        <v>1</v>
      </c>
      <c r="X2277">
        <v>2</v>
      </c>
      <c r="AB2277">
        <v>1</v>
      </c>
      <c r="AF2277">
        <v>1</v>
      </c>
      <c r="AL2277">
        <v>1</v>
      </c>
      <c r="AO2277">
        <v>1</v>
      </c>
      <c r="BA2277">
        <f>SUM(Pre[[#This Row],[1]:[46]])</f>
        <v>7</v>
      </c>
    </row>
    <row r="2278" spans="1:53" x14ac:dyDescent="0.2">
      <c r="A2278" t="s">
        <v>59</v>
      </c>
      <c r="B2278" t="s">
        <v>54</v>
      </c>
      <c r="C2278">
        <v>7696</v>
      </c>
      <c r="D2278" t="s">
        <v>22</v>
      </c>
      <c r="E2278" t="s">
        <v>8</v>
      </c>
      <c r="F2278" t="s">
        <v>9</v>
      </c>
      <c r="R2278">
        <v>1</v>
      </c>
      <c r="AK2278">
        <v>1</v>
      </c>
      <c r="AY2278">
        <v>1</v>
      </c>
      <c r="BA2278">
        <f>SUM(Pre[[#This Row],[1]:[46]])</f>
        <v>3</v>
      </c>
    </row>
    <row r="2279" spans="1:53" x14ac:dyDescent="0.2">
      <c r="A2279" t="s">
        <v>59</v>
      </c>
      <c r="B2279" t="s">
        <v>54</v>
      </c>
      <c r="C2279">
        <v>7696</v>
      </c>
      <c r="D2279" t="s">
        <v>22</v>
      </c>
      <c r="E2279" t="s">
        <v>26</v>
      </c>
      <c r="F2279" t="s">
        <v>27</v>
      </c>
      <c r="S2279">
        <v>1</v>
      </c>
      <c r="AE2279">
        <v>1</v>
      </c>
      <c r="AR2279">
        <v>1</v>
      </c>
      <c r="AY2279">
        <v>1</v>
      </c>
      <c r="BA2279">
        <f>SUM(Pre[[#This Row],[1]:[46]])</f>
        <v>4</v>
      </c>
    </row>
    <row r="2280" spans="1:53" x14ac:dyDescent="0.2">
      <c r="A2280" t="s">
        <v>59</v>
      </c>
      <c r="B2280" t="s">
        <v>54</v>
      </c>
      <c r="C2280">
        <v>8029</v>
      </c>
      <c r="D2280" t="s">
        <v>22</v>
      </c>
      <c r="E2280" t="s">
        <v>14</v>
      </c>
      <c r="F2280" t="s">
        <v>19</v>
      </c>
      <c r="BA2280">
        <f>SUM(Pre[[#This Row],[1]:[46]])</f>
        <v>0</v>
      </c>
    </row>
    <row r="2281" spans="1:53" x14ac:dyDescent="0.2">
      <c r="A2281" t="s">
        <v>59</v>
      </c>
      <c r="B2281" t="s">
        <v>54</v>
      </c>
      <c r="C2281">
        <v>8029</v>
      </c>
      <c r="D2281" t="s">
        <v>22</v>
      </c>
      <c r="E2281" t="s">
        <v>14</v>
      </c>
      <c r="F2281" t="s">
        <v>21</v>
      </c>
      <c r="BA2281">
        <f>SUM(Pre[[#This Row],[1]:[46]])</f>
        <v>0</v>
      </c>
    </row>
    <row r="2282" spans="1:53" x14ac:dyDescent="0.2">
      <c r="A2282" t="s">
        <v>59</v>
      </c>
      <c r="B2282" t="s">
        <v>54</v>
      </c>
      <c r="C2282">
        <v>8029</v>
      </c>
      <c r="D2282" t="s">
        <v>22</v>
      </c>
      <c r="E2282" t="s">
        <v>14</v>
      </c>
      <c r="F2282" t="s">
        <v>20</v>
      </c>
      <c r="BA2282">
        <f>SUM(Pre[[#This Row],[1]:[46]])</f>
        <v>0</v>
      </c>
    </row>
    <row r="2283" spans="1:53" x14ac:dyDescent="0.2">
      <c r="A2283" t="s">
        <v>59</v>
      </c>
      <c r="B2283" t="s">
        <v>54</v>
      </c>
      <c r="C2283">
        <v>8199</v>
      </c>
      <c r="D2283" t="s">
        <v>22</v>
      </c>
      <c r="E2283" t="s">
        <v>8</v>
      </c>
      <c r="F2283" t="s">
        <v>9</v>
      </c>
      <c r="R2283">
        <v>1</v>
      </c>
      <c r="AJ2283">
        <v>1</v>
      </c>
      <c r="BA2283">
        <f>SUM(Pre[[#This Row],[1]:[46]])</f>
        <v>2</v>
      </c>
    </row>
    <row r="2284" spans="1:53" x14ac:dyDescent="0.2">
      <c r="A2284" t="s">
        <v>59</v>
      </c>
      <c r="B2284" t="s">
        <v>54</v>
      </c>
      <c r="C2284">
        <v>8669</v>
      </c>
      <c r="D2284" t="s">
        <v>22</v>
      </c>
      <c r="E2284" t="s">
        <v>8</v>
      </c>
      <c r="F2284" t="s">
        <v>9</v>
      </c>
      <c r="T2284">
        <v>1</v>
      </c>
      <c r="AG2284">
        <v>1</v>
      </c>
      <c r="AZ2284">
        <v>1</v>
      </c>
      <c r="BA2284">
        <f>SUM(Pre[[#This Row],[1]:[46]])</f>
        <v>3</v>
      </c>
    </row>
    <row r="2285" spans="1:53" x14ac:dyDescent="0.2">
      <c r="A2285" t="s">
        <v>59</v>
      </c>
      <c r="B2285" t="s">
        <v>54</v>
      </c>
      <c r="C2285">
        <v>8863</v>
      </c>
      <c r="D2285" t="s">
        <v>22</v>
      </c>
      <c r="E2285" t="s">
        <v>8</v>
      </c>
      <c r="F2285" t="s">
        <v>9</v>
      </c>
      <c r="J2285">
        <v>1</v>
      </c>
      <c r="N2285">
        <v>1</v>
      </c>
      <c r="R2285">
        <v>1</v>
      </c>
      <c r="V2285">
        <v>1</v>
      </c>
      <c r="Z2285">
        <v>1</v>
      </c>
      <c r="AC2285">
        <v>1</v>
      </c>
      <c r="AF2285">
        <v>1</v>
      </c>
      <c r="AM2285">
        <v>1</v>
      </c>
      <c r="BA2285">
        <f>SUM(Pre[[#This Row],[1]:[46]])</f>
        <v>8</v>
      </c>
    </row>
    <row r="2286" spans="1:53" x14ac:dyDescent="0.2">
      <c r="A2286" t="s">
        <v>59</v>
      </c>
      <c r="B2286" t="s">
        <v>54</v>
      </c>
      <c r="C2286">
        <v>10235</v>
      </c>
      <c r="D2286" t="s">
        <v>22</v>
      </c>
      <c r="E2286" t="s">
        <v>8</v>
      </c>
      <c r="F2286" t="s">
        <v>9</v>
      </c>
      <c r="K2286">
        <v>1</v>
      </c>
      <c r="W2286">
        <v>1</v>
      </c>
      <c r="AJ2286">
        <v>1</v>
      </c>
      <c r="AY2286">
        <v>1</v>
      </c>
      <c r="BA2286">
        <f>SUM(Pre[[#This Row],[1]:[46]])</f>
        <v>4</v>
      </c>
    </row>
    <row r="2287" spans="1:53" x14ac:dyDescent="0.2">
      <c r="A2287" t="s">
        <v>59</v>
      </c>
      <c r="B2287" t="s">
        <v>54</v>
      </c>
      <c r="C2287">
        <v>10915</v>
      </c>
      <c r="D2287" t="s">
        <v>22</v>
      </c>
      <c r="E2287" t="s">
        <v>8</v>
      </c>
      <c r="F2287" t="s">
        <v>23</v>
      </c>
      <c r="H2287">
        <v>1</v>
      </c>
      <c r="L2287">
        <v>1</v>
      </c>
      <c r="Q2287">
        <v>1</v>
      </c>
      <c r="V2287">
        <v>1</v>
      </c>
      <c r="AC2287">
        <v>1</v>
      </c>
      <c r="AJ2287">
        <v>1</v>
      </c>
      <c r="BA2287">
        <f>SUM(Pre[[#This Row],[1]:[46]])</f>
        <v>6</v>
      </c>
    </row>
    <row r="2288" spans="1:53" x14ac:dyDescent="0.2">
      <c r="A2288" t="s">
        <v>59</v>
      </c>
      <c r="B2288" t="s">
        <v>54</v>
      </c>
      <c r="C2288">
        <v>11542</v>
      </c>
      <c r="D2288" t="s">
        <v>22</v>
      </c>
      <c r="E2288" t="s">
        <v>8</v>
      </c>
      <c r="F2288" t="s">
        <v>23</v>
      </c>
      <c r="P2288">
        <v>1</v>
      </c>
      <c r="Z2288">
        <v>1</v>
      </c>
      <c r="AC2288">
        <v>1</v>
      </c>
      <c r="AQ2288">
        <v>1</v>
      </c>
      <c r="AY2288">
        <v>1</v>
      </c>
      <c r="BA2288">
        <f>SUM(Pre[[#This Row],[1]:[46]])</f>
        <v>5</v>
      </c>
    </row>
    <row r="2289" spans="1:53" x14ac:dyDescent="0.2">
      <c r="A2289" t="s">
        <v>59</v>
      </c>
      <c r="B2289" t="s">
        <v>54</v>
      </c>
      <c r="C2289">
        <v>13167</v>
      </c>
      <c r="D2289" t="s">
        <v>22</v>
      </c>
      <c r="E2289" t="s">
        <v>8</v>
      </c>
      <c r="F2289" t="s">
        <v>9</v>
      </c>
      <c r="G2289">
        <v>1</v>
      </c>
      <c r="X2289">
        <v>1</v>
      </c>
      <c r="AP2289">
        <v>1</v>
      </c>
      <c r="BA2289">
        <f>SUM(Pre[[#This Row],[1]:[46]])</f>
        <v>3</v>
      </c>
    </row>
    <row r="2290" spans="1:53" x14ac:dyDescent="0.2">
      <c r="A2290" t="s">
        <v>59</v>
      </c>
      <c r="B2290" t="s">
        <v>54</v>
      </c>
      <c r="C2290">
        <v>13789</v>
      </c>
      <c r="D2290" t="s">
        <v>22</v>
      </c>
      <c r="E2290" t="s">
        <v>14</v>
      </c>
      <c r="F2290" t="s">
        <v>20</v>
      </c>
      <c r="K2290">
        <v>3</v>
      </c>
      <c r="Q2290">
        <v>1</v>
      </c>
      <c r="X2290">
        <v>1</v>
      </c>
      <c r="AE2290">
        <v>1</v>
      </c>
      <c r="BA2290">
        <f>SUM(Pre[[#This Row],[1]:[46]])</f>
        <v>6</v>
      </c>
    </row>
    <row r="2291" spans="1:53" x14ac:dyDescent="0.2">
      <c r="A2291" t="s">
        <v>59</v>
      </c>
      <c r="B2291" t="s">
        <v>54</v>
      </c>
      <c r="C2291">
        <v>14139</v>
      </c>
      <c r="D2291" t="s">
        <v>22</v>
      </c>
      <c r="E2291" t="s">
        <v>14</v>
      </c>
      <c r="F2291" t="s">
        <v>35</v>
      </c>
      <c r="BA2291">
        <f>SUM(Pre[[#This Row],[1]:[46]])</f>
        <v>0</v>
      </c>
    </row>
    <row r="2292" spans="1:53" x14ac:dyDescent="0.2">
      <c r="A2292" t="s">
        <v>59</v>
      </c>
      <c r="B2292" t="s">
        <v>54</v>
      </c>
      <c r="C2292">
        <v>15488</v>
      </c>
      <c r="D2292" t="s">
        <v>22</v>
      </c>
      <c r="E2292" t="s">
        <v>8</v>
      </c>
      <c r="F2292" t="s">
        <v>23</v>
      </c>
      <c r="P2292">
        <v>1</v>
      </c>
      <c r="AD2292">
        <v>1</v>
      </c>
      <c r="AR2292">
        <v>1</v>
      </c>
      <c r="BA2292">
        <f>SUM(Pre[[#This Row],[1]:[46]])</f>
        <v>3</v>
      </c>
    </row>
    <row r="2293" spans="1:53" x14ac:dyDescent="0.2">
      <c r="A2293" t="s">
        <v>59</v>
      </c>
      <c r="B2293" t="s">
        <v>54</v>
      </c>
      <c r="C2293">
        <v>16269</v>
      </c>
      <c r="D2293" t="s">
        <v>22</v>
      </c>
      <c r="E2293" t="s">
        <v>8</v>
      </c>
      <c r="F2293" t="s">
        <v>23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2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f>SUM(Pre[[#This Row],[1]:[46]])</f>
        <v>47</v>
      </c>
    </row>
    <row r="2294" spans="1:53" x14ac:dyDescent="0.2">
      <c r="A2294" t="s">
        <v>59</v>
      </c>
      <c r="B2294" t="s">
        <v>54</v>
      </c>
      <c r="C2294">
        <v>22897</v>
      </c>
      <c r="D2294" t="s">
        <v>22</v>
      </c>
      <c r="E2294" t="s">
        <v>8</v>
      </c>
      <c r="F2294" t="s">
        <v>9</v>
      </c>
      <c r="R2294">
        <v>1</v>
      </c>
      <c r="AF2294">
        <v>1</v>
      </c>
      <c r="AV2294">
        <v>1</v>
      </c>
      <c r="BA2294">
        <f>SUM(Pre[[#This Row],[1]:[46]])</f>
        <v>3</v>
      </c>
    </row>
    <row r="2295" spans="1:53" x14ac:dyDescent="0.2">
      <c r="A2295" t="s">
        <v>59</v>
      </c>
      <c r="B2295" t="s">
        <v>54</v>
      </c>
      <c r="C2295">
        <v>23517</v>
      </c>
      <c r="D2295" t="s">
        <v>22</v>
      </c>
      <c r="E2295" t="s">
        <v>10</v>
      </c>
      <c r="F2295" t="s">
        <v>11</v>
      </c>
      <c r="AF2295">
        <v>1</v>
      </c>
      <c r="BA2295">
        <f>SUM(Pre[[#This Row],[1]:[46]])</f>
        <v>1</v>
      </c>
    </row>
    <row r="2296" spans="1:53" x14ac:dyDescent="0.2">
      <c r="A2296" t="s">
        <v>59</v>
      </c>
      <c r="B2296" t="s">
        <v>54</v>
      </c>
      <c r="C2296">
        <v>30866</v>
      </c>
      <c r="D2296" t="s">
        <v>22</v>
      </c>
      <c r="E2296" t="s">
        <v>10</v>
      </c>
      <c r="F2296" t="s">
        <v>11</v>
      </c>
      <c r="BA2296">
        <f>SUM(Pre[[#This Row],[1]:[46]])</f>
        <v>0</v>
      </c>
    </row>
    <row r="2297" spans="1:53" x14ac:dyDescent="0.2">
      <c r="A2297" t="s">
        <v>59</v>
      </c>
      <c r="B2297" t="s">
        <v>54</v>
      </c>
      <c r="C2297">
        <v>32664</v>
      </c>
      <c r="D2297" t="s">
        <v>22</v>
      </c>
      <c r="E2297" t="s">
        <v>40</v>
      </c>
      <c r="F2297" t="s">
        <v>41</v>
      </c>
      <c r="AK2297">
        <v>1</v>
      </c>
      <c r="BA2297">
        <f>SUM(Pre[[#This Row],[1]:[46]])</f>
        <v>1</v>
      </c>
    </row>
    <row r="2298" spans="1:53" x14ac:dyDescent="0.2">
      <c r="A2298" t="s">
        <v>59</v>
      </c>
      <c r="B2298" t="s">
        <v>54</v>
      </c>
      <c r="C2298">
        <v>32664</v>
      </c>
      <c r="D2298" t="s">
        <v>22</v>
      </c>
      <c r="E2298" t="s">
        <v>32</v>
      </c>
      <c r="F2298" t="s">
        <v>33</v>
      </c>
      <c r="BA2298">
        <f>SUM(Pre[[#This Row],[1]:[46]])</f>
        <v>0</v>
      </c>
    </row>
    <row r="2299" spans="1:53" x14ac:dyDescent="0.2">
      <c r="A2299" t="s">
        <v>59</v>
      </c>
      <c r="B2299" t="s">
        <v>54</v>
      </c>
      <c r="C2299">
        <v>100</v>
      </c>
      <c r="D2299" t="s">
        <v>7</v>
      </c>
      <c r="E2299" t="s">
        <v>10</v>
      </c>
      <c r="F2299" t="s">
        <v>11</v>
      </c>
      <c r="AI2299">
        <v>1</v>
      </c>
      <c r="AM2299">
        <v>1</v>
      </c>
      <c r="AN2299">
        <v>1</v>
      </c>
      <c r="AR2299">
        <v>1</v>
      </c>
      <c r="AW2299">
        <v>1</v>
      </c>
      <c r="BA2299">
        <f>SUM(Pre[[#This Row],[1]:[46]])</f>
        <v>5</v>
      </c>
    </row>
    <row r="2300" spans="1:53" x14ac:dyDescent="0.2">
      <c r="A2300" t="s">
        <v>59</v>
      </c>
      <c r="B2300" t="s">
        <v>54</v>
      </c>
      <c r="C2300">
        <v>123</v>
      </c>
      <c r="D2300" t="s">
        <v>7</v>
      </c>
      <c r="E2300" t="s">
        <v>8</v>
      </c>
      <c r="F2300" t="s">
        <v>9</v>
      </c>
      <c r="BA2300">
        <f>SUM(Pre[[#This Row],[1]:[46]])</f>
        <v>0</v>
      </c>
    </row>
    <row r="2301" spans="1:53" x14ac:dyDescent="0.2">
      <c r="A2301" t="s">
        <v>59</v>
      </c>
      <c r="B2301" t="s">
        <v>54</v>
      </c>
      <c r="C2301">
        <v>348</v>
      </c>
      <c r="D2301" t="s">
        <v>7</v>
      </c>
      <c r="E2301" t="s">
        <v>8</v>
      </c>
      <c r="F2301" t="s">
        <v>9</v>
      </c>
      <c r="K2301">
        <v>2</v>
      </c>
      <c r="L2301">
        <v>3</v>
      </c>
      <c r="Z2301">
        <v>3</v>
      </c>
      <c r="AO2301">
        <v>2</v>
      </c>
      <c r="BA2301">
        <f>SUM(Pre[[#This Row],[1]:[46]])</f>
        <v>10</v>
      </c>
    </row>
    <row r="2302" spans="1:53" x14ac:dyDescent="0.2">
      <c r="A2302" t="s">
        <v>59</v>
      </c>
      <c r="B2302" t="s">
        <v>54</v>
      </c>
      <c r="C2302">
        <v>777</v>
      </c>
      <c r="D2302" t="s">
        <v>7</v>
      </c>
      <c r="E2302" t="s">
        <v>14</v>
      </c>
      <c r="F2302" t="s">
        <v>35</v>
      </c>
      <c r="AW2302">
        <v>1</v>
      </c>
      <c r="BA2302">
        <f>SUM(Pre[[#This Row],[1]:[46]])</f>
        <v>1</v>
      </c>
    </row>
    <row r="2303" spans="1:53" x14ac:dyDescent="0.2">
      <c r="A2303" t="s">
        <v>59</v>
      </c>
      <c r="B2303" t="s">
        <v>54</v>
      </c>
      <c r="C2303">
        <v>1880</v>
      </c>
      <c r="D2303" t="s">
        <v>7</v>
      </c>
      <c r="E2303" t="s">
        <v>14</v>
      </c>
      <c r="F2303" t="s">
        <v>20</v>
      </c>
      <c r="S2303">
        <v>2</v>
      </c>
      <c r="AM2303">
        <v>1</v>
      </c>
      <c r="AZ2303">
        <v>1</v>
      </c>
      <c r="BA2303">
        <f>SUM(Pre[[#This Row],[1]:[46]])</f>
        <v>4</v>
      </c>
    </row>
    <row r="2304" spans="1:53" x14ac:dyDescent="0.2">
      <c r="A2304" t="s">
        <v>59</v>
      </c>
      <c r="B2304" t="s">
        <v>54</v>
      </c>
      <c r="C2304">
        <v>1896</v>
      </c>
      <c r="D2304" t="s">
        <v>7</v>
      </c>
      <c r="E2304" t="s">
        <v>40</v>
      </c>
      <c r="F2304" t="s">
        <v>41</v>
      </c>
      <c r="U2304">
        <v>1</v>
      </c>
      <c r="AT2304">
        <v>1</v>
      </c>
      <c r="BA2304">
        <f>SUM(Pre[[#This Row],[1]:[46]])</f>
        <v>2</v>
      </c>
    </row>
    <row r="2305" spans="1:53" x14ac:dyDescent="0.2">
      <c r="A2305" t="s">
        <v>59</v>
      </c>
      <c r="B2305" t="s">
        <v>54</v>
      </c>
      <c r="C2305">
        <v>1896</v>
      </c>
      <c r="D2305" t="s">
        <v>7</v>
      </c>
      <c r="E2305" t="s">
        <v>8</v>
      </c>
      <c r="F2305" t="s">
        <v>29</v>
      </c>
      <c r="J2305">
        <v>1</v>
      </c>
      <c r="N2305">
        <v>1</v>
      </c>
      <c r="R2305">
        <v>1</v>
      </c>
      <c r="V2305">
        <v>1</v>
      </c>
      <c r="Z2305">
        <v>1</v>
      </c>
      <c r="AC2305">
        <v>1</v>
      </c>
      <c r="AF2305">
        <v>1</v>
      </c>
      <c r="AI2305">
        <v>1</v>
      </c>
      <c r="AL2305">
        <v>1</v>
      </c>
      <c r="AP2305">
        <v>1</v>
      </c>
      <c r="AT2305">
        <v>1</v>
      </c>
      <c r="AX2305">
        <v>1</v>
      </c>
      <c r="BA2305">
        <f>SUM(Pre[[#This Row],[1]:[46]])</f>
        <v>12</v>
      </c>
    </row>
    <row r="2306" spans="1:53" x14ac:dyDescent="0.2">
      <c r="A2306" t="s">
        <v>59</v>
      </c>
      <c r="B2306" t="s">
        <v>54</v>
      </c>
      <c r="C2306">
        <v>3449</v>
      </c>
      <c r="D2306" t="s">
        <v>7</v>
      </c>
      <c r="E2306" t="s">
        <v>14</v>
      </c>
      <c r="F2306" t="s">
        <v>35</v>
      </c>
      <c r="Q2306">
        <v>1</v>
      </c>
      <c r="T2306">
        <v>1</v>
      </c>
      <c r="V2306">
        <v>1</v>
      </c>
      <c r="AD2306">
        <v>1</v>
      </c>
      <c r="AG2306">
        <v>1</v>
      </c>
      <c r="AK2306">
        <v>1</v>
      </c>
      <c r="AQ2306">
        <v>1</v>
      </c>
      <c r="AR2306">
        <v>1</v>
      </c>
      <c r="AU2306">
        <v>2</v>
      </c>
      <c r="AX2306">
        <v>1</v>
      </c>
      <c r="BA2306">
        <f>SUM(Pre[[#This Row],[1]:[46]])</f>
        <v>11</v>
      </c>
    </row>
    <row r="2307" spans="1:53" x14ac:dyDescent="0.2">
      <c r="A2307" t="s">
        <v>59</v>
      </c>
      <c r="B2307" t="s">
        <v>54</v>
      </c>
      <c r="C2307">
        <v>4566</v>
      </c>
      <c r="D2307" t="s">
        <v>7</v>
      </c>
      <c r="E2307" t="s">
        <v>32</v>
      </c>
      <c r="F2307" t="s">
        <v>33</v>
      </c>
      <c r="AR2307">
        <v>1</v>
      </c>
      <c r="BA2307">
        <f>SUM(Pre[[#This Row],[1]:[46]])</f>
        <v>1</v>
      </c>
    </row>
    <row r="2308" spans="1:53" x14ac:dyDescent="0.2">
      <c r="A2308" t="s">
        <v>59</v>
      </c>
      <c r="B2308" t="s">
        <v>54</v>
      </c>
      <c r="C2308">
        <v>4566</v>
      </c>
      <c r="D2308" t="s">
        <v>7</v>
      </c>
      <c r="E2308" t="s">
        <v>17</v>
      </c>
      <c r="F2308" t="s">
        <v>18</v>
      </c>
      <c r="O2308">
        <v>1</v>
      </c>
      <c r="BA2308">
        <f>SUM(Pre[[#This Row],[1]:[46]])</f>
        <v>1</v>
      </c>
    </row>
    <row r="2309" spans="1:53" x14ac:dyDescent="0.2">
      <c r="A2309" t="s">
        <v>59</v>
      </c>
      <c r="B2309" t="s">
        <v>54</v>
      </c>
      <c r="C2309">
        <v>4566</v>
      </c>
      <c r="D2309" t="s">
        <v>7</v>
      </c>
      <c r="E2309" t="s">
        <v>14</v>
      </c>
      <c r="F2309" t="s">
        <v>35</v>
      </c>
      <c r="G2309">
        <v>1</v>
      </c>
      <c r="S2309">
        <v>1</v>
      </c>
      <c r="AI2309">
        <v>1</v>
      </c>
      <c r="AS2309">
        <v>1</v>
      </c>
      <c r="BA2309">
        <f>SUM(Pre[[#This Row],[1]:[46]])</f>
        <v>4</v>
      </c>
    </row>
    <row r="2310" spans="1:53" x14ac:dyDescent="0.2">
      <c r="A2310" t="s">
        <v>59</v>
      </c>
      <c r="B2310" t="s">
        <v>54</v>
      </c>
      <c r="C2310">
        <v>5513</v>
      </c>
      <c r="D2310" t="s">
        <v>7</v>
      </c>
      <c r="E2310" t="s">
        <v>8</v>
      </c>
      <c r="F2310" t="s">
        <v>9</v>
      </c>
      <c r="G2310">
        <v>3</v>
      </c>
      <c r="H2310">
        <v>3</v>
      </c>
      <c r="I2310">
        <v>3</v>
      </c>
      <c r="J2310">
        <v>4</v>
      </c>
      <c r="K2310">
        <v>3</v>
      </c>
      <c r="L2310">
        <v>3</v>
      </c>
      <c r="M2310">
        <v>3</v>
      </c>
      <c r="N2310">
        <v>3</v>
      </c>
      <c r="O2310">
        <v>3</v>
      </c>
      <c r="P2310">
        <v>3</v>
      </c>
      <c r="Q2310">
        <v>3</v>
      </c>
      <c r="R2310">
        <v>3</v>
      </c>
      <c r="S2310">
        <v>3</v>
      </c>
      <c r="T2310">
        <v>3</v>
      </c>
      <c r="U2310">
        <v>1</v>
      </c>
      <c r="V2310">
        <v>1</v>
      </c>
      <c r="W2310">
        <v>3</v>
      </c>
      <c r="X2310">
        <v>3</v>
      </c>
      <c r="Y2310">
        <v>4</v>
      </c>
      <c r="Z2310">
        <v>3</v>
      </c>
      <c r="AA2310">
        <v>3</v>
      </c>
      <c r="AB2310">
        <v>3</v>
      </c>
      <c r="AC2310">
        <v>3</v>
      </c>
      <c r="AD2310">
        <v>3</v>
      </c>
      <c r="AE2310">
        <v>3</v>
      </c>
      <c r="AF2310">
        <v>3</v>
      </c>
      <c r="AG2310">
        <v>3</v>
      </c>
      <c r="AH2310">
        <v>3</v>
      </c>
      <c r="AI2310">
        <v>3</v>
      </c>
      <c r="AJ2310">
        <v>3</v>
      </c>
      <c r="AK2310">
        <v>3</v>
      </c>
      <c r="AL2310">
        <v>2</v>
      </c>
      <c r="AM2310">
        <v>3</v>
      </c>
      <c r="AN2310">
        <v>3</v>
      </c>
      <c r="AO2310">
        <v>4</v>
      </c>
      <c r="AP2310">
        <v>3</v>
      </c>
      <c r="AQ2310">
        <v>3</v>
      </c>
      <c r="AR2310">
        <v>3</v>
      </c>
      <c r="AS2310">
        <v>3</v>
      </c>
      <c r="AT2310">
        <v>3</v>
      </c>
      <c r="AU2310">
        <v>3</v>
      </c>
      <c r="AV2310">
        <v>3</v>
      </c>
      <c r="AW2310">
        <v>4</v>
      </c>
      <c r="AX2310">
        <v>3</v>
      </c>
      <c r="AY2310">
        <v>3</v>
      </c>
      <c r="AZ2310">
        <v>3</v>
      </c>
      <c r="BA2310">
        <f>SUM(Pre[[#This Row],[1]:[46]])</f>
        <v>137</v>
      </c>
    </row>
    <row r="2311" spans="1:53" x14ac:dyDescent="0.2">
      <c r="A2311" t="s">
        <v>59</v>
      </c>
      <c r="B2311" t="s">
        <v>54</v>
      </c>
      <c r="C2311">
        <v>5854</v>
      </c>
      <c r="D2311" t="s">
        <v>7</v>
      </c>
      <c r="E2311" t="s">
        <v>8</v>
      </c>
      <c r="F2311" t="s">
        <v>23</v>
      </c>
      <c r="I2311">
        <v>2</v>
      </c>
      <c r="K2311">
        <v>1</v>
      </c>
      <c r="M2311">
        <v>1</v>
      </c>
      <c r="O2311">
        <v>1</v>
      </c>
      <c r="Q2311">
        <v>1</v>
      </c>
      <c r="S2311">
        <v>1</v>
      </c>
      <c r="U2311">
        <v>1</v>
      </c>
      <c r="W2311">
        <v>1</v>
      </c>
      <c r="Y2311">
        <v>1</v>
      </c>
      <c r="AA2311">
        <v>1</v>
      </c>
      <c r="AC2311">
        <v>1</v>
      </c>
      <c r="AE2311">
        <v>1</v>
      </c>
      <c r="AG2311">
        <v>1</v>
      </c>
      <c r="AI2311">
        <v>1</v>
      </c>
      <c r="AK2311">
        <v>1</v>
      </c>
      <c r="AM2311">
        <v>1</v>
      </c>
      <c r="AO2311">
        <v>1</v>
      </c>
      <c r="AQ2311">
        <v>1</v>
      </c>
      <c r="AS2311">
        <v>1</v>
      </c>
      <c r="AU2311">
        <v>1</v>
      </c>
      <c r="AW2311">
        <v>1</v>
      </c>
      <c r="AY2311">
        <v>1</v>
      </c>
      <c r="BA2311">
        <f>SUM(Pre[[#This Row],[1]:[46]])</f>
        <v>23</v>
      </c>
    </row>
    <row r="2312" spans="1:53" x14ac:dyDescent="0.2">
      <c r="A2312" t="s">
        <v>59</v>
      </c>
      <c r="B2312" t="s">
        <v>54</v>
      </c>
      <c r="C2312">
        <v>5856</v>
      </c>
      <c r="D2312" t="s">
        <v>7</v>
      </c>
      <c r="E2312" t="s">
        <v>8</v>
      </c>
      <c r="F2312" t="s">
        <v>9</v>
      </c>
      <c r="N2312">
        <v>1</v>
      </c>
      <c r="Z2312">
        <v>1</v>
      </c>
      <c r="AO2312">
        <v>1</v>
      </c>
      <c r="BA2312">
        <f>SUM(Pre[[#This Row],[1]:[46]])</f>
        <v>3</v>
      </c>
    </row>
    <row r="2313" spans="1:53" x14ac:dyDescent="0.2">
      <c r="A2313" t="s">
        <v>59</v>
      </c>
      <c r="B2313" t="s">
        <v>54</v>
      </c>
      <c r="C2313">
        <v>7370</v>
      </c>
      <c r="D2313" t="s">
        <v>7</v>
      </c>
      <c r="E2313" t="s">
        <v>8</v>
      </c>
      <c r="F2313" t="s">
        <v>9</v>
      </c>
      <c r="I2313">
        <v>1</v>
      </c>
      <c r="R2313">
        <v>1</v>
      </c>
      <c r="W2313">
        <v>1</v>
      </c>
      <c r="AJ2313">
        <v>1</v>
      </c>
      <c r="AW2313">
        <v>1</v>
      </c>
      <c r="BA2313">
        <f>SUM(Pre[[#This Row],[1]:[46]])</f>
        <v>5</v>
      </c>
    </row>
    <row r="2314" spans="1:53" x14ac:dyDescent="0.2">
      <c r="A2314" t="s">
        <v>59</v>
      </c>
      <c r="B2314" t="s">
        <v>54</v>
      </c>
      <c r="C2314">
        <v>7461</v>
      </c>
      <c r="D2314" t="s">
        <v>7</v>
      </c>
      <c r="E2314" t="s">
        <v>8</v>
      </c>
      <c r="F2314" t="s">
        <v>9</v>
      </c>
      <c r="J2314">
        <v>1</v>
      </c>
      <c r="W2314">
        <v>1</v>
      </c>
      <c r="AJ2314">
        <v>1</v>
      </c>
      <c r="AV2314">
        <v>1</v>
      </c>
      <c r="BA2314">
        <f>SUM(Pre[[#This Row],[1]:[46]])</f>
        <v>4</v>
      </c>
    </row>
    <row r="2315" spans="1:53" x14ac:dyDescent="0.2">
      <c r="A2315" t="s">
        <v>59</v>
      </c>
      <c r="B2315" t="s">
        <v>54</v>
      </c>
      <c r="C2315">
        <v>7684</v>
      </c>
      <c r="D2315" t="s">
        <v>7</v>
      </c>
      <c r="E2315" t="s">
        <v>8</v>
      </c>
      <c r="F2315" t="s">
        <v>23</v>
      </c>
      <c r="I2315">
        <v>1</v>
      </c>
      <c r="M2315">
        <v>1</v>
      </c>
      <c r="Y2315">
        <v>1</v>
      </c>
      <c r="AB2315">
        <v>1</v>
      </c>
      <c r="AE2315">
        <v>1</v>
      </c>
      <c r="AH2315">
        <v>1</v>
      </c>
      <c r="AK2315">
        <v>1</v>
      </c>
      <c r="AN2315">
        <v>1</v>
      </c>
      <c r="AR2315">
        <v>1</v>
      </c>
      <c r="AV2315">
        <v>1</v>
      </c>
      <c r="AZ2315">
        <v>1</v>
      </c>
      <c r="BA2315">
        <f>SUM(Pre[[#This Row],[1]:[46]])</f>
        <v>11</v>
      </c>
    </row>
    <row r="2316" spans="1:53" x14ac:dyDescent="0.2">
      <c r="A2316" t="s">
        <v>59</v>
      </c>
      <c r="B2316" t="s">
        <v>54</v>
      </c>
      <c r="C2316">
        <v>7811</v>
      </c>
      <c r="D2316" t="s">
        <v>7</v>
      </c>
      <c r="E2316" t="s">
        <v>8</v>
      </c>
      <c r="F2316" t="s">
        <v>9</v>
      </c>
      <c r="U2316">
        <v>1</v>
      </c>
      <c r="AI2316">
        <v>1</v>
      </c>
      <c r="AW2316">
        <v>1</v>
      </c>
      <c r="BA2316">
        <f>SUM(Pre[[#This Row],[1]:[46]])</f>
        <v>3</v>
      </c>
    </row>
    <row r="2317" spans="1:53" x14ac:dyDescent="0.2">
      <c r="A2317" t="s">
        <v>59</v>
      </c>
      <c r="B2317" t="s">
        <v>54</v>
      </c>
      <c r="C2317">
        <v>8554</v>
      </c>
      <c r="D2317" t="s">
        <v>7</v>
      </c>
      <c r="E2317" t="s">
        <v>14</v>
      </c>
      <c r="F2317" t="s">
        <v>20</v>
      </c>
      <c r="G2317">
        <v>1</v>
      </c>
      <c r="K2317">
        <v>1</v>
      </c>
      <c r="O2317">
        <v>1</v>
      </c>
      <c r="T2317">
        <v>1</v>
      </c>
      <c r="W2317">
        <v>1</v>
      </c>
      <c r="AA2317">
        <v>1</v>
      </c>
      <c r="AE2317">
        <v>1</v>
      </c>
      <c r="AI2317">
        <v>1</v>
      </c>
      <c r="AK2317">
        <v>1</v>
      </c>
      <c r="AN2317">
        <v>1</v>
      </c>
      <c r="AR2317">
        <v>1</v>
      </c>
      <c r="AU2317">
        <v>1</v>
      </c>
      <c r="AY2317">
        <v>1</v>
      </c>
      <c r="AZ2317">
        <v>1</v>
      </c>
      <c r="BA2317">
        <f>SUM(Pre[[#This Row],[1]:[46]])</f>
        <v>14</v>
      </c>
    </row>
    <row r="2318" spans="1:53" x14ac:dyDescent="0.2">
      <c r="A2318" t="s">
        <v>59</v>
      </c>
      <c r="B2318" t="s">
        <v>54</v>
      </c>
      <c r="C2318">
        <v>8973</v>
      </c>
      <c r="D2318" t="s">
        <v>7</v>
      </c>
      <c r="E2318" t="s">
        <v>8</v>
      </c>
      <c r="F2318" t="s">
        <v>9</v>
      </c>
      <c r="R2318">
        <v>1</v>
      </c>
      <c r="AX2318">
        <v>1</v>
      </c>
      <c r="BA2318">
        <f>SUM(Pre[[#This Row],[1]:[46]])</f>
        <v>2</v>
      </c>
    </row>
    <row r="2319" spans="1:53" x14ac:dyDescent="0.2">
      <c r="A2319" t="s">
        <v>59</v>
      </c>
      <c r="B2319" t="s">
        <v>54</v>
      </c>
      <c r="C2319">
        <v>10294</v>
      </c>
      <c r="D2319" t="s">
        <v>7</v>
      </c>
      <c r="E2319" t="s">
        <v>8</v>
      </c>
      <c r="F2319" t="s">
        <v>9</v>
      </c>
      <c r="I2319">
        <v>1</v>
      </c>
      <c r="Y2319">
        <v>1</v>
      </c>
      <c r="AP2319">
        <v>1</v>
      </c>
      <c r="BA2319">
        <f>SUM(Pre[[#This Row],[1]:[46]])</f>
        <v>3</v>
      </c>
    </row>
    <row r="2320" spans="1:53" x14ac:dyDescent="0.2">
      <c r="A2320" t="s">
        <v>59</v>
      </c>
      <c r="B2320" t="s">
        <v>54</v>
      </c>
      <c r="C2320">
        <v>11156</v>
      </c>
      <c r="D2320" t="s">
        <v>7</v>
      </c>
      <c r="E2320" t="s">
        <v>14</v>
      </c>
      <c r="F2320" t="s">
        <v>20</v>
      </c>
      <c r="P2320">
        <v>1</v>
      </c>
      <c r="AG2320">
        <v>2</v>
      </c>
      <c r="AW2320">
        <v>1</v>
      </c>
      <c r="BA2320">
        <f>SUM(Pre[[#This Row],[1]:[46]])</f>
        <v>4</v>
      </c>
    </row>
    <row r="2321" spans="1:53" x14ac:dyDescent="0.2">
      <c r="A2321" t="s">
        <v>59</v>
      </c>
      <c r="B2321" t="s">
        <v>54</v>
      </c>
      <c r="C2321">
        <v>11897</v>
      </c>
      <c r="D2321" t="s">
        <v>7</v>
      </c>
      <c r="E2321" t="s">
        <v>14</v>
      </c>
      <c r="F2321" t="s">
        <v>35</v>
      </c>
      <c r="H2321">
        <v>1</v>
      </c>
      <c r="AB2321">
        <v>1</v>
      </c>
      <c r="AV2321">
        <v>1</v>
      </c>
      <c r="BA2321">
        <f>SUM(Pre[[#This Row],[1]:[46]])</f>
        <v>3</v>
      </c>
    </row>
    <row r="2322" spans="1:53" x14ac:dyDescent="0.2">
      <c r="A2322" t="s">
        <v>59</v>
      </c>
      <c r="B2322" t="s">
        <v>54</v>
      </c>
      <c r="C2322">
        <v>12254</v>
      </c>
      <c r="D2322" t="s">
        <v>7</v>
      </c>
      <c r="E2322" t="s">
        <v>14</v>
      </c>
      <c r="F2322" t="s">
        <v>19</v>
      </c>
      <c r="AZ2322">
        <v>1</v>
      </c>
      <c r="BA2322">
        <f>SUM(Pre[[#This Row],[1]:[46]])</f>
        <v>1</v>
      </c>
    </row>
    <row r="2323" spans="1:53" x14ac:dyDescent="0.2">
      <c r="A2323" t="s">
        <v>59</v>
      </c>
      <c r="B2323" t="s">
        <v>54</v>
      </c>
      <c r="C2323">
        <v>12448</v>
      </c>
      <c r="D2323" t="s">
        <v>7</v>
      </c>
      <c r="E2323" t="s">
        <v>40</v>
      </c>
      <c r="F2323" t="s">
        <v>41</v>
      </c>
      <c r="T2323">
        <v>1</v>
      </c>
      <c r="BA2323">
        <f>SUM(Pre[[#This Row],[1]:[46]])</f>
        <v>1</v>
      </c>
    </row>
    <row r="2324" spans="1:53" x14ac:dyDescent="0.2">
      <c r="A2324" t="s">
        <v>59</v>
      </c>
      <c r="B2324" t="s">
        <v>54</v>
      </c>
      <c r="C2324">
        <v>12540</v>
      </c>
      <c r="D2324" t="s">
        <v>7</v>
      </c>
      <c r="E2324" t="s">
        <v>14</v>
      </c>
      <c r="F2324" t="s">
        <v>35</v>
      </c>
      <c r="N2324">
        <v>1</v>
      </c>
      <c r="Z2324">
        <v>1</v>
      </c>
      <c r="AX2324">
        <v>1</v>
      </c>
      <c r="BA2324">
        <f>SUM(Pre[[#This Row],[1]:[46]])</f>
        <v>3</v>
      </c>
    </row>
    <row r="2325" spans="1:53" x14ac:dyDescent="0.2">
      <c r="A2325" t="s">
        <v>59</v>
      </c>
      <c r="B2325" t="s">
        <v>54</v>
      </c>
      <c r="C2325">
        <v>12578</v>
      </c>
      <c r="D2325" t="s">
        <v>7</v>
      </c>
      <c r="E2325" t="s">
        <v>14</v>
      </c>
      <c r="F2325" t="s">
        <v>20</v>
      </c>
      <c r="J2325">
        <v>1</v>
      </c>
      <c r="X2325">
        <v>1</v>
      </c>
      <c r="AL2325">
        <v>1</v>
      </c>
      <c r="BA2325">
        <f>SUM(Pre[[#This Row],[1]:[46]])</f>
        <v>3</v>
      </c>
    </row>
    <row r="2326" spans="1:53" x14ac:dyDescent="0.2">
      <c r="A2326" t="s">
        <v>59</v>
      </c>
      <c r="B2326" t="s">
        <v>54</v>
      </c>
      <c r="C2326">
        <v>13008</v>
      </c>
      <c r="D2326" t="s">
        <v>7</v>
      </c>
      <c r="E2326" t="s">
        <v>8</v>
      </c>
      <c r="F2326" t="s">
        <v>23</v>
      </c>
      <c r="Z2326">
        <v>2</v>
      </c>
      <c r="AA2326">
        <v>1</v>
      </c>
      <c r="AP2326">
        <v>1</v>
      </c>
      <c r="BA2326">
        <f>SUM(Pre[[#This Row],[1]:[46]])</f>
        <v>4</v>
      </c>
    </row>
    <row r="2327" spans="1:53" x14ac:dyDescent="0.2">
      <c r="A2327" t="s">
        <v>59</v>
      </c>
      <c r="B2327" t="s">
        <v>54</v>
      </c>
      <c r="C2327">
        <v>13522</v>
      </c>
      <c r="D2327" t="s">
        <v>7</v>
      </c>
      <c r="E2327" t="s">
        <v>8</v>
      </c>
      <c r="F2327" t="s">
        <v>9</v>
      </c>
      <c r="J2327">
        <v>1</v>
      </c>
      <c r="Y2327">
        <v>1</v>
      </c>
      <c r="Z2327">
        <v>1</v>
      </c>
      <c r="AN2327">
        <v>1</v>
      </c>
      <c r="BA2327">
        <f>SUM(Pre[[#This Row],[1]:[46]])</f>
        <v>4</v>
      </c>
    </row>
    <row r="2328" spans="1:53" x14ac:dyDescent="0.2">
      <c r="A2328" t="s">
        <v>59</v>
      </c>
      <c r="B2328" t="s">
        <v>54</v>
      </c>
      <c r="C2328">
        <v>13704</v>
      </c>
      <c r="D2328" t="s">
        <v>7</v>
      </c>
      <c r="E2328" t="s">
        <v>10</v>
      </c>
      <c r="F2328" t="s">
        <v>11</v>
      </c>
      <c r="BA2328">
        <f>SUM(Pre[[#This Row],[1]:[46]])</f>
        <v>0</v>
      </c>
    </row>
    <row r="2329" spans="1:53" x14ac:dyDescent="0.2">
      <c r="A2329" t="s">
        <v>59</v>
      </c>
      <c r="B2329" t="s">
        <v>54</v>
      </c>
      <c r="C2329">
        <v>13860</v>
      </c>
      <c r="D2329" t="s">
        <v>7</v>
      </c>
      <c r="E2329" t="s">
        <v>14</v>
      </c>
      <c r="F2329" t="s">
        <v>19</v>
      </c>
      <c r="T2329">
        <v>2</v>
      </c>
      <c r="Y2329">
        <v>1</v>
      </c>
      <c r="AC2329">
        <v>1</v>
      </c>
      <c r="AH2329">
        <v>1</v>
      </c>
      <c r="AM2329">
        <v>1</v>
      </c>
      <c r="AT2329">
        <v>1</v>
      </c>
      <c r="AX2329">
        <v>3</v>
      </c>
      <c r="BA2329">
        <f>SUM(Pre[[#This Row],[1]:[46]])</f>
        <v>10</v>
      </c>
    </row>
    <row r="2330" spans="1:53" x14ac:dyDescent="0.2">
      <c r="A2330" t="s">
        <v>59</v>
      </c>
      <c r="B2330" t="s">
        <v>54</v>
      </c>
      <c r="C2330">
        <v>13960</v>
      </c>
      <c r="D2330" t="s">
        <v>7</v>
      </c>
      <c r="E2330" t="s">
        <v>40</v>
      </c>
      <c r="F2330" t="s">
        <v>41</v>
      </c>
      <c r="AQ2330">
        <v>1</v>
      </c>
      <c r="AV2330">
        <v>1</v>
      </c>
      <c r="BA2330">
        <f>SUM(Pre[[#This Row],[1]:[46]])</f>
        <v>2</v>
      </c>
    </row>
    <row r="2331" spans="1:53" x14ac:dyDescent="0.2">
      <c r="A2331" t="s">
        <v>59</v>
      </c>
      <c r="B2331" t="s">
        <v>54</v>
      </c>
      <c r="C2331">
        <v>13960</v>
      </c>
      <c r="D2331" t="s">
        <v>7</v>
      </c>
      <c r="E2331" t="s">
        <v>32</v>
      </c>
      <c r="F2331" t="s">
        <v>33</v>
      </c>
      <c r="AQ2331">
        <v>1</v>
      </c>
      <c r="BA2331">
        <f>SUM(Pre[[#This Row],[1]:[46]])</f>
        <v>1</v>
      </c>
    </row>
    <row r="2332" spans="1:53" x14ac:dyDescent="0.2">
      <c r="A2332" t="s">
        <v>59</v>
      </c>
      <c r="B2332" t="s">
        <v>54</v>
      </c>
      <c r="C2332">
        <v>14183</v>
      </c>
      <c r="D2332" t="s">
        <v>7</v>
      </c>
      <c r="E2332" t="s">
        <v>8</v>
      </c>
      <c r="F2332" t="s">
        <v>9</v>
      </c>
      <c r="J2332">
        <v>1</v>
      </c>
      <c r="L2332">
        <v>1</v>
      </c>
      <c r="N2332">
        <v>1</v>
      </c>
      <c r="R2332">
        <v>1</v>
      </c>
      <c r="V2332">
        <v>1</v>
      </c>
      <c r="Z2332">
        <v>1</v>
      </c>
      <c r="AC2332">
        <v>1</v>
      </c>
      <c r="AF2332">
        <v>1</v>
      </c>
      <c r="AI2332">
        <v>1</v>
      </c>
      <c r="AL2332">
        <v>1</v>
      </c>
      <c r="AN2332">
        <v>1</v>
      </c>
      <c r="AQ2332">
        <v>1</v>
      </c>
      <c r="AT2332">
        <v>1</v>
      </c>
      <c r="BA2332">
        <f>SUM(Pre[[#This Row],[1]:[46]])</f>
        <v>13</v>
      </c>
    </row>
    <row r="2333" spans="1:53" x14ac:dyDescent="0.2">
      <c r="A2333" t="s">
        <v>59</v>
      </c>
      <c r="B2333" t="s">
        <v>54</v>
      </c>
      <c r="C2333">
        <v>14691</v>
      </c>
      <c r="D2333" t="s">
        <v>7</v>
      </c>
      <c r="E2333" t="s">
        <v>14</v>
      </c>
      <c r="F2333" t="s">
        <v>35</v>
      </c>
      <c r="M2333">
        <v>1</v>
      </c>
      <c r="Q2333">
        <v>1</v>
      </c>
      <c r="T2333">
        <v>1</v>
      </c>
      <c r="AQ2333">
        <v>1</v>
      </c>
      <c r="AX2333">
        <v>1</v>
      </c>
      <c r="BA2333">
        <f>SUM(Pre[[#This Row],[1]:[46]])</f>
        <v>5</v>
      </c>
    </row>
    <row r="2334" spans="1:53" x14ac:dyDescent="0.2">
      <c r="A2334" t="s">
        <v>59</v>
      </c>
      <c r="B2334" t="s">
        <v>54</v>
      </c>
      <c r="C2334">
        <v>14908</v>
      </c>
      <c r="D2334" t="s">
        <v>7</v>
      </c>
      <c r="E2334" t="s">
        <v>8</v>
      </c>
      <c r="F2334" t="s">
        <v>9</v>
      </c>
      <c r="I2334">
        <v>1</v>
      </c>
      <c r="M2334">
        <v>1</v>
      </c>
      <c r="Q2334">
        <v>1</v>
      </c>
      <c r="U2334">
        <v>1</v>
      </c>
      <c r="Y2334">
        <v>1</v>
      </c>
      <c r="AC2334">
        <v>1</v>
      </c>
      <c r="AG2334">
        <v>1</v>
      </c>
      <c r="AK2334">
        <v>1</v>
      </c>
      <c r="AO2334">
        <v>1</v>
      </c>
      <c r="AS2334">
        <v>1</v>
      </c>
      <c r="AW2334">
        <v>1</v>
      </c>
      <c r="AX2334">
        <v>1</v>
      </c>
      <c r="BA2334">
        <f>SUM(Pre[[#This Row],[1]:[46]])</f>
        <v>12</v>
      </c>
    </row>
    <row r="2335" spans="1:53" x14ac:dyDescent="0.2">
      <c r="A2335" t="s">
        <v>59</v>
      </c>
      <c r="B2335" t="s">
        <v>54</v>
      </c>
      <c r="C2335">
        <v>15965</v>
      </c>
      <c r="D2335" t="s">
        <v>7</v>
      </c>
      <c r="E2335" t="s">
        <v>14</v>
      </c>
      <c r="F2335" t="s">
        <v>35</v>
      </c>
      <c r="K2335">
        <v>1</v>
      </c>
      <c r="O2335">
        <v>1</v>
      </c>
      <c r="S2335">
        <v>1</v>
      </c>
      <c r="Y2335">
        <v>1</v>
      </c>
      <c r="AD2335">
        <v>1</v>
      </c>
      <c r="AH2335">
        <v>1</v>
      </c>
      <c r="AM2335">
        <v>1</v>
      </c>
      <c r="AP2335">
        <v>1</v>
      </c>
      <c r="AV2335">
        <v>1</v>
      </c>
      <c r="AZ2335">
        <v>1</v>
      </c>
      <c r="BA2335">
        <f>SUM(Pre[[#This Row],[1]:[46]])</f>
        <v>10</v>
      </c>
    </row>
    <row r="2336" spans="1:53" x14ac:dyDescent="0.2">
      <c r="A2336" t="s">
        <v>59</v>
      </c>
      <c r="B2336" t="s">
        <v>54</v>
      </c>
      <c r="C2336">
        <v>16984</v>
      </c>
      <c r="D2336" t="s">
        <v>7</v>
      </c>
      <c r="E2336" t="s">
        <v>14</v>
      </c>
      <c r="F2336" t="s">
        <v>21</v>
      </c>
      <c r="X2336">
        <v>1</v>
      </c>
      <c r="AK2336">
        <v>3</v>
      </c>
      <c r="AT2336">
        <v>2</v>
      </c>
      <c r="BA2336">
        <f>SUM(Pre[[#This Row],[1]:[46]])</f>
        <v>6</v>
      </c>
    </row>
    <row r="2337" spans="1:53" x14ac:dyDescent="0.2">
      <c r="A2337" t="s">
        <v>59</v>
      </c>
      <c r="B2337" t="s">
        <v>54</v>
      </c>
      <c r="C2337">
        <v>17520</v>
      </c>
      <c r="D2337" t="s">
        <v>7</v>
      </c>
      <c r="E2337" t="s">
        <v>14</v>
      </c>
      <c r="F2337" t="s">
        <v>35</v>
      </c>
      <c r="P2337">
        <v>1</v>
      </c>
      <c r="AG2337">
        <v>1</v>
      </c>
      <c r="AY2337">
        <v>3</v>
      </c>
      <c r="BA2337">
        <f>SUM(Pre[[#This Row],[1]:[46]])</f>
        <v>5</v>
      </c>
    </row>
    <row r="2338" spans="1:53" x14ac:dyDescent="0.2">
      <c r="A2338" t="s">
        <v>59</v>
      </c>
      <c r="B2338" t="s">
        <v>54</v>
      </c>
      <c r="C2338">
        <v>17520</v>
      </c>
      <c r="D2338" t="s">
        <v>7</v>
      </c>
      <c r="E2338" t="s">
        <v>14</v>
      </c>
      <c r="F2338" t="s">
        <v>19</v>
      </c>
      <c r="BA2338">
        <f>SUM(Pre[[#This Row],[1]:[46]])</f>
        <v>0</v>
      </c>
    </row>
    <row r="2339" spans="1:53" x14ac:dyDescent="0.2">
      <c r="A2339" t="s">
        <v>59</v>
      </c>
      <c r="B2339" t="s">
        <v>54</v>
      </c>
      <c r="C2339">
        <v>18295</v>
      </c>
      <c r="D2339" t="s">
        <v>7</v>
      </c>
      <c r="E2339" t="s">
        <v>8</v>
      </c>
      <c r="F2339" t="s">
        <v>9</v>
      </c>
      <c r="M2339">
        <v>1</v>
      </c>
      <c r="AS2339">
        <v>2</v>
      </c>
      <c r="BA2339">
        <f>SUM(Pre[[#This Row],[1]:[46]])</f>
        <v>3</v>
      </c>
    </row>
    <row r="2340" spans="1:53" x14ac:dyDescent="0.2">
      <c r="A2340" t="s">
        <v>59</v>
      </c>
      <c r="B2340" t="s">
        <v>54</v>
      </c>
      <c r="C2340">
        <v>18884</v>
      </c>
      <c r="D2340" t="s">
        <v>7</v>
      </c>
      <c r="E2340" t="s">
        <v>14</v>
      </c>
      <c r="F2340" t="s">
        <v>35</v>
      </c>
      <c r="AT2340">
        <v>1</v>
      </c>
      <c r="BA2340">
        <f>SUM(Pre[[#This Row],[1]:[46]])</f>
        <v>1</v>
      </c>
    </row>
    <row r="2341" spans="1:53" x14ac:dyDescent="0.2">
      <c r="A2341" t="s">
        <v>59</v>
      </c>
      <c r="B2341" t="s">
        <v>54</v>
      </c>
      <c r="C2341">
        <v>18884</v>
      </c>
      <c r="D2341" t="s">
        <v>7</v>
      </c>
      <c r="E2341" t="s">
        <v>14</v>
      </c>
      <c r="F2341" t="s">
        <v>19</v>
      </c>
      <c r="BA2341">
        <f>SUM(Pre[[#This Row],[1]:[46]])</f>
        <v>0</v>
      </c>
    </row>
    <row r="2342" spans="1:53" x14ac:dyDescent="0.2">
      <c r="A2342" t="s">
        <v>59</v>
      </c>
      <c r="B2342" t="s">
        <v>54</v>
      </c>
      <c r="C2342">
        <v>18962</v>
      </c>
      <c r="D2342" t="s">
        <v>7</v>
      </c>
      <c r="E2342" t="s">
        <v>14</v>
      </c>
      <c r="F2342" t="s">
        <v>35</v>
      </c>
      <c r="H2342">
        <v>1</v>
      </c>
      <c r="L2342">
        <v>1</v>
      </c>
      <c r="P2342">
        <v>1</v>
      </c>
      <c r="T2342">
        <v>1</v>
      </c>
      <c r="X2342">
        <v>1</v>
      </c>
      <c r="AB2342">
        <v>1</v>
      </c>
      <c r="AE2342">
        <v>1</v>
      </c>
      <c r="AJ2342">
        <v>1</v>
      </c>
      <c r="AM2342">
        <v>1</v>
      </c>
      <c r="AR2342">
        <v>1</v>
      </c>
      <c r="AV2342">
        <v>1</v>
      </c>
      <c r="AZ2342">
        <v>2</v>
      </c>
      <c r="BA2342">
        <f>SUM(Pre[[#This Row],[1]:[46]])</f>
        <v>13</v>
      </c>
    </row>
    <row r="2343" spans="1:53" x14ac:dyDescent="0.2">
      <c r="A2343" t="s">
        <v>59</v>
      </c>
      <c r="B2343" t="s">
        <v>54</v>
      </c>
      <c r="C2343">
        <v>21214</v>
      </c>
      <c r="D2343" t="s">
        <v>7</v>
      </c>
      <c r="E2343" t="s">
        <v>14</v>
      </c>
      <c r="F2343" t="s">
        <v>20</v>
      </c>
      <c r="K2343">
        <v>1</v>
      </c>
      <c r="O2343">
        <v>1</v>
      </c>
      <c r="R2343">
        <v>1</v>
      </c>
      <c r="W2343">
        <v>1</v>
      </c>
      <c r="Z2343">
        <v>1</v>
      </c>
      <c r="AE2343">
        <v>2</v>
      </c>
      <c r="AH2343">
        <v>1</v>
      </c>
      <c r="AL2343">
        <v>1</v>
      </c>
      <c r="AQ2343">
        <v>1</v>
      </c>
      <c r="AT2343">
        <v>1</v>
      </c>
      <c r="AY2343">
        <v>1</v>
      </c>
      <c r="BA2343">
        <f>SUM(Pre[[#This Row],[1]:[46]])</f>
        <v>12</v>
      </c>
    </row>
    <row r="2344" spans="1:53" x14ac:dyDescent="0.2">
      <c r="A2344" t="s">
        <v>59</v>
      </c>
      <c r="B2344" t="s">
        <v>54</v>
      </c>
      <c r="C2344">
        <v>21303</v>
      </c>
      <c r="D2344" t="s">
        <v>7</v>
      </c>
      <c r="E2344" t="s">
        <v>14</v>
      </c>
      <c r="F2344" t="s">
        <v>35</v>
      </c>
      <c r="AP2344">
        <v>1</v>
      </c>
      <c r="BA2344">
        <f>SUM(Pre[[#This Row],[1]:[46]])</f>
        <v>1</v>
      </c>
    </row>
    <row r="2345" spans="1:53" x14ac:dyDescent="0.2">
      <c r="A2345" t="s">
        <v>59</v>
      </c>
      <c r="B2345" t="s">
        <v>54</v>
      </c>
      <c r="C2345">
        <v>22011</v>
      </c>
      <c r="D2345" t="s">
        <v>7</v>
      </c>
      <c r="E2345" t="s">
        <v>14</v>
      </c>
      <c r="F2345" t="s">
        <v>15</v>
      </c>
      <c r="J2345">
        <v>2</v>
      </c>
      <c r="W2345">
        <v>1</v>
      </c>
      <c r="AE2345">
        <v>1</v>
      </c>
      <c r="AP2345">
        <v>1</v>
      </c>
      <c r="BA2345">
        <f>SUM(Pre[[#This Row],[1]:[46]])</f>
        <v>5</v>
      </c>
    </row>
    <row r="2346" spans="1:53" x14ac:dyDescent="0.2">
      <c r="A2346" t="s">
        <v>59</v>
      </c>
      <c r="B2346" t="s">
        <v>54</v>
      </c>
      <c r="C2346">
        <v>25831</v>
      </c>
      <c r="D2346" t="s">
        <v>7</v>
      </c>
      <c r="E2346" t="s">
        <v>10</v>
      </c>
      <c r="F2346" t="s">
        <v>11</v>
      </c>
      <c r="G2346">
        <v>2</v>
      </c>
      <c r="BA2346">
        <f>SUM(Pre[[#This Row],[1]:[46]])</f>
        <v>2</v>
      </c>
    </row>
    <row r="2347" spans="1:53" x14ac:dyDescent="0.2">
      <c r="A2347" t="s">
        <v>59</v>
      </c>
      <c r="B2347" t="s">
        <v>54</v>
      </c>
      <c r="C2347">
        <v>31685</v>
      </c>
      <c r="D2347" t="s">
        <v>7</v>
      </c>
      <c r="E2347" t="s">
        <v>40</v>
      </c>
      <c r="F2347" t="s">
        <v>44</v>
      </c>
      <c r="BA2347">
        <f>SUM(Pre[[#This Row],[1]:[46]])</f>
        <v>0</v>
      </c>
    </row>
    <row r="2348" spans="1:53" x14ac:dyDescent="0.2">
      <c r="A2348" t="s">
        <v>59</v>
      </c>
      <c r="B2348" t="s">
        <v>54</v>
      </c>
      <c r="C2348">
        <v>31685</v>
      </c>
      <c r="D2348" t="s">
        <v>7</v>
      </c>
      <c r="E2348" t="s">
        <v>8</v>
      </c>
      <c r="F2348" t="s">
        <v>9</v>
      </c>
      <c r="N2348">
        <v>1</v>
      </c>
      <c r="AB2348">
        <v>1</v>
      </c>
      <c r="AL2348">
        <v>2</v>
      </c>
      <c r="BA2348">
        <f>SUM(Pre[[#This Row],[1]:[46]])</f>
        <v>4</v>
      </c>
    </row>
    <row r="2349" spans="1:53" x14ac:dyDescent="0.2">
      <c r="A2349" t="s">
        <v>59</v>
      </c>
      <c r="B2349" t="s">
        <v>54</v>
      </c>
      <c r="C2349">
        <v>31685</v>
      </c>
      <c r="D2349" t="s">
        <v>7</v>
      </c>
      <c r="E2349" t="s">
        <v>14</v>
      </c>
      <c r="F2349" t="s">
        <v>31</v>
      </c>
      <c r="AO2349">
        <v>1</v>
      </c>
      <c r="AP2349">
        <v>1</v>
      </c>
      <c r="BA2349">
        <f>SUM(Pre[[#This Row],[1]:[46]])</f>
        <v>2</v>
      </c>
    </row>
    <row r="2350" spans="1:53" x14ac:dyDescent="0.2">
      <c r="A2350" t="s">
        <v>59</v>
      </c>
      <c r="B2350" t="s">
        <v>54</v>
      </c>
      <c r="C2350">
        <v>31800</v>
      </c>
      <c r="D2350" t="s">
        <v>7</v>
      </c>
      <c r="E2350" t="s">
        <v>12</v>
      </c>
      <c r="F2350" t="s">
        <v>13</v>
      </c>
      <c r="P2350">
        <v>2</v>
      </c>
      <c r="BA2350">
        <f>SUM(Pre[[#This Row],[1]:[46]])</f>
        <v>2</v>
      </c>
    </row>
    <row r="2351" spans="1:53" x14ac:dyDescent="0.2">
      <c r="A2351" t="s">
        <v>59</v>
      </c>
      <c r="B2351" t="s">
        <v>54</v>
      </c>
      <c r="C2351">
        <v>393</v>
      </c>
      <c r="D2351" t="s">
        <v>22</v>
      </c>
      <c r="E2351" t="s">
        <v>14</v>
      </c>
      <c r="F2351" t="s">
        <v>20</v>
      </c>
      <c r="AT2351">
        <v>1</v>
      </c>
      <c r="BA2351">
        <f>SUM(Pre[[#This Row],[1]:[46]])</f>
        <v>1</v>
      </c>
    </row>
    <row r="2352" spans="1:53" x14ac:dyDescent="0.2">
      <c r="A2352" t="s">
        <v>59</v>
      </c>
      <c r="B2352" t="s">
        <v>54</v>
      </c>
      <c r="C2352">
        <v>1355</v>
      </c>
      <c r="D2352" t="s">
        <v>22</v>
      </c>
      <c r="E2352" t="s">
        <v>40</v>
      </c>
      <c r="F2352" t="s">
        <v>44</v>
      </c>
      <c r="AX2352">
        <v>1</v>
      </c>
      <c r="BA2352">
        <f>SUM(Pre[[#This Row],[1]:[46]])</f>
        <v>1</v>
      </c>
    </row>
    <row r="2353" spans="1:53" x14ac:dyDescent="0.2">
      <c r="A2353" t="s">
        <v>59</v>
      </c>
      <c r="B2353" t="s">
        <v>54</v>
      </c>
      <c r="C2353">
        <v>1355</v>
      </c>
      <c r="D2353" t="s">
        <v>22</v>
      </c>
      <c r="E2353" t="s">
        <v>14</v>
      </c>
      <c r="F2353" t="s">
        <v>20</v>
      </c>
      <c r="I2353">
        <v>1</v>
      </c>
      <c r="N2353">
        <v>1</v>
      </c>
      <c r="S2353">
        <v>1</v>
      </c>
      <c r="W2353">
        <v>1</v>
      </c>
      <c r="AA2353">
        <v>1</v>
      </c>
      <c r="AG2353">
        <v>1</v>
      </c>
      <c r="AK2353">
        <v>1</v>
      </c>
      <c r="AO2353">
        <v>1</v>
      </c>
      <c r="AS2353">
        <v>1</v>
      </c>
      <c r="AX2353">
        <v>2</v>
      </c>
      <c r="BA2353">
        <f>SUM(Pre[[#This Row],[1]:[46]])</f>
        <v>11</v>
      </c>
    </row>
    <row r="2354" spans="1:53" x14ac:dyDescent="0.2">
      <c r="A2354" t="s">
        <v>59</v>
      </c>
      <c r="B2354" t="s">
        <v>54</v>
      </c>
      <c r="C2354">
        <v>3014</v>
      </c>
      <c r="D2354" t="s">
        <v>22</v>
      </c>
      <c r="E2354" t="s">
        <v>8</v>
      </c>
      <c r="F2354" t="s">
        <v>23</v>
      </c>
      <c r="G2354">
        <v>1</v>
      </c>
      <c r="I2354">
        <v>1</v>
      </c>
      <c r="K2354">
        <v>2</v>
      </c>
      <c r="M2354">
        <v>2</v>
      </c>
      <c r="O2354">
        <v>1</v>
      </c>
      <c r="Q2354">
        <v>2</v>
      </c>
      <c r="S2354">
        <v>1</v>
      </c>
      <c r="U2354">
        <v>1</v>
      </c>
      <c r="W2354">
        <v>1</v>
      </c>
      <c r="Y2354">
        <v>1</v>
      </c>
      <c r="Z2354">
        <v>1</v>
      </c>
      <c r="AD2354">
        <v>1</v>
      </c>
      <c r="AH2354">
        <v>1</v>
      </c>
      <c r="AJ2354">
        <v>1</v>
      </c>
      <c r="AL2354">
        <v>1</v>
      </c>
      <c r="AN2354">
        <v>2</v>
      </c>
      <c r="AP2354">
        <v>1</v>
      </c>
      <c r="AR2354">
        <v>1</v>
      </c>
      <c r="AU2354">
        <v>1</v>
      </c>
      <c r="AW2354">
        <v>1</v>
      </c>
      <c r="AY2354">
        <v>1</v>
      </c>
      <c r="BA2354">
        <f>SUM(Pre[[#This Row],[1]:[46]])</f>
        <v>25</v>
      </c>
    </row>
    <row r="2355" spans="1:53" x14ac:dyDescent="0.2">
      <c r="A2355" t="s">
        <v>59</v>
      </c>
      <c r="B2355" t="s">
        <v>54</v>
      </c>
      <c r="C2355">
        <v>3208</v>
      </c>
      <c r="D2355" t="s">
        <v>22</v>
      </c>
      <c r="E2355" t="s">
        <v>14</v>
      </c>
      <c r="F2355" t="s">
        <v>21</v>
      </c>
      <c r="V2355">
        <v>1</v>
      </c>
      <c r="AY2355">
        <v>1</v>
      </c>
      <c r="BA2355">
        <f>SUM(Pre[[#This Row],[1]:[46]])</f>
        <v>2</v>
      </c>
    </row>
    <row r="2356" spans="1:53" x14ac:dyDescent="0.2">
      <c r="A2356" t="s">
        <v>59</v>
      </c>
      <c r="B2356" t="s">
        <v>54</v>
      </c>
      <c r="C2356">
        <v>6073</v>
      </c>
      <c r="D2356" t="s">
        <v>22</v>
      </c>
      <c r="E2356" t="s">
        <v>8</v>
      </c>
      <c r="F2356" t="s">
        <v>23</v>
      </c>
      <c r="T2356">
        <v>1</v>
      </c>
      <c r="AK2356">
        <v>1</v>
      </c>
      <c r="AW2356">
        <v>2</v>
      </c>
      <c r="BA2356">
        <f>SUM(Pre[[#This Row],[1]:[46]])</f>
        <v>4</v>
      </c>
    </row>
    <row r="2357" spans="1:53" x14ac:dyDescent="0.2">
      <c r="A2357" t="s">
        <v>59</v>
      </c>
      <c r="B2357" t="s">
        <v>54</v>
      </c>
      <c r="C2357">
        <v>7513</v>
      </c>
      <c r="D2357" t="s">
        <v>22</v>
      </c>
      <c r="E2357" t="s">
        <v>8</v>
      </c>
      <c r="F2357" t="s">
        <v>9</v>
      </c>
      <c r="H2357">
        <v>1</v>
      </c>
      <c r="AE2357">
        <v>3</v>
      </c>
      <c r="BA2357">
        <f>SUM(Pre[[#This Row],[1]:[46]])</f>
        <v>4</v>
      </c>
    </row>
    <row r="2358" spans="1:53" x14ac:dyDescent="0.2">
      <c r="A2358" t="s">
        <v>59</v>
      </c>
      <c r="B2358" t="s">
        <v>54</v>
      </c>
      <c r="C2358">
        <v>7835</v>
      </c>
      <c r="D2358" t="s">
        <v>22</v>
      </c>
      <c r="E2358" t="s">
        <v>8</v>
      </c>
      <c r="F2358" t="s">
        <v>9</v>
      </c>
      <c r="BA2358">
        <f>SUM(Pre[[#This Row],[1]:[46]])</f>
        <v>0</v>
      </c>
    </row>
    <row r="2359" spans="1:53" x14ac:dyDescent="0.2">
      <c r="A2359" t="s">
        <v>59</v>
      </c>
      <c r="B2359" t="s">
        <v>54</v>
      </c>
      <c r="C2359">
        <v>7835</v>
      </c>
      <c r="D2359" t="s">
        <v>22</v>
      </c>
      <c r="E2359" t="s">
        <v>14</v>
      </c>
      <c r="F2359" t="s">
        <v>35</v>
      </c>
      <c r="K2359">
        <v>1</v>
      </c>
      <c r="M2359">
        <v>1</v>
      </c>
      <c r="BA2359">
        <f>SUM(Pre[[#This Row],[1]:[46]])</f>
        <v>2</v>
      </c>
    </row>
    <row r="2360" spans="1:53" x14ac:dyDescent="0.2">
      <c r="A2360" t="s">
        <v>59</v>
      </c>
      <c r="B2360" t="s">
        <v>54</v>
      </c>
      <c r="C2360">
        <v>8307</v>
      </c>
      <c r="D2360" t="s">
        <v>22</v>
      </c>
      <c r="E2360" t="s">
        <v>8</v>
      </c>
      <c r="F2360" t="s">
        <v>9</v>
      </c>
      <c r="M2360">
        <v>1</v>
      </c>
      <c r="U2360">
        <v>1</v>
      </c>
      <c r="AH2360">
        <v>1</v>
      </c>
      <c r="AV2360">
        <v>2</v>
      </c>
      <c r="BA2360">
        <f>SUM(Pre[[#This Row],[1]:[46]])</f>
        <v>5</v>
      </c>
    </row>
    <row r="2361" spans="1:53" x14ac:dyDescent="0.2">
      <c r="A2361" t="s">
        <v>59</v>
      </c>
      <c r="B2361" t="s">
        <v>54</v>
      </c>
      <c r="C2361">
        <v>8544</v>
      </c>
      <c r="D2361" t="s">
        <v>22</v>
      </c>
      <c r="E2361" t="s">
        <v>8</v>
      </c>
      <c r="F2361" t="s">
        <v>9</v>
      </c>
      <c r="Q2361">
        <v>1</v>
      </c>
      <c r="AE2361">
        <v>1</v>
      </c>
      <c r="AR2361">
        <v>1</v>
      </c>
      <c r="BA2361">
        <f>SUM(Pre[[#This Row],[1]:[46]])</f>
        <v>3</v>
      </c>
    </row>
    <row r="2362" spans="1:53" x14ac:dyDescent="0.2">
      <c r="A2362" t="s">
        <v>59</v>
      </c>
      <c r="B2362" t="s">
        <v>54</v>
      </c>
      <c r="C2362">
        <v>8552</v>
      </c>
      <c r="D2362" t="s">
        <v>22</v>
      </c>
      <c r="E2362" t="s">
        <v>40</v>
      </c>
      <c r="F2362" t="s">
        <v>44</v>
      </c>
      <c r="AY2362">
        <v>2</v>
      </c>
      <c r="BA2362">
        <f>SUM(Pre[[#This Row],[1]:[46]])</f>
        <v>2</v>
      </c>
    </row>
    <row r="2363" spans="1:53" x14ac:dyDescent="0.2">
      <c r="A2363" t="s">
        <v>59</v>
      </c>
      <c r="B2363" t="s">
        <v>54</v>
      </c>
      <c r="C2363">
        <v>8552</v>
      </c>
      <c r="D2363" t="s">
        <v>22</v>
      </c>
      <c r="E2363" t="s">
        <v>8</v>
      </c>
      <c r="F2363" t="s">
        <v>23</v>
      </c>
      <c r="K2363">
        <v>1</v>
      </c>
      <c r="L2363">
        <v>1</v>
      </c>
      <c r="Y2363">
        <v>1</v>
      </c>
      <c r="AJ2363">
        <v>1</v>
      </c>
      <c r="AK2363">
        <v>2</v>
      </c>
      <c r="AW2363">
        <v>2</v>
      </c>
      <c r="BA2363">
        <f>SUM(Pre[[#This Row],[1]:[46]])</f>
        <v>8</v>
      </c>
    </row>
    <row r="2364" spans="1:53" x14ac:dyDescent="0.2">
      <c r="A2364" t="s">
        <v>59</v>
      </c>
      <c r="B2364" t="s">
        <v>54</v>
      </c>
      <c r="C2364">
        <v>8865</v>
      </c>
      <c r="D2364" t="s">
        <v>22</v>
      </c>
      <c r="E2364" t="s">
        <v>14</v>
      </c>
      <c r="F2364" t="s">
        <v>21</v>
      </c>
      <c r="BA2364">
        <f>SUM(Pre[[#This Row],[1]:[46]])</f>
        <v>0</v>
      </c>
    </row>
    <row r="2365" spans="1:53" x14ac:dyDescent="0.2">
      <c r="A2365" t="s">
        <v>59</v>
      </c>
      <c r="B2365" t="s">
        <v>54</v>
      </c>
      <c r="C2365">
        <v>9158</v>
      </c>
      <c r="D2365" t="s">
        <v>22</v>
      </c>
      <c r="E2365" t="s">
        <v>8</v>
      </c>
      <c r="F2365" t="s">
        <v>23</v>
      </c>
      <c r="I2365">
        <v>3</v>
      </c>
      <c r="R2365">
        <v>4</v>
      </c>
      <c r="S2365">
        <v>2</v>
      </c>
      <c r="AD2365">
        <v>5</v>
      </c>
      <c r="AE2365">
        <v>2</v>
      </c>
      <c r="AS2365">
        <v>2</v>
      </c>
      <c r="BA2365">
        <f>SUM(Pre[[#This Row],[1]:[46]])</f>
        <v>18</v>
      </c>
    </row>
    <row r="2366" spans="1:53" x14ac:dyDescent="0.2">
      <c r="A2366" t="s">
        <v>59</v>
      </c>
      <c r="B2366" t="s">
        <v>54</v>
      </c>
      <c r="C2366">
        <v>11327</v>
      </c>
      <c r="D2366" t="s">
        <v>22</v>
      </c>
      <c r="E2366" t="s">
        <v>8</v>
      </c>
      <c r="F2366" t="s">
        <v>9</v>
      </c>
      <c r="AM2366">
        <v>1</v>
      </c>
      <c r="BA2366">
        <f>SUM(Pre[[#This Row],[1]:[46]])</f>
        <v>1</v>
      </c>
    </row>
    <row r="2367" spans="1:53" x14ac:dyDescent="0.2">
      <c r="A2367" t="s">
        <v>59</v>
      </c>
      <c r="B2367" t="s">
        <v>54</v>
      </c>
      <c r="C2367">
        <v>11327</v>
      </c>
      <c r="D2367" t="s">
        <v>22</v>
      </c>
      <c r="E2367" t="s">
        <v>32</v>
      </c>
      <c r="F2367" t="s">
        <v>33</v>
      </c>
      <c r="AE2367">
        <v>2</v>
      </c>
      <c r="AU2367">
        <v>1</v>
      </c>
      <c r="BA2367">
        <f>SUM(Pre[[#This Row],[1]:[46]])</f>
        <v>3</v>
      </c>
    </row>
    <row r="2368" spans="1:53" x14ac:dyDescent="0.2">
      <c r="A2368" t="s">
        <v>59</v>
      </c>
      <c r="B2368" t="s">
        <v>54</v>
      </c>
      <c r="C2368">
        <v>11327</v>
      </c>
      <c r="D2368" t="s">
        <v>22</v>
      </c>
      <c r="E2368" t="s">
        <v>26</v>
      </c>
      <c r="F2368" t="s">
        <v>27</v>
      </c>
      <c r="AB2368">
        <v>1</v>
      </c>
      <c r="AG2368">
        <v>1</v>
      </c>
      <c r="AK2368">
        <v>2</v>
      </c>
      <c r="AU2368">
        <v>1</v>
      </c>
      <c r="BA2368">
        <f>SUM(Pre[[#This Row],[1]:[46]])</f>
        <v>5</v>
      </c>
    </row>
    <row r="2369" spans="1:53" x14ac:dyDescent="0.2">
      <c r="A2369" t="s">
        <v>59</v>
      </c>
      <c r="B2369" t="s">
        <v>54</v>
      </c>
      <c r="C2369">
        <v>12180</v>
      </c>
      <c r="D2369" t="s">
        <v>22</v>
      </c>
      <c r="E2369" t="s">
        <v>10</v>
      </c>
      <c r="F2369" t="s">
        <v>11</v>
      </c>
      <c r="G2369">
        <v>1</v>
      </c>
      <c r="BA2369">
        <f>SUM(Pre[[#This Row],[1]:[46]])</f>
        <v>1</v>
      </c>
    </row>
    <row r="2370" spans="1:53" x14ac:dyDescent="0.2">
      <c r="A2370" t="s">
        <v>59</v>
      </c>
      <c r="B2370" t="s">
        <v>54</v>
      </c>
      <c r="C2370">
        <v>12300</v>
      </c>
      <c r="D2370" t="s">
        <v>22</v>
      </c>
      <c r="E2370" t="s">
        <v>10</v>
      </c>
      <c r="F2370" t="s">
        <v>11</v>
      </c>
      <c r="L2370">
        <v>1</v>
      </c>
      <c r="X2370">
        <v>1</v>
      </c>
      <c r="AG2370">
        <v>1</v>
      </c>
      <c r="AV2370">
        <v>1</v>
      </c>
      <c r="BA2370">
        <f>SUM(Pre[[#This Row],[1]:[46]])</f>
        <v>4</v>
      </c>
    </row>
    <row r="2371" spans="1:53" x14ac:dyDescent="0.2">
      <c r="A2371" t="s">
        <v>59</v>
      </c>
      <c r="B2371" t="s">
        <v>54</v>
      </c>
      <c r="C2371">
        <v>12300</v>
      </c>
      <c r="D2371" t="s">
        <v>22</v>
      </c>
      <c r="E2371" t="s">
        <v>8</v>
      </c>
      <c r="F2371" t="s">
        <v>9</v>
      </c>
      <c r="H2371">
        <v>1</v>
      </c>
      <c r="M2371">
        <v>1</v>
      </c>
      <c r="W2371">
        <v>1</v>
      </c>
      <c r="AV2371">
        <v>1</v>
      </c>
      <c r="BA2371">
        <f>SUM(Pre[[#This Row],[1]:[46]])</f>
        <v>4</v>
      </c>
    </row>
    <row r="2372" spans="1:53" x14ac:dyDescent="0.2">
      <c r="A2372" t="s">
        <v>59</v>
      </c>
      <c r="B2372" t="s">
        <v>54</v>
      </c>
      <c r="C2372">
        <v>12395</v>
      </c>
      <c r="D2372" t="s">
        <v>22</v>
      </c>
      <c r="E2372" t="s">
        <v>14</v>
      </c>
      <c r="F2372" t="s">
        <v>21</v>
      </c>
      <c r="BA2372">
        <f>SUM(Pre[[#This Row],[1]:[46]])</f>
        <v>0</v>
      </c>
    </row>
    <row r="2373" spans="1:53" x14ac:dyDescent="0.2">
      <c r="A2373" t="s">
        <v>59</v>
      </c>
      <c r="B2373" t="s">
        <v>54</v>
      </c>
      <c r="C2373">
        <v>12395</v>
      </c>
      <c r="D2373" t="s">
        <v>22</v>
      </c>
      <c r="E2373" t="s">
        <v>14</v>
      </c>
      <c r="F2373" t="s">
        <v>20</v>
      </c>
      <c r="V2373">
        <v>1</v>
      </c>
      <c r="BA2373">
        <f>SUM(Pre[[#This Row],[1]:[46]])</f>
        <v>1</v>
      </c>
    </row>
    <row r="2374" spans="1:53" x14ac:dyDescent="0.2">
      <c r="A2374" t="s">
        <v>59</v>
      </c>
      <c r="B2374" t="s">
        <v>54</v>
      </c>
      <c r="C2374">
        <v>12896</v>
      </c>
      <c r="D2374" t="s">
        <v>22</v>
      </c>
      <c r="E2374" t="s">
        <v>14</v>
      </c>
      <c r="F2374" t="s">
        <v>35</v>
      </c>
      <c r="G2374">
        <v>1</v>
      </c>
      <c r="BA2374">
        <f>SUM(Pre[[#This Row],[1]:[46]])</f>
        <v>1</v>
      </c>
    </row>
    <row r="2375" spans="1:53" x14ac:dyDescent="0.2">
      <c r="A2375" t="s">
        <v>59</v>
      </c>
      <c r="B2375" t="s">
        <v>54</v>
      </c>
      <c r="C2375">
        <v>12896</v>
      </c>
      <c r="D2375" t="s">
        <v>22</v>
      </c>
      <c r="E2375" t="s">
        <v>14</v>
      </c>
      <c r="F2375" t="s">
        <v>15</v>
      </c>
      <c r="AD2375">
        <v>1</v>
      </c>
      <c r="AP2375">
        <v>1</v>
      </c>
      <c r="AW2375">
        <v>1</v>
      </c>
      <c r="BA2375">
        <f>SUM(Pre[[#This Row],[1]:[46]])</f>
        <v>3</v>
      </c>
    </row>
    <row r="2376" spans="1:53" x14ac:dyDescent="0.2">
      <c r="A2376" t="s">
        <v>59</v>
      </c>
      <c r="B2376" t="s">
        <v>54</v>
      </c>
      <c r="C2376">
        <v>14184</v>
      </c>
      <c r="D2376" t="s">
        <v>22</v>
      </c>
      <c r="E2376" t="s">
        <v>37</v>
      </c>
      <c r="F2376" t="s">
        <v>55</v>
      </c>
      <c r="O2376">
        <v>1</v>
      </c>
      <c r="AG2376">
        <v>1</v>
      </c>
      <c r="AY2376">
        <v>1</v>
      </c>
      <c r="BA2376">
        <f>SUM(Pre[[#This Row],[1]:[46]])</f>
        <v>3</v>
      </c>
    </row>
    <row r="2377" spans="1:53" x14ac:dyDescent="0.2">
      <c r="A2377" t="s">
        <v>59</v>
      </c>
      <c r="B2377" t="s">
        <v>54</v>
      </c>
      <c r="C2377">
        <v>14900</v>
      </c>
      <c r="D2377" t="s">
        <v>22</v>
      </c>
      <c r="E2377" t="s">
        <v>8</v>
      </c>
      <c r="F2377" t="s">
        <v>9</v>
      </c>
      <c r="P2377">
        <v>3</v>
      </c>
      <c r="AC2377">
        <v>1</v>
      </c>
      <c r="AO2377">
        <v>2</v>
      </c>
      <c r="AT2377">
        <v>3</v>
      </c>
      <c r="BA2377">
        <f>SUM(Pre[[#This Row],[1]:[46]])</f>
        <v>9</v>
      </c>
    </row>
    <row r="2378" spans="1:53" x14ac:dyDescent="0.2">
      <c r="A2378" t="s">
        <v>59</v>
      </c>
      <c r="B2378" t="s">
        <v>54</v>
      </c>
      <c r="C2378">
        <v>15928</v>
      </c>
      <c r="D2378" t="s">
        <v>22</v>
      </c>
      <c r="E2378" t="s">
        <v>14</v>
      </c>
      <c r="F2378" t="s">
        <v>19</v>
      </c>
      <c r="BA2378">
        <f>SUM(Pre[[#This Row],[1]:[46]])</f>
        <v>0</v>
      </c>
    </row>
    <row r="2379" spans="1:53" x14ac:dyDescent="0.2">
      <c r="A2379" t="s">
        <v>59</v>
      </c>
      <c r="B2379" t="s">
        <v>54</v>
      </c>
      <c r="C2379">
        <v>16482</v>
      </c>
      <c r="D2379" t="s">
        <v>22</v>
      </c>
      <c r="E2379" t="s">
        <v>14</v>
      </c>
      <c r="F2379" t="s">
        <v>20</v>
      </c>
      <c r="AA2379">
        <v>2</v>
      </c>
      <c r="AH2379">
        <v>3</v>
      </c>
      <c r="AR2379">
        <v>1</v>
      </c>
      <c r="AX2379">
        <v>3</v>
      </c>
      <c r="BA2379">
        <f>SUM(Pre[[#This Row],[1]:[46]])</f>
        <v>9</v>
      </c>
    </row>
    <row r="2380" spans="1:53" x14ac:dyDescent="0.2">
      <c r="A2380" t="s">
        <v>59</v>
      </c>
      <c r="B2380" t="s">
        <v>54</v>
      </c>
      <c r="C2380">
        <v>20939</v>
      </c>
      <c r="D2380" t="s">
        <v>22</v>
      </c>
      <c r="E2380" t="s">
        <v>8</v>
      </c>
      <c r="F2380" t="s">
        <v>29</v>
      </c>
      <c r="Q2380">
        <v>1</v>
      </c>
      <c r="AE2380">
        <v>1</v>
      </c>
      <c r="BA2380">
        <f>SUM(Pre[[#This Row],[1]:[46]])</f>
        <v>2</v>
      </c>
    </row>
    <row r="2381" spans="1:53" x14ac:dyDescent="0.2">
      <c r="A2381" t="s">
        <v>59</v>
      </c>
      <c r="B2381" t="s">
        <v>54</v>
      </c>
      <c r="C2381">
        <v>21954</v>
      </c>
      <c r="D2381" t="s">
        <v>22</v>
      </c>
      <c r="E2381" t="s">
        <v>14</v>
      </c>
      <c r="F2381" t="s">
        <v>20</v>
      </c>
      <c r="G2381">
        <v>1</v>
      </c>
      <c r="N2381">
        <v>1</v>
      </c>
      <c r="T2381">
        <v>1</v>
      </c>
      <c r="AA2381">
        <v>1</v>
      </c>
      <c r="AE2381">
        <v>1</v>
      </c>
      <c r="AL2381">
        <v>1</v>
      </c>
      <c r="AQ2381">
        <v>1</v>
      </c>
      <c r="AW2381">
        <v>1</v>
      </c>
      <c r="BA2381">
        <f>SUM(Pre[[#This Row],[1]:[46]])</f>
        <v>8</v>
      </c>
    </row>
    <row r="2382" spans="1:53" x14ac:dyDescent="0.2">
      <c r="A2382" t="s">
        <v>59</v>
      </c>
      <c r="B2382" t="s">
        <v>54</v>
      </c>
      <c r="C2382">
        <v>22538</v>
      </c>
      <c r="D2382" t="s">
        <v>22</v>
      </c>
      <c r="E2382" t="s">
        <v>14</v>
      </c>
      <c r="F2382" t="s">
        <v>19</v>
      </c>
      <c r="AP2382">
        <v>4</v>
      </c>
      <c r="BA2382">
        <f>SUM(Pre[[#This Row],[1]:[46]])</f>
        <v>4</v>
      </c>
    </row>
    <row r="2383" spans="1:53" x14ac:dyDescent="0.2">
      <c r="A2383" t="s">
        <v>59</v>
      </c>
      <c r="B2383" t="s">
        <v>54</v>
      </c>
      <c r="C2383">
        <v>22945</v>
      </c>
      <c r="D2383" t="s">
        <v>22</v>
      </c>
      <c r="E2383" t="s">
        <v>8</v>
      </c>
      <c r="F2383" t="s">
        <v>9</v>
      </c>
      <c r="R2383">
        <v>1</v>
      </c>
      <c r="AG2383">
        <v>1</v>
      </c>
      <c r="AV2383">
        <v>1</v>
      </c>
      <c r="BA2383">
        <f>SUM(Pre[[#This Row],[1]:[46]])</f>
        <v>3</v>
      </c>
    </row>
    <row r="2384" spans="1:53" x14ac:dyDescent="0.2">
      <c r="A2384" t="s">
        <v>59</v>
      </c>
      <c r="B2384" t="s">
        <v>54</v>
      </c>
      <c r="C2384">
        <v>23817</v>
      </c>
      <c r="D2384" t="s">
        <v>22</v>
      </c>
      <c r="E2384" t="s">
        <v>8</v>
      </c>
      <c r="F2384" t="s">
        <v>9</v>
      </c>
      <c r="H2384">
        <v>1</v>
      </c>
      <c r="L2384">
        <v>1</v>
      </c>
      <c r="O2384">
        <v>1</v>
      </c>
      <c r="S2384">
        <v>1</v>
      </c>
      <c r="W2384">
        <v>1</v>
      </c>
      <c r="AA2384">
        <v>1</v>
      </c>
      <c r="AF2384">
        <v>2</v>
      </c>
      <c r="AJ2384">
        <v>1</v>
      </c>
      <c r="AN2384">
        <v>1</v>
      </c>
      <c r="AP2384">
        <v>1</v>
      </c>
      <c r="AW2384">
        <v>1</v>
      </c>
      <c r="BA2384">
        <f>SUM(Pre[[#This Row],[1]:[46]])</f>
        <v>12</v>
      </c>
    </row>
    <row r="2385" spans="1:53" x14ac:dyDescent="0.2">
      <c r="A2385" t="s">
        <v>59</v>
      </c>
      <c r="B2385" t="s">
        <v>54</v>
      </c>
      <c r="C2385">
        <v>31273</v>
      </c>
      <c r="D2385" t="s">
        <v>22</v>
      </c>
      <c r="E2385" t="s">
        <v>14</v>
      </c>
      <c r="F2385" t="s">
        <v>15</v>
      </c>
      <c r="R2385">
        <v>1</v>
      </c>
      <c r="AG2385">
        <v>1</v>
      </c>
      <c r="AL2385">
        <v>1</v>
      </c>
      <c r="AX2385">
        <v>1</v>
      </c>
      <c r="BA2385">
        <f>SUM(Pre[[#This Row],[1]:[46]])</f>
        <v>4</v>
      </c>
    </row>
    <row r="2386" spans="1:53" x14ac:dyDescent="0.2">
      <c r="A2386" t="s">
        <v>59</v>
      </c>
      <c r="B2386" t="s">
        <v>54</v>
      </c>
      <c r="C2386">
        <v>31431</v>
      </c>
      <c r="D2386" t="s">
        <v>22</v>
      </c>
      <c r="E2386" t="s">
        <v>8</v>
      </c>
      <c r="F2386" t="s">
        <v>9</v>
      </c>
      <c r="BA2386">
        <f>SUM(Pre[[#This Row],[1]:[46]])</f>
        <v>0</v>
      </c>
    </row>
    <row r="2387" spans="1:53" x14ac:dyDescent="0.2">
      <c r="A2387" t="s">
        <v>59</v>
      </c>
      <c r="B2387" t="s">
        <v>54</v>
      </c>
      <c r="C2387">
        <v>3840</v>
      </c>
      <c r="D2387" t="s">
        <v>7</v>
      </c>
      <c r="E2387" t="s">
        <v>14</v>
      </c>
      <c r="F2387" t="s">
        <v>19</v>
      </c>
      <c r="G2387">
        <v>1</v>
      </c>
      <c r="T2387">
        <v>1</v>
      </c>
      <c r="X2387">
        <v>1</v>
      </c>
      <c r="AJ2387">
        <v>1</v>
      </c>
      <c r="AW2387">
        <v>1</v>
      </c>
      <c r="BA2387">
        <f>SUM(Pre[[#This Row],[1]:[46]])</f>
        <v>5</v>
      </c>
    </row>
    <row r="2388" spans="1:53" x14ac:dyDescent="0.2">
      <c r="A2388" t="s">
        <v>59</v>
      </c>
      <c r="B2388" t="s">
        <v>54</v>
      </c>
      <c r="C2388">
        <v>15983</v>
      </c>
      <c r="D2388" t="s">
        <v>7</v>
      </c>
      <c r="E2388" t="s">
        <v>10</v>
      </c>
      <c r="F2388" t="s">
        <v>11</v>
      </c>
      <c r="BA2388">
        <f>SUM(Pre[[#This Row],[1]:[46]])</f>
        <v>0</v>
      </c>
    </row>
    <row r="2389" spans="1:53" x14ac:dyDescent="0.2">
      <c r="A2389" t="s">
        <v>59</v>
      </c>
      <c r="B2389" t="s">
        <v>54</v>
      </c>
      <c r="C2389">
        <v>15983</v>
      </c>
      <c r="D2389" t="s">
        <v>7</v>
      </c>
      <c r="E2389" t="s">
        <v>14</v>
      </c>
      <c r="F2389" t="s">
        <v>20</v>
      </c>
      <c r="AY2389">
        <v>1</v>
      </c>
      <c r="BA2389">
        <f>SUM(Pre[[#This Row],[1]:[46]])</f>
        <v>1</v>
      </c>
    </row>
    <row r="2390" spans="1:53" x14ac:dyDescent="0.2">
      <c r="A2390" t="s">
        <v>59</v>
      </c>
      <c r="B2390" t="s">
        <v>54</v>
      </c>
      <c r="C2390">
        <v>32059</v>
      </c>
      <c r="D2390" t="s">
        <v>7</v>
      </c>
      <c r="E2390" t="s">
        <v>14</v>
      </c>
      <c r="F2390" t="s">
        <v>35</v>
      </c>
      <c r="V2390">
        <v>4</v>
      </c>
      <c r="AQ2390">
        <v>1</v>
      </c>
      <c r="AU2390">
        <v>2</v>
      </c>
      <c r="BA2390">
        <f>SUM(Pre[[#This Row],[1]:[46]])</f>
        <v>7</v>
      </c>
    </row>
    <row r="2391" spans="1:53" x14ac:dyDescent="0.2">
      <c r="A2391" t="s">
        <v>59</v>
      </c>
      <c r="B2391" t="s">
        <v>54</v>
      </c>
      <c r="C2391">
        <v>19690</v>
      </c>
      <c r="D2391" t="s">
        <v>22</v>
      </c>
      <c r="E2391" t="s">
        <v>14</v>
      </c>
      <c r="F2391" t="s">
        <v>20</v>
      </c>
      <c r="W2391">
        <v>1</v>
      </c>
      <c r="BA2391">
        <f>SUM(Pre[[#This Row],[1]:[46]])</f>
        <v>1</v>
      </c>
    </row>
    <row r="2392" spans="1:53" x14ac:dyDescent="0.2">
      <c r="A2392" t="s">
        <v>59</v>
      </c>
      <c r="B2392" t="s">
        <v>54</v>
      </c>
      <c r="C2392">
        <v>31450</v>
      </c>
      <c r="D2392" t="s">
        <v>22</v>
      </c>
      <c r="E2392" t="s">
        <v>14</v>
      </c>
      <c r="F2392" t="s">
        <v>20</v>
      </c>
      <c r="Q2392">
        <v>1</v>
      </c>
      <c r="AE2392">
        <v>1</v>
      </c>
      <c r="AS2392">
        <v>2</v>
      </c>
      <c r="BA2392">
        <f>SUM(Pre[[#This Row],[1]:[46]])</f>
        <v>4</v>
      </c>
    </row>
    <row r="2393" spans="1:53" x14ac:dyDescent="0.2">
      <c r="A2393" t="s">
        <v>59</v>
      </c>
      <c r="B2393" t="s">
        <v>54</v>
      </c>
      <c r="C2393">
        <v>898</v>
      </c>
      <c r="D2393" t="s">
        <v>7</v>
      </c>
      <c r="E2393" t="s">
        <v>14</v>
      </c>
      <c r="F2393" t="s">
        <v>35</v>
      </c>
      <c r="O2393">
        <v>1</v>
      </c>
      <c r="AB2393">
        <v>1</v>
      </c>
      <c r="AP2393">
        <v>1</v>
      </c>
      <c r="BA2393">
        <f>SUM(Pre[[#This Row],[1]:[46]])</f>
        <v>3</v>
      </c>
    </row>
    <row r="2394" spans="1:53" x14ac:dyDescent="0.2">
      <c r="A2394" t="s">
        <v>59</v>
      </c>
      <c r="B2394" t="s">
        <v>54</v>
      </c>
      <c r="C2394">
        <v>1896</v>
      </c>
      <c r="D2394" t="s">
        <v>7</v>
      </c>
      <c r="E2394" t="s">
        <v>14</v>
      </c>
      <c r="F2394" t="s">
        <v>35</v>
      </c>
      <c r="J2394">
        <v>1</v>
      </c>
      <c r="N2394">
        <v>1</v>
      </c>
      <c r="R2394">
        <v>1</v>
      </c>
      <c r="V2394">
        <v>1</v>
      </c>
      <c r="Z2394">
        <v>1</v>
      </c>
      <c r="AC2394">
        <v>1</v>
      </c>
      <c r="AF2394">
        <v>1</v>
      </c>
      <c r="AI2394">
        <v>1</v>
      </c>
      <c r="AL2394">
        <v>1</v>
      </c>
      <c r="AP2394">
        <v>1</v>
      </c>
      <c r="AT2394">
        <v>1</v>
      </c>
      <c r="AX2394">
        <v>1</v>
      </c>
      <c r="BA2394">
        <f>SUM(Pre[[#This Row],[1]:[46]])</f>
        <v>12</v>
      </c>
    </row>
    <row r="2395" spans="1:53" x14ac:dyDescent="0.2">
      <c r="A2395" t="s">
        <v>59</v>
      </c>
      <c r="B2395" t="s">
        <v>54</v>
      </c>
      <c r="C2395">
        <v>1947</v>
      </c>
      <c r="D2395" t="s">
        <v>7</v>
      </c>
      <c r="E2395" t="s">
        <v>14</v>
      </c>
      <c r="F2395" t="s">
        <v>20</v>
      </c>
      <c r="P2395">
        <v>1</v>
      </c>
      <c r="AE2395">
        <v>1</v>
      </c>
      <c r="AP2395">
        <v>1</v>
      </c>
      <c r="BA2395">
        <f>SUM(Pre[[#This Row],[1]:[46]])</f>
        <v>3</v>
      </c>
    </row>
    <row r="2396" spans="1:53" x14ac:dyDescent="0.2">
      <c r="A2396" t="s">
        <v>59</v>
      </c>
      <c r="B2396" t="s">
        <v>54</v>
      </c>
      <c r="C2396">
        <v>6629</v>
      </c>
      <c r="D2396" t="s">
        <v>7</v>
      </c>
      <c r="E2396" t="s">
        <v>10</v>
      </c>
      <c r="F2396" t="s">
        <v>11</v>
      </c>
      <c r="H2396">
        <v>1</v>
      </c>
      <c r="J2396">
        <v>1</v>
      </c>
      <c r="N2396">
        <v>1</v>
      </c>
      <c r="R2396">
        <v>1</v>
      </c>
      <c r="W2396">
        <v>1</v>
      </c>
      <c r="AB2396">
        <v>1</v>
      </c>
      <c r="AG2396">
        <v>1</v>
      </c>
      <c r="AJ2396">
        <v>1</v>
      </c>
      <c r="AN2396">
        <v>1</v>
      </c>
      <c r="AW2396">
        <v>1</v>
      </c>
      <c r="AZ2396">
        <v>1</v>
      </c>
      <c r="BA2396">
        <f>SUM(Pre[[#This Row],[1]:[46]])</f>
        <v>11</v>
      </c>
    </row>
    <row r="2397" spans="1:53" x14ac:dyDescent="0.2">
      <c r="A2397" t="s">
        <v>59</v>
      </c>
      <c r="B2397" t="s">
        <v>54</v>
      </c>
      <c r="C2397">
        <v>6629</v>
      </c>
      <c r="D2397" t="s">
        <v>7</v>
      </c>
      <c r="E2397" t="s">
        <v>14</v>
      </c>
      <c r="F2397" t="s">
        <v>20</v>
      </c>
      <c r="AR2397">
        <v>2</v>
      </c>
      <c r="AV2397">
        <v>1</v>
      </c>
      <c r="BA2397">
        <f>SUM(Pre[[#This Row],[1]:[46]])</f>
        <v>3</v>
      </c>
    </row>
    <row r="2398" spans="1:53" x14ac:dyDescent="0.2">
      <c r="A2398" t="s">
        <v>59</v>
      </c>
      <c r="B2398" t="s">
        <v>54</v>
      </c>
      <c r="C2398">
        <v>7037</v>
      </c>
      <c r="D2398" t="s">
        <v>7</v>
      </c>
      <c r="E2398" t="s">
        <v>10</v>
      </c>
      <c r="F2398" t="s">
        <v>11</v>
      </c>
      <c r="AW2398">
        <v>1</v>
      </c>
      <c r="BA2398">
        <f>SUM(Pre[[#This Row],[1]:[46]])</f>
        <v>1</v>
      </c>
    </row>
    <row r="2399" spans="1:53" x14ac:dyDescent="0.2">
      <c r="A2399" t="s">
        <v>59</v>
      </c>
      <c r="B2399" t="s">
        <v>54</v>
      </c>
      <c r="C2399">
        <v>7684</v>
      </c>
      <c r="D2399" t="s">
        <v>7</v>
      </c>
      <c r="E2399" t="s">
        <v>14</v>
      </c>
      <c r="F2399" t="s">
        <v>20</v>
      </c>
      <c r="I2399">
        <v>1</v>
      </c>
      <c r="M2399">
        <v>1</v>
      </c>
      <c r="Y2399">
        <v>1</v>
      </c>
      <c r="AB2399">
        <v>1</v>
      </c>
      <c r="AE2399">
        <v>1</v>
      </c>
      <c r="AH2399">
        <v>1</v>
      </c>
      <c r="AK2399">
        <v>1</v>
      </c>
      <c r="AN2399">
        <v>1</v>
      </c>
      <c r="AR2399">
        <v>1</v>
      </c>
      <c r="AV2399">
        <v>1</v>
      </c>
      <c r="AZ2399">
        <v>1</v>
      </c>
      <c r="BA2399">
        <f>SUM(Pre[[#This Row],[1]:[46]])</f>
        <v>11</v>
      </c>
    </row>
    <row r="2400" spans="1:53" x14ac:dyDescent="0.2">
      <c r="A2400" t="s">
        <v>59</v>
      </c>
      <c r="B2400" t="s">
        <v>54</v>
      </c>
      <c r="C2400">
        <v>11188</v>
      </c>
      <c r="D2400" t="s">
        <v>7</v>
      </c>
      <c r="E2400" t="s">
        <v>10</v>
      </c>
      <c r="F2400" t="s">
        <v>11</v>
      </c>
      <c r="AD2400">
        <v>1</v>
      </c>
      <c r="AG2400">
        <v>1</v>
      </c>
      <c r="AJ2400">
        <v>1</v>
      </c>
      <c r="AM2400">
        <v>1</v>
      </c>
      <c r="AO2400">
        <v>1</v>
      </c>
      <c r="AR2400">
        <v>1</v>
      </c>
      <c r="AU2400">
        <v>1</v>
      </c>
      <c r="AX2400">
        <v>1</v>
      </c>
      <c r="BA2400">
        <f>SUM(Pre[[#This Row],[1]:[46]])</f>
        <v>8</v>
      </c>
    </row>
    <row r="2401" spans="1:53" x14ac:dyDescent="0.2">
      <c r="A2401" t="s">
        <v>59</v>
      </c>
      <c r="B2401" t="s">
        <v>54</v>
      </c>
      <c r="C2401">
        <v>11188</v>
      </c>
      <c r="D2401" t="s">
        <v>7</v>
      </c>
      <c r="E2401" t="s">
        <v>14</v>
      </c>
      <c r="F2401" t="s">
        <v>20</v>
      </c>
      <c r="P2401">
        <v>1</v>
      </c>
      <c r="BA2401">
        <f>SUM(Pre[[#This Row],[1]:[46]])</f>
        <v>1</v>
      </c>
    </row>
    <row r="2402" spans="1:53" x14ac:dyDescent="0.2">
      <c r="A2402" t="s">
        <v>59</v>
      </c>
      <c r="B2402" t="s">
        <v>54</v>
      </c>
      <c r="C2402">
        <v>13838</v>
      </c>
      <c r="D2402" t="s">
        <v>7</v>
      </c>
      <c r="E2402" t="s">
        <v>14</v>
      </c>
      <c r="F2402" t="s">
        <v>19</v>
      </c>
      <c r="BA2402">
        <f>SUM(Pre[[#This Row],[1]:[46]])</f>
        <v>0</v>
      </c>
    </row>
    <row r="2403" spans="1:53" x14ac:dyDescent="0.2">
      <c r="A2403" t="s">
        <v>59</v>
      </c>
      <c r="B2403" t="s">
        <v>54</v>
      </c>
      <c r="C2403">
        <v>17092</v>
      </c>
      <c r="D2403" t="s">
        <v>7</v>
      </c>
      <c r="E2403" t="s">
        <v>14</v>
      </c>
      <c r="F2403" t="s">
        <v>35</v>
      </c>
      <c r="I2403">
        <v>1</v>
      </c>
      <c r="P2403">
        <v>1</v>
      </c>
      <c r="V2403">
        <v>1</v>
      </c>
      <c r="AB2403">
        <v>1</v>
      </c>
      <c r="AG2403">
        <v>1</v>
      </c>
      <c r="AL2403">
        <v>1</v>
      </c>
      <c r="AP2403">
        <v>1</v>
      </c>
      <c r="AW2403">
        <v>1</v>
      </c>
      <c r="BA2403">
        <f>SUM(Pre[[#This Row],[1]:[46]])</f>
        <v>8</v>
      </c>
    </row>
    <row r="2404" spans="1:53" x14ac:dyDescent="0.2">
      <c r="A2404" t="s">
        <v>59</v>
      </c>
      <c r="B2404" t="s">
        <v>54</v>
      </c>
      <c r="C2404">
        <v>17092</v>
      </c>
      <c r="D2404" t="s">
        <v>7</v>
      </c>
      <c r="E2404" t="s">
        <v>14</v>
      </c>
      <c r="F2404" t="s">
        <v>21</v>
      </c>
      <c r="H2404">
        <v>1</v>
      </c>
      <c r="BA2404">
        <f>SUM(Pre[[#This Row],[1]:[46]])</f>
        <v>1</v>
      </c>
    </row>
    <row r="2405" spans="1:53" x14ac:dyDescent="0.2">
      <c r="A2405" t="s">
        <v>59</v>
      </c>
      <c r="B2405" t="s">
        <v>54</v>
      </c>
      <c r="C2405">
        <v>18775</v>
      </c>
      <c r="D2405" t="s">
        <v>7</v>
      </c>
      <c r="E2405" t="s">
        <v>14</v>
      </c>
      <c r="F2405" t="s">
        <v>20</v>
      </c>
      <c r="U2405">
        <v>1</v>
      </c>
      <c r="AR2405">
        <v>1</v>
      </c>
      <c r="BA2405">
        <f>SUM(Pre[[#This Row],[1]:[46]])</f>
        <v>2</v>
      </c>
    </row>
    <row r="2406" spans="1:53" x14ac:dyDescent="0.2">
      <c r="A2406" t="s">
        <v>59</v>
      </c>
      <c r="B2406" t="s">
        <v>54</v>
      </c>
      <c r="C2406">
        <v>9353</v>
      </c>
      <c r="D2406" t="s">
        <v>22</v>
      </c>
      <c r="E2406" t="s">
        <v>14</v>
      </c>
      <c r="F2406" t="s">
        <v>19</v>
      </c>
      <c r="M2406">
        <v>1</v>
      </c>
      <c r="BA2406">
        <f>SUM(Pre[[#This Row],[1]:[46]])</f>
        <v>1</v>
      </c>
    </row>
    <row r="2407" spans="1:53" x14ac:dyDescent="0.2">
      <c r="A2407" t="s">
        <v>59</v>
      </c>
      <c r="B2407" t="s">
        <v>54</v>
      </c>
      <c r="C2407">
        <v>9353</v>
      </c>
      <c r="D2407" t="s">
        <v>22</v>
      </c>
      <c r="E2407" t="s">
        <v>14</v>
      </c>
      <c r="F2407" t="s">
        <v>21</v>
      </c>
      <c r="AB2407">
        <v>1</v>
      </c>
      <c r="AF2407">
        <v>1</v>
      </c>
      <c r="AI2407">
        <v>1</v>
      </c>
      <c r="AN2407">
        <v>1</v>
      </c>
      <c r="AQ2407">
        <v>1</v>
      </c>
      <c r="AX2407">
        <v>1</v>
      </c>
      <c r="BA2407">
        <f>SUM(Pre[[#This Row],[1]:[46]])</f>
        <v>6</v>
      </c>
    </row>
    <row r="2408" spans="1:53" x14ac:dyDescent="0.2">
      <c r="A2408" t="s">
        <v>59</v>
      </c>
      <c r="B2408" t="s">
        <v>54</v>
      </c>
      <c r="C2408">
        <v>14140</v>
      </c>
      <c r="D2408" t="s">
        <v>22</v>
      </c>
      <c r="E2408" t="s">
        <v>14</v>
      </c>
      <c r="F2408" t="s">
        <v>20</v>
      </c>
      <c r="BA2408">
        <f>SUM(Pre[[#This Row],[1]:[46]])</f>
        <v>0</v>
      </c>
    </row>
    <row r="2409" spans="1:53" x14ac:dyDescent="0.2">
      <c r="A2409" t="s">
        <v>59</v>
      </c>
      <c r="B2409" t="s">
        <v>54</v>
      </c>
      <c r="C2409">
        <v>17725</v>
      </c>
      <c r="D2409" t="s">
        <v>22</v>
      </c>
      <c r="E2409" t="s">
        <v>14</v>
      </c>
      <c r="F2409" t="s">
        <v>35</v>
      </c>
      <c r="J2409">
        <v>1</v>
      </c>
      <c r="AP2409">
        <v>1</v>
      </c>
      <c r="BA2409">
        <f>SUM(Pre[[#This Row],[1]:[46]])</f>
        <v>2</v>
      </c>
    </row>
    <row r="2410" spans="1:53" x14ac:dyDescent="0.2">
      <c r="A2410" t="s">
        <v>59</v>
      </c>
      <c r="B2410" t="s">
        <v>54</v>
      </c>
      <c r="C2410">
        <v>6217</v>
      </c>
      <c r="D2410" t="s">
        <v>7</v>
      </c>
      <c r="E2410" t="s">
        <v>10</v>
      </c>
      <c r="F2410" t="s">
        <v>11</v>
      </c>
      <c r="J2410">
        <v>1</v>
      </c>
      <c r="BA2410">
        <f>SUM(Pre[[#This Row],[1]:[46]])</f>
        <v>1</v>
      </c>
    </row>
    <row r="2411" spans="1:53" x14ac:dyDescent="0.2">
      <c r="A2411" t="s">
        <v>59</v>
      </c>
      <c r="B2411" t="s">
        <v>54</v>
      </c>
      <c r="C2411">
        <v>6217</v>
      </c>
      <c r="D2411" t="s">
        <v>7</v>
      </c>
      <c r="E2411" t="s">
        <v>14</v>
      </c>
      <c r="F2411" t="s">
        <v>21</v>
      </c>
      <c r="BA2411">
        <f>SUM(Pre[[#This Row],[1]:[46]])</f>
        <v>0</v>
      </c>
    </row>
    <row r="2412" spans="1:53" x14ac:dyDescent="0.2">
      <c r="A2412" t="s">
        <v>59</v>
      </c>
      <c r="B2412" t="s">
        <v>54</v>
      </c>
      <c r="C2412">
        <v>8464</v>
      </c>
      <c r="D2412" t="s">
        <v>7</v>
      </c>
      <c r="E2412" t="s">
        <v>14</v>
      </c>
      <c r="F2412" t="s">
        <v>35</v>
      </c>
      <c r="H2412">
        <v>1</v>
      </c>
      <c r="S2412">
        <v>1</v>
      </c>
      <c r="AE2412">
        <v>1</v>
      </c>
      <c r="AR2412">
        <v>1</v>
      </c>
      <c r="BA2412">
        <f>SUM(Pre[[#This Row],[1]:[46]])</f>
        <v>4</v>
      </c>
    </row>
    <row r="2413" spans="1:53" x14ac:dyDescent="0.2">
      <c r="A2413" t="s">
        <v>59</v>
      </c>
      <c r="B2413" t="s">
        <v>54</v>
      </c>
      <c r="C2413">
        <v>348</v>
      </c>
      <c r="D2413" t="s">
        <v>7</v>
      </c>
      <c r="E2413" t="s">
        <v>10</v>
      </c>
      <c r="F2413" t="s">
        <v>11</v>
      </c>
      <c r="W2413">
        <v>1</v>
      </c>
      <c r="AL2413">
        <v>1</v>
      </c>
      <c r="AZ2413">
        <v>1</v>
      </c>
      <c r="BA2413">
        <f>SUM(Pre[[#This Row],[1]:[46]])</f>
        <v>3</v>
      </c>
    </row>
    <row r="2414" spans="1:53" x14ac:dyDescent="0.2">
      <c r="A2414" t="s">
        <v>59</v>
      </c>
      <c r="B2414" t="s">
        <v>54</v>
      </c>
      <c r="C2414">
        <v>5856</v>
      </c>
      <c r="D2414" t="s">
        <v>7</v>
      </c>
      <c r="E2414" t="s">
        <v>14</v>
      </c>
      <c r="F2414" t="s">
        <v>15</v>
      </c>
      <c r="J2414">
        <v>1</v>
      </c>
      <c r="X2414">
        <v>1</v>
      </c>
      <c r="AM2414">
        <v>1</v>
      </c>
      <c r="BA2414">
        <f>SUM(Pre[[#This Row],[1]:[46]])</f>
        <v>3</v>
      </c>
    </row>
    <row r="2415" spans="1:53" x14ac:dyDescent="0.2">
      <c r="A2415" t="s">
        <v>59</v>
      </c>
      <c r="B2415" t="s">
        <v>54</v>
      </c>
      <c r="C2415">
        <v>7811</v>
      </c>
      <c r="D2415" t="s">
        <v>7</v>
      </c>
      <c r="E2415" t="s">
        <v>14</v>
      </c>
      <c r="F2415" t="s">
        <v>35</v>
      </c>
      <c r="O2415">
        <v>1</v>
      </c>
      <c r="AC2415">
        <v>1</v>
      </c>
      <c r="AR2415">
        <v>1</v>
      </c>
      <c r="AY2415">
        <v>1</v>
      </c>
      <c r="BA2415">
        <f>SUM(Pre[[#This Row],[1]:[46]])</f>
        <v>4</v>
      </c>
    </row>
    <row r="2416" spans="1:53" x14ac:dyDescent="0.2">
      <c r="A2416" t="s">
        <v>59</v>
      </c>
      <c r="B2416" t="s">
        <v>54</v>
      </c>
      <c r="C2416">
        <v>8279</v>
      </c>
      <c r="D2416" t="s">
        <v>7</v>
      </c>
      <c r="E2416" t="s">
        <v>14</v>
      </c>
      <c r="F2416" t="s">
        <v>20</v>
      </c>
      <c r="AB2416">
        <v>1</v>
      </c>
      <c r="AG2416">
        <v>1</v>
      </c>
      <c r="AK2416">
        <v>1</v>
      </c>
      <c r="BA2416">
        <f>SUM(Pre[[#This Row],[1]:[46]])</f>
        <v>3</v>
      </c>
    </row>
    <row r="2417" spans="1:53" x14ac:dyDescent="0.2">
      <c r="A2417" t="s">
        <v>59</v>
      </c>
      <c r="B2417" t="s">
        <v>54</v>
      </c>
      <c r="C2417">
        <v>9122</v>
      </c>
      <c r="D2417" t="s">
        <v>7</v>
      </c>
      <c r="E2417" t="s">
        <v>14</v>
      </c>
      <c r="F2417" t="s">
        <v>19</v>
      </c>
      <c r="BA2417">
        <f>SUM(Pre[[#This Row],[1]:[46]])</f>
        <v>0</v>
      </c>
    </row>
    <row r="2418" spans="1:53" x14ac:dyDescent="0.2">
      <c r="A2418" t="s">
        <v>59</v>
      </c>
      <c r="B2418" t="s">
        <v>54</v>
      </c>
      <c r="C2418">
        <v>14183</v>
      </c>
      <c r="D2418" t="s">
        <v>7</v>
      </c>
      <c r="E2418" t="s">
        <v>14</v>
      </c>
      <c r="F2418" t="s">
        <v>19</v>
      </c>
      <c r="AX2418">
        <v>2</v>
      </c>
      <c r="BA2418">
        <f>SUM(Pre[[#This Row],[1]:[46]])</f>
        <v>2</v>
      </c>
    </row>
    <row r="2419" spans="1:53" x14ac:dyDescent="0.2">
      <c r="A2419" t="s">
        <v>59</v>
      </c>
      <c r="B2419" t="s">
        <v>54</v>
      </c>
      <c r="C2419">
        <v>14908</v>
      </c>
      <c r="D2419" t="s">
        <v>7</v>
      </c>
      <c r="E2419" t="s">
        <v>14</v>
      </c>
      <c r="F2419" t="s">
        <v>35</v>
      </c>
      <c r="I2419">
        <v>1</v>
      </c>
      <c r="M2419">
        <v>1</v>
      </c>
      <c r="Q2419">
        <v>1</v>
      </c>
      <c r="U2419">
        <v>1</v>
      </c>
      <c r="Y2419">
        <v>1</v>
      </c>
      <c r="AC2419">
        <v>1</v>
      </c>
      <c r="AG2419">
        <v>1</v>
      </c>
      <c r="AK2419">
        <v>1</v>
      </c>
      <c r="AO2419">
        <v>1</v>
      </c>
      <c r="AS2419">
        <v>1</v>
      </c>
      <c r="AW2419">
        <v>1</v>
      </c>
      <c r="AX2419">
        <v>1</v>
      </c>
      <c r="BA2419">
        <f>SUM(Pre[[#This Row],[1]:[46]])</f>
        <v>12</v>
      </c>
    </row>
    <row r="2420" spans="1:53" x14ac:dyDescent="0.2">
      <c r="A2420" t="s">
        <v>59</v>
      </c>
      <c r="B2420" t="s">
        <v>54</v>
      </c>
      <c r="C2420">
        <v>18295</v>
      </c>
      <c r="D2420" t="s">
        <v>7</v>
      </c>
      <c r="E2420" t="s">
        <v>14</v>
      </c>
      <c r="F2420" t="s">
        <v>21</v>
      </c>
      <c r="AS2420">
        <v>2</v>
      </c>
      <c r="BA2420">
        <f>SUM(Pre[[#This Row],[1]:[46]])</f>
        <v>2</v>
      </c>
    </row>
    <row r="2421" spans="1:53" x14ac:dyDescent="0.2">
      <c r="A2421" t="s">
        <v>59</v>
      </c>
      <c r="B2421" t="s">
        <v>54</v>
      </c>
      <c r="C2421">
        <v>21068</v>
      </c>
      <c r="D2421" t="s">
        <v>7</v>
      </c>
      <c r="E2421" t="s">
        <v>10</v>
      </c>
      <c r="F2421" t="s">
        <v>11</v>
      </c>
      <c r="Q2421">
        <v>1</v>
      </c>
      <c r="U2421">
        <v>1</v>
      </c>
      <c r="Y2421">
        <v>1</v>
      </c>
      <c r="AE2421">
        <v>1</v>
      </c>
      <c r="AH2421">
        <v>1</v>
      </c>
      <c r="AP2421">
        <v>1</v>
      </c>
      <c r="AU2421">
        <v>1</v>
      </c>
      <c r="AY2421">
        <v>1</v>
      </c>
      <c r="BA2421">
        <f>SUM(Pre[[#This Row],[1]:[46]])</f>
        <v>8</v>
      </c>
    </row>
    <row r="2422" spans="1:53" x14ac:dyDescent="0.2">
      <c r="A2422" t="s">
        <v>59</v>
      </c>
      <c r="B2422" t="s">
        <v>54</v>
      </c>
      <c r="C2422">
        <v>21068</v>
      </c>
      <c r="D2422" t="s">
        <v>7</v>
      </c>
      <c r="E2422" t="s">
        <v>14</v>
      </c>
      <c r="F2422" t="s">
        <v>35</v>
      </c>
      <c r="Q2422">
        <v>1</v>
      </c>
      <c r="Y2422">
        <v>1</v>
      </c>
      <c r="AC2422">
        <v>1</v>
      </c>
      <c r="AE2422">
        <v>1</v>
      </c>
      <c r="AH2422">
        <v>1</v>
      </c>
      <c r="AU2422">
        <v>2</v>
      </c>
      <c r="AZ2422">
        <v>2</v>
      </c>
      <c r="BA2422">
        <f>SUM(Pre[[#This Row],[1]:[46]])</f>
        <v>9</v>
      </c>
    </row>
    <row r="2423" spans="1:53" x14ac:dyDescent="0.2">
      <c r="A2423" t="s">
        <v>59</v>
      </c>
      <c r="B2423" t="s">
        <v>54</v>
      </c>
      <c r="C2423">
        <v>8307</v>
      </c>
      <c r="D2423" t="s">
        <v>22</v>
      </c>
      <c r="E2423" t="s">
        <v>14</v>
      </c>
      <c r="F2423" t="s">
        <v>20</v>
      </c>
      <c r="BA2423">
        <f>SUM(Pre[[#This Row],[1]:[46]])</f>
        <v>0</v>
      </c>
    </row>
    <row r="2424" spans="1:53" x14ac:dyDescent="0.2">
      <c r="A2424" t="s">
        <v>59</v>
      </c>
      <c r="B2424" t="s">
        <v>54</v>
      </c>
      <c r="C2424">
        <v>7687</v>
      </c>
      <c r="D2424" t="s">
        <v>22</v>
      </c>
      <c r="E2424" t="s">
        <v>10</v>
      </c>
      <c r="F2424" t="s">
        <v>11</v>
      </c>
      <c r="J2424">
        <v>1</v>
      </c>
      <c r="N2424">
        <v>1</v>
      </c>
      <c r="R2424">
        <v>1</v>
      </c>
      <c r="V2424">
        <v>1</v>
      </c>
      <c r="Z2424">
        <v>1</v>
      </c>
      <c r="AD2424">
        <v>1</v>
      </c>
      <c r="BA2424">
        <f>SUM(Pre[[#This Row],[1]:[46]])</f>
        <v>6</v>
      </c>
    </row>
    <row r="2425" spans="1:53" x14ac:dyDescent="0.2">
      <c r="A2425" t="s">
        <v>59</v>
      </c>
      <c r="B2425" t="s">
        <v>54</v>
      </c>
      <c r="C2425">
        <v>5513</v>
      </c>
      <c r="D2425" t="s">
        <v>7</v>
      </c>
      <c r="E2425" t="s">
        <v>17</v>
      </c>
      <c r="F2425" t="s">
        <v>18</v>
      </c>
      <c r="BA2425">
        <f>SUM(Pre[[#This Row],[1]:[46]])</f>
        <v>0</v>
      </c>
    </row>
    <row r="2426" spans="1:53" x14ac:dyDescent="0.2">
      <c r="A2426" t="s">
        <v>59</v>
      </c>
      <c r="B2426" t="s">
        <v>54</v>
      </c>
      <c r="C2426">
        <v>5513</v>
      </c>
      <c r="D2426" t="s">
        <v>7</v>
      </c>
      <c r="E2426" t="s">
        <v>12</v>
      </c>
      <c r="F2426" t="s">
        <v>13</v>
      </c>
      <c r="G2426">
        <v>1</v>
      </c>
      <c r="H2426">
        <v>1</v>
      </c>
      <c r="I2426">
        <v>1</v>
      </c>
      <c r="J2426">
        <v>2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M2426">
        <v>2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f>SUM(Pre[[#This Row],[1]:[46]])</f>
        <v>47</v>
      </c>
    </row>
    <row r="2427" spans="1:53" x14ac:dyDescent="0.2">
      <c r="A2427" t="s">
        <v>59</v>
      </c>
      <c r="B2427" t="s">
        <v>54</v>
      </c>
      <c r="C2427">
        <v>5513</v>
      </c>
      <c r="D2427" t="s">
        <v>7</v>
      </c>
      <c r="E2427" t="s">
        <v>14</v>
      </c>
      <c r="F2427" t="s">
        <v>35</v>
      </c>
      <c r="BA2427">
        <f>SUM(Pre[[#This Row],[1]:[46]])</f>
        <v>0</v>
      </c>
    </row>
    <row r="2428" spans="1:53" x14ac:dyDescent="0.2">
      <c r="A2428" t="s">
        <v>59</v>
      </c>
      <c r="B2428" t="s">
        <v>54</v>
      </c>
      <c r="C2428">
        <v>5513</v>
      </c>
      <c r="D2428" t="s">
        <v>7</v>
      </c>
      <c r="E2428" t="s">
        <v>14</v>
      </c>
      <c r="F2428" t="s">
        <v>21</v>
      </c>
      <c r="G2428">
        <v>3</v>
      </c>
      <c r="H2428">
        <v>3</v>
      </c>
      <c r="I2428">
        <v>3</v>
      </c>
      <c r="J2428">
        <v>4</v>
      </c>
      <c r="K2428">
        <v>3</v>
      </c>
      <c r="L2428">
        <v>3</v>
      </c>
      <c r="M2428">
        <v>3</v>
      </c>
      <c r="N2428">
        <v>3</v>
      </c>
      <c r="O2428">
        <v>3</v>
      </c>
      <c r="P2428">
        <v>3</v>
      </c>
      <c r="Q2428">
        <v>3</v>
      </c>
      <c r="R2428">
        <v>3</v>
      </c>
      <c r="S2428">
        <v>3</v>
      </c>
      <c r="T2428">
        <v>3</v>
      </c>
      <c r="U2428">
        <v>1</v>
      </c>
      <c r="V2428">
        <v>1</v>
      </c>
      <c r="W2428">
        <v>3</v>
      </c>
      <c r="X2428">
        <v>3</v>
      </c>
      <c r="Y2428">
        <v>4</v>
      </c>
      <c r="Z2428">
        <v>4</v>
      </c>
      <c r="AA2428">
        <v>3</v>
      </c>
      <c r="AB2428">
        <v>3</v>
      </c>
      <c r="AC2428">
        <v>3</v>
      </c>
      <c r="AD2428">
        <v>3</v>
      </c>
      <c r="AE2428">
        <v>3</v>
      </c>
      <c r="AF2428">
        <v>3</v>
      </c>
      <c r="AG2428">
        <v>3</v>
      </c>
      <c r="AH2428">
        <v>3</v>
      </c>
      <c r="AI2428">
        <v>3</v>
      </c>
      <c r="AJ2428">
        <v>3</v>
      </c>
      <c r="AK2428">
        <v>3</v>
      </c>
      <c r="AL2428">
        <v>2</v>
      </c>
      <c r="AM2428">
        <v>3</v>
      </c>
      <c r="AN2428">
        <v>3</v>
      </c>
      <c r="AO2428">
        <v>4</v>
      </c>
      <c r="AP2428">
        <v>3</v>
      </c>
      <c r="AQ2428">
        <v>3</v>
      </c>
      <c r="AR2428">
        <v>3</v>
      </c>
      <c r="AS2428">
        <v>3</v>
      </c>
      <c r="AT2428">
        <v>3</v>
      </c>
      <c r="AU2428">
        <v>3</v>
      </c>
      <c r="AV2428">
        <v>3</v>
      </c>
      <c r="AW2428">
        <v>4</v>
      </c>
      <c r="AX2428">
        <v>3</v>
      </c>
      <c r="AY2428">
        <v>3</v>
      </c>
      <c r="AZ2428">
        <v>3</v>
      </c>
      <c r="BA2428">
        <f>SUM(Pre[[#This Row],[1]:[46]])</f>
        <v>138</v>
      </c>
    </row>
    <row r="2429" spans="1:53" x14ac:dyDescent="0.2">
      <c r="A2429" t="s">
        <v>59</v>
      </c>
      <c r="B2429" t="s">
        <v>54</v>
      </c>
      <c r="C2429">
        <v>5513</v>
      </c>
      <c r="D2429" t="s">
        <v>7</v>
      </c>
      <c r="E2429" t="s">
        <v>14</v>
      </c>
      <c r="F2429" t="s">
        <v>20</v>
      </c>
      <c r="BA2429">
        <f>SUM(Pre[[#This Row],[1]:[46]])</f>
        <v>0</v>
      </c>
    </row>
    <row r="2430" spans="1:53" x14ac:dyDescent="0.2">
      <c r="A2430" t="s">
        <v>59</v>
      </c>
      <c r="B2430" t="s">
        <v>54</v>
      </c>
      <c r="C2430">
        <v>5854</v>
      </c>
      <c r="D2430" t="s">
        <v>7</v>
      </c>
      <c r="E2430" t="s">
        <v>14</v>
      </c>
      <c r="F2430" t="s">
        <v>20</v>
      </c>
      <c r="I2430">
        <v>1</v>
      </c>
      <c r="K2430">
        <v>1</v>
      </c>
      <c r="M2430">
        <v>1</v>
      </c>
      <c r="O2430">
        <v>1</v>
      </c>
      <c r="Q2430">
        <v>1</v>
      </c>
      <c r="S2430">
        <v>1</v>
      </c>
      <c r="U2430">
        <v>1</v>
      </c>
      <c r="W2430">
        <v>1</v>
      </c>
      <c r="Y2430">
        <v>1</v>
      </c>
      <c r="AA2430">
        <v>1</v>
      </c>
      <c r="AC2430">
        <v>1</v>
      </c>
      <c r="AE2430">
        <v>1</v>
      </c>
      <c r="AG2430">
        <v>1</v>
      </c>
      <c r="AI2430">
        <v>1</v>
      </c>
      <c r="AK2430">
        <v>1</v>
      </c>
      <c r="AM2430">
        <v>1</v>
      </c>
      <c r="AO2430">
        <v>1</v>
      </c>
      <c r="AQ2430">
        <v>1</v>
      </c>
      <c r="AS2430">
        <v>1</v>
      </c>
      <c r="AU2430">
        <v>1</v>
      </c>
      <c r="AW2430">
        <v>1</v>
      </c>
      <c r="AY2430">
        <v>1</v>
      </c>
      <c r="BA2430">
        <f>SUM(Pre[[#This Row],[1]:[46]])</f>
        <v>22</v>
      </c>
    </row>
    <row r="2431" spans="1:53" x14ac:dyDescent="0.2">
      <c r="A2431" t="s">
        <v>59</v>
      </c>
      <c r="B2431" t="s">
        <v>54</v>
      </c>
      <c r="C2431">
        <v>8973</v>
      </c>
      <c r="D2431" t="s">
        <v>7</v>
      </c>
      <c r="E2431" t="s">
        <v>14</v>
      </c>
      <c r="F2431" t="s">
        <v>20</v>
      </c>
      <c r="AB2431">
        <v>1</v>
      </c>
      <c r="BA2431">
        <f>SUM(Pre[[#This Row],[1]:[46]])</f>
        <v>1</v>
      </c>
    </row>
    <row r="2432" spans="1:53" x14ac:dyDescent="0.2">
      <c r="A2432" t="s">
        <v>59</v>
      </c>
      <c r="B2432" t="s">
        <v>54</v>
      </c>
      <c r="C2432">
        <v>23817</v>
      </c>
      <c r="D2432" t="s">
        <v>22</v>
      </c>
      <c r="E2432" t="s">
        <v>14</v>
      </c>
      <c r="F2432" t="s">
        <v>20</v>
      </c>
      <c r="H2432">
        <v>1</v>
      </c>
      <c r="L2432">
        <v>1</v>
      </c>
      <c r="O2432">
        <v>1</v>
      </c>
      <c r="S2432">
        <v>1</v>
      </c>
      <c r="W2432">
        <v>1</v>
      </c>
      <c r="AA2432">
        <v>1</v>
      </c>
      <c r="AF2432">
        <v>2</v>
      </c>
      <c r="AJ2432">
        <v>1</v>
      </c>
      <c r="AN2432">
        <v>1</v>
      </c>
      <c r="AP2432">
        <v>1</v>
      </c>
      <c r="AW2432">
        <v>1</v>
      </c>
      <c r="BA2432">
        <f>SUM(Pre[[#This Row],[1]:[46]])</f>
        <v>12</v>
      </c>
    </row>
    <row r="2433" spans="1:53" x14ac:dyDescent="0.2">
      <c r="A2433" t="s">
        <v>59</v>
      </c>
      <c r="B2433" t="s">
        <v>54</v>
      </c>
      <c r="C2433">
        <v>1659</v>
      </c>
      <c r="D2433" t="s">
        <v>7</v>
      </c>
      <c r="E2433" t="s">
        <v>8</v>
      </c>
      <c r="F2433" t="s">
        <v>23</v>
      </c>
      <c r="T2433">
        <v>1</v>
      </c>
      <c r="AH2433">
        <v>1</v>
      </c>
      <c r="AT2433">
        <v>1</v>
      </c>
      <c r="BA2433">
        <f>SUM(Pre[[#This Row],[1]:[46]])</f>
        <v>3</v>
      </c>
    </row>
    <row r="2434" spans="1:53" x14ac:dyDescent="0.2">
      <c r="A2434" t="s">
        <v>59</v>
      </c>
      <c r="B2434" t="s">
        <v>54</v>
      </c>
      <c r="C2434">
        <v>2188</v>
      </c>
      <c r="D2434" t="s">
        <v>7</v>
      </c>
      <c r="E2434" t="s">
        <v>8</v>
      </c>
      <c r="F2434" t="s">
        <v>9</v>
      </c>
      <c r="N2434">
        <v>1</v>
      </c>
      <c r="AB2434">
        <v>1</v>
      </c>
      <c r="AP2434">
        <v>2</v>
      </c>
      <c r="BA2434">
        <f>SUM(Pre[[#This Row],[1]:[46]])</f>
        <v>4</v>
      </c>
    </row>
    <row r="2435" spans="1:53" x14ac:dyDescent="0.2">
      <c r="A2435" t="s">
        <v>59</v>
      </c>
      <c r="B2435" t="s">
        <v>54</v>
      </c>
      <c r="C2435">
        <v>5263</v>
      </c>
      <c r="D2435" t="s">
        <v>7</v>
      </c>
      <c r="E2435" t="s">
        <v>8</v>
      </c>
      <c r="F2435" t="s">
        <v>29</v>
      </c>
      <c r="S2435">
        <v>1</v>
      </c>
      <c r="AG2435">
        <v>1</v>
      </c>
      <c r="AS2435">
        <v>1</v>
      </c>
      <c r="BA2435">
        <f>SUM(Pre[[#This Row],[1]:[46]])</f>
        <v>3</v>
      </c>
    </row>
    <row r="2436" spans="1:53" x14ac:dyDescent="0.2">
      <c r="A2436" t="s">
        <v>59</v>
      </c>
      <c r="B2436" t="s">
        <v>54</v>
      </c>
      <c r="C2436">
        <v>5985</v>
      </c>
      <c r="D2436" t="s">
        <v>7</v>
      </c>
      <c r="E2436" t="s">
        <v>8</v>
      </c>
      <c r="F2436" t="s">
        <v>29</v>
      </c>
      <c r="R2436">
        <v>1</v>
      </c>
      <c r="AG2436">
        <v>1</v>
      </c>
      <c r="AS2436">
        <v>2</v>
      </c>
      <c r="BA2436">
        <f>SUM(Pre[[#This Row],[1]:[46]])</f>
        <v>4</v>
      </c>
    </row>
    <row r="2437" spans="1:53" x14ac:dyDescent="0.2">
      <c r="A2437" t="s">
        <v>59</v>
      </c>
      <c r="B2437" t="s">
        <v>54</v>
      </c>
      <c r="C2437">
        <v>6023</v>
      </c>
      <c r="D2437" t="s">
        <v>7</v>
      </c>
      <c r="E2437" t="s">
        <v>8</v>
      </c>
      <c r="F2437" t="s">
        <v>29</v>
      </c>
      <c r="K2437">
        <v>1</v>
      </c>
      <c r="BA2437">
        <f>SUM(Pre[[#This Row],[1]:[46]])</f>
        <v>1</v>
      </c>
    </row>
    <row r="2438" spans="1:53" x14ac:dyDescent="0.2">
      <c r="A2438" t="s">
        <v>59</v>
      </c>
      <c r="B2438" t="s">
        <v>54</v>
      </c>
      <c r="C2438">
        <v>6322</v>
      </c>
      <c r="D2438" t="s">
        <v>7</v>
      </c>
      <c r="E2438" t="s">
        <v>8</v>
      </c>
      <c r="F2438" t="s">
        <v>9</v>
      </c>
      <c r="W2438">
        <v>1</v>
      </c>
      <c r="AH2438">
        <v>1</v>
      </c>
      <c r="AJ2438">
        <v>1</v>
      </c>
      <c r="AW2438">
        <v>1</v>
      </c>
      <c r="BA2438">
        <f>SUM(Pre[[#This Row],[1]:[46]])</f>
        <v>4</v>
      </c>
    </row>
    <row r="2439" spans="1:53" x14ac:dyDescent="0.2">
      <c r="A2439" t="s">
        <v>59</v>
      </c>
      <c r="B2439" t="s">
        <v>54</v>
      </c>
      <c r="C2439">
        <v>6478</v>
      </c>
      <c r="D2439" t="s">
        <v>7</v>
      </c>
      <c r="E2439" t="s">
        <v>8</v>
      </c>
      <c r="F2439" t="s">
        <v>9</v>
      </c>
      <c r="H2439">
        <v>1</v>
      </c>
      <c r="I2439">
        <v>1</v>
      </c>
      <c r="BA2439">
        <f>SUM(Pre[[#This Row],[1]:[46]])</f>
        <v>2</v>
      </c>
    </row>
    <row r="2440" spans="1:53" x14ac:dyDescent="0.2">
      <c r="A2440" t="s">
        <v>59</v>
      </c>
      <c r="B2440" t="s">
        <v>54</v>
      </c>
      <c r="C2440">
        <v>8038</v>
      </c>
      <c r="D2440" t="s">
        <v>7</v>
      </c>
      <c r="E2440" t="s">
        <v>8</v>
      </c>
      <c r="F2440" t="s">
        <v>9</v>
      </c>
      <c r="U2440">
        <v>1</v>
      </c>
      <c r="AL2440">
        <v>1</v>
      </c>
      <c r="AZ2440">
        <v>1</v>
      </c>
      <c r="BA2440">
        <f>SUM(Pre[[#This Row],[1]:[46]])</f>
        <v>3</v>
      </c>
    </row>
    <row r="2441" spans="1:53" x14ac:dyDescent="0.2">
      <c r="A2441" t="s">
        <v>59</v>
      </c>
      <c r="B2441" t="s">
        <v>54</v>
      </c>
      <c r="C2441">
        <v>9218</v>
      </c>
      <c r="D2441" t="s">
        <v>7</v>
      </c>
      <c r="E2441" t="s">
        <v>8</v>
      </c>
      <c r="F2441" t="s">
        <v>9</v>
      </c>
      <c r="G2441">
        <v>1</v>
      </c>
      <c r="L2441">
        <v>2</v>
      </c>
      <c r="Q2441">
        <v>1</v>
      </c>
      <c r="U2441">
        <v>1</v>
      </c>
      <c r="Z2441">
        <v>1</v>
      </c>
      <c r="AE2441">
        <v>1</v>
      </c>
      <c r="AH2441">
        <v>1</v>
      </c>
      <c r="AL2441">
        <v>1</v>
      </c>
      <c r="AO2441">
        <v>1</v>
      </c>
      <c r="AX2441">
        <v>1</v>
      </c>
      <c r="BA2441">
        <f>SUM(Pre[[#This Row],[1]:[46]])</f>
        <v>11</v>
      </c>
    </row>
    <row r="2442" spans="1:53" x14ac:dyDescent="0.2">
      <c r="A2442" t="s">
        <v>59</v>
      </c>
      <c r="B2442" t="s">
        <v>54</v>
      </c>
      <c r="C2442">
        <v>10236</v>
      </c>
      <c r="D2442" t="s">
        <v>7</v>
      </c>
      <c r="E2442" t="s">
        <v>8</v>
      </c>
      <c r="F2442" t="s">
        <v>9</v>
      </c>
      <c r="O2442">
        <v>1</v>
      </c>
      <c r="AE2442">
        <v>1</v>
      </c>
      <c r="AT2442">
        <v>1</v>
      </c>
      <c r="BA2442">
        <f>SUM(Pre[[#This Row],[1]:[46]])</f>
        <v>3</v>
      </c>
    </row>
    <row r="2443" spans="1:53" x14ac:dyDescent="0.2">
      <c r="A2443" t="s">
        <v>59</v>
      </c>
      <c r="B2443" t="s">
        <v>54</v>
      </c>
      <c r="C2443">
        <v>31244</v>
      </c>
      <c r="D2443" t="s">
        <v>7</v>
      </c>
      <c r="E2443" t="s">
        <v>8</v>
      </c>
      <c r="F2443" t="s">
        <v>23</v>
      </c>
      <c r="P2443">
        <v>1</v>
      </c>
      <c r="AD2443">
        <v>1</v>
      </c>
      <c r="AQ2443">
        <v>1</v>
      </c>
      <c r="BA2443">
        <f>SUM(Pre[[#This Row],[1]:[46]])</f>
        <v>3</v>
      </c>
    </row>
    <row r="2444" spans="1:53" x14ac:dyDescent="0.2">
      <c r="A2444" t="s">
        <v>59</v>
      </c>
      <c r="B2444" t="s">
        <v>54</v>
      </c>
      <c r="C2444">
        <v>473</v>
      </c>
      <c r="D2444" t="s">
        <v>22</v>
      </c>
      <c r="E2444" t="s">
        <v>8</v>
      </c>
      <c r="F2444" t="s">
        <v>23</v>
      </c>
      <c r="AZ2444">
        <v>1</v>
      </c>
      <c r="BA2444">
        <f>SUM(Pre[[#This Row],[1]:[46]])</f>
        <v>1</v>
      </c>
    </row>
    <row r="2445" spans="1:53" x14ac:dyDescent="0.2">
      <c r="A2445" t="s">
        <v>59</v>
      </c>
      <c r="B2445" t="s">
        <v>54</v>
      </c>
      <c r="C2445">
        <v>825</v>
      </c>
      <c r="D2445" t="s">
        <v>22</v>
      </c>
      <c r="E2445" t="s">
        <v>8</v>
      </c>
      <c r="F2445" t="s">
        <v>9</v>
      </c>
      <c r="N2445">
        <v>2</v>
      </c>
      <c r="AB2445">
        <v>1</v>
      </c>
      <c r="AO2445">
        <v>1</v>
      </c>
      <c r="BA2445">
        <f>SUM(Pre[[#This Row],[1]:[46]])</f>
        <v>4</v>
      </c>
    </row>
    <row r="2446" spans="1:53" x14ac:dyDescent="0.2">
      <c r="A2446" t="s">
        <v>59</v>
      </c>
      <c r="B2446" t="s">
        <v>54</v>
      </c>
      <c r="C2446">
        <v>897</v>
      </c>
      <c r="D2446" t="s">
        <v>22</v>
      </c>
      <c r="E2446" t="s">
        <v>8</v>
      </c>
      <c r="F2446" t="s">
        <v>9</v>
      </c>
      <c r="W2446">
        <v>1</v>
      </c>
      <c r="AH2446">
        <v>1</v>
      </c>
      <c r="AW2446">
        <v>1</v>
      </c>
      <c r="BA2446">
        <f>SUM(Pre[[#This Row],[1]:[46]])</f>
        <v>3</v>
      </c>
    </row>
    <row r="2447" spans="1:53" x14ac:dyDescent="0.2">
      <c r="A2447" t="s">
        <v>59</v>
      </c>
      <c r="B2447" t="s">
        <v>54</v>
      </c>
      <c r="C2447">
        <v>1658</v>
      </c>
      <c r="D2447" t="s">
        <v>22</v>
      </c>
      <c r="E2447" t="s">
        <v>8</v>
      </c>
      <c r="F2447" t="s">
        <v>23</v>
      </c>
      <c r="R2447">
        <v>1</v>
      </c>
      <c r="AH2447">
        <v>1</v>
      </c>
      <c r="AS2447">
        <v>1</v>
      </c>
      <c r="BA2447">
        <f>SUM(Pre[[#This Row],[1]:[46]])</f>
        <v>3</v>
      </c>
    </row>
    <row r="2448" spans="1:53" x14ac:dyDescent="0.2">
      <c r="A2448" t="s">
        <v>59</v>
      </c>
      <c r="B2448" t="s">
        <v>54</v>
      </c>
      <c r="C2448">
        <v>5139</v>
      </c>
      <c r="D2448" t="s">
        <v>22</v>
      </c>
      <c r="E2448" t="s">
        <v>8</v>
      </c>
      <c r="F2448" t="s">
        <v>9</v>
      </c>
      <c r="O2448">
        <v>1</v>
      </c>
      <c r="AE2448">
        <v>1</v>
      </c>
      <c r="AT2448">
        <v>1</v>
      </c>
      <c r="BA2448">
        <f>SUM(Pre[[#This Row],[1]:[46]])</f>
        <v>3</v>
      </c>
    </row>
    <row r="2449" spans="1:53" x14ac:dyDescent="0.2">
      <c r="A2449" t="s">
        <v>59</v>
      </c>
      <c r="B2449" t="s">
        <v>54</v>
      </c>
      <c r="C2449">
        <v>7371</v>
      </c>
      <c r="D2449" t="s">
        <v>22</v>
      </c>
      <c r="E2449" t="s">
        <v>8</v>
      </c>
      <c r="F2449" t="s">
        <v>9</v>
      </c>
      <c r="S2449">
        <v>1</v>
      </c>
      <c r="AF2449">
        <v>1</v>
      </c>
      <c r="BA2449">
        <f>SUM(Pre[[#This Row],[1]:[46]])</f>
        <v>2</v>
      </c>
    </row>
    <row r="2450" spans="1:53" x14ac:dyDescent="0.2">
      <c r="A2450" t="s">
        <v>59</v>
      </c>
      <c r="B2450" t="s">
        <v>54</v>
      </c>
      <c r="C2450">
        <v>7624</v>
      </c>
      <c r="D2450" t="s">
        <v>22</v>
      </c>
      <c r="E2450" t="s">
        <v>8</v>
      </c>
      <c r="F2450" t="s">
        <v>9</v>
      </c>
      <c r="G2450">
        <v>1</v>
      </c>
      <c r="P2450">
        <v>1</v>
      </c>
      <c r="AG2450">
        <v>2</v>
      </c>
      <c r="AN2450">
        <v>1</v>
      </c>
      <c r="AR2450">
        <v>1</v>
      </c>
      <c r="AX2450">
        <v>1</v>
      </c>
      <c r="BA2450">
        <f>SUM(Pre[[#This Row],[1]:[46]])</f>
        <v>7</v>
      </c>
    </row>
    <row r="2451" spans="1:53" x14ac:dyDescent="0.2">
      <c r="A2451" t="s">
        <v>59</v>
      </c>
      <c r="B2451" t="s">
        <v>54</v>
      </c>
      <c r="C2451">
        <v>8029</v>
      </c>
      <c r="D2451" t="s">
        <v>22</v>
      </c>
      <c r="E2451" t="s">
        <v>8</v>
      </c>
      <c r="F2451" t="s">
        <v>9</v>
      </c>
      <c r="X2451">
        <v>1</v>
      </c>
      <c r="AK2451">
        <v>1</v>
      </c>
      <c r="AX2451">
        <v>1</v>
      </c>
      <c r="BA2451">
        <f>SUM(Pre[[#This Row],[1]:[46]])</f>
        <v>3</v>
      </c>
    </row>
    <row r="2452" spans="1:53" x14ac:dyDescent="0.2">
      <c r="A2452" t="s">
        <v>59</v>
      </c>
      <c r="B2452" t="s">
        <v>54</v>
      </c>
      <c r="C2452">
        <v>8513</v>
      </c>
      <c r="D2452" t="s">
        <v>22</v>
      </c>
      <c r="E2452" t="s">
        <v>8</v>
      </c>
      <c r="F2452" t="s">
        <v>9</v>
      </c>
      <c r="Z2452">
        <v>1</v>
      </c>
      <c r="AK2452">
        <v>1</v>
      </c>
      <c r="BA2452">
        <f>SUM(Pre[[#This Row],[1]:[46]])</f>
        <v>2</v>
      </c>
    </row>
    <row r="2453" spans="1:53" x14ac:dyDescent="0.2">
      <c r="A2453" t="s">
        <v>59</v>
      </c>
      <c r="B2453" t="s">
        <v>54</v>
      </c>
      <c r="C2453">
        <v>8744</v>
      </c>
      <c r="D2453" t="s">
        <v>22</v>
      </c>
      <c r="E2453" t="s">
        <v>8</v>
      </c>
      <c r="F2453" t="s">
        <v>9</v>
      </c>
      <c r="P2453">
        <v>1</v>
      </c>
      <c r="AD2453">
        <v>1</v>
      </c>
      <c r="AR2453">
        <v>1</v>
      </c>
      <c r="BA2453">
        <f>SUM(Pre[[#This Row],[1]:[46]])</f>
        <v>3</v>
      </c>
    </row>
    <row r="2454" spans="1:53" x14ac:dyDescent="0.2">
      <c r="A2454" t="s">
        <v>59</v>
      </c>
      <c r="B2454" t="s">
        <v>54</v>
      </c>
      <c r="C2454">
        <v>9286</v>
      </c>
      <c r="D2454" t="s">
        <v>22</v>
      </c>
      <c r="E2454" t="s">
        <v>8</v>
      </c>
      <c r="F2454" t="s">
        <v>29</v>
      </c>
      <c r="Q2454">
        <v>1</v>
      </c>
      <c r="AF2454">
        <v>2</v>
      </c>
      <c r="AG2454">
        <v>1</v>
      </c>
      <c r="AW2454">
        <v>2</v>
      </c>
      <c r="BA2454">
        <f>SUM(Pre[[#This Row],[1]:[46]])</f>
        <v>6</v>
      </c>
    </row>
    <row r="2455" spans="1:53" x14ac:dyDescent="0.2">
      <c r="A2455" t="s">
        <v>59</v>
      </c>
      <c r="B2455" t="s">
        <v>54</v>
      </c>
      <c r="C2455">
        <v>10093</v>
      </c>
      <c r="D2455" t="s">
        <v>22</v>
      </c>
      <c r="E2455" t="s">
        <v>8</v>
      </c>
      <c r="F2455" t="s">
        <v>9</v>
      </c>
      <c r="H2455">
        <v>1</v>
      </c>
      <c r="AB2455">
        <v>1</v>
      </c>
      <c r="AP2455">
        <v>1</v>
      </c>
      <c r="AZ2455">
        <v>1</v>
      </c>
      <c r="BA2455">
        <f>SUM(Pre[[#This Row],[1]:[46]])</f>
        <v>4</v>
      </c>
    </row>
    <row r="2456" spans="1:53" x14ac:dyDescent="0.2">
      <c r="A2456" t="s">
        <v>59</v>
      </c>
      <c r="B2456" t="s">
        <v>54</v>
      </c>
      <c r="C2456">
        <v>11659</v>
      </c>
      <c r="D2456" t="s">
        <v>22</v>
      </c>
      <c r="E2456" t="s">
        <v>8</v>
      </c>
      <c r="F2456" t="s">
        <v>9</v>
      </c>
      <c r="AF2456">
        <v>1</v>
      </c>
      <c r="AI2456">
        <v>1</v>
      </c>
      <c r="BA2456">
        <f>SUM(Pre[[#This Row],[1]:[46]])</f>
        <v>2</v>
      </c>
    </row>
    <row r="2457" spans="1:53" x14ac:dyDescent="0.2">
      <c r="A2457" t="s">
        <v>59</v>
      </c>
      <c r="B2457" t="s">
        <v>54</v>
      </c>
      <c r="C2457">
        <v>11896</v>
      </c>
      <c r="D2457" t="s">
        <v>22</v>
      </c>
      <c r="E2457" t="s">
        <v>8</v>
      </c>
      <c r="F2457" t="s">
        <v>9</v>
      </c>
      <c r="G2457">
        <v>1</v>
      </c>
      <c r="S2457">
        <v>1</v>
      </c>
      <c r="T2457">
        <v>2</v>
      </c>
      <c r="AG2457">
        <v>1</v>
      </c>
      <c r="AW2457">
        <v>1</v>
      </c>
      <c r="BA2457">
        <f>SUM(Pre[[#This Row],[1]:[46]])</f>
        <v>6</v>
      </c>
    </row>
    <row r="2458" spans="1:53" x14ac:dyDescent="0.2">
      <c r="A2458" t="s">
        <v>59</v>
      </c>
      <c r="B2458" t="s">
        <v>54</v>
      </c>
      <c r="C2458">
        <v>12542</v>
      </c>
      <c r="D2458" t="s">
        <v>22</v>
      </c>
      <c r="E2458" t="s">
        <v>8</v>
      </c>
      <c r="F2458" t="s">
        <v>9</v>
      </c>
      <c r="H2458">
        <v>1</v>
      </c>
      <c r="V2458">
        <v>1</v>
      </c>
      <c r="AI2458">
        <v>1</v>
      </c>
      <c r="AV2458">
        <v>1</v>
      </c>
      <c r="BA2458">
        <f>SUM(Pre[[#This Row],[1]:[46]])</f>
        <v>4</v>
      </c>
    </row>
    <row r="2459" spans="1:53" x14ac:dyDescent="0.2">
      <c r="A2459" t="s">
        <v>59</v>
      </c>
      <c r="B2459" t="s">
        <v>54</v>
      </c>
      <c r="C2459">
        <v>12654</v>
      </c>
      <c r="D2459" t="s">
        <v>22</v>
      </c>
      <c r="E2459" t="s">
        <v>8</v>
      </c>
      <c r="F2459" t="s">
        <v>29</v>
      </c>
      <c r="AB2459">
        <v>1</v>
      </c>
      <c r="AR2459">
        <v>1</v>
      </c>
      <c r="BA2459">
        <f>SUM(Pre[[#This Row],[1]:[46]])</f>
        <v>2</v>
      </c>
    </row>
    <row r="2460" spans="1:53" x14ac:dyDescent="0.2">
      <c r="A2460" t="s">
        <v>59</v>
      </c>
      <c r="B2460" t="s">
        <v>54</v>
      </c>
      <c r="C2460">
        <v>14139</v>
      </c>
      <c r="D2460" t="s">
        <v>22</v>
      </c>
      <c r="E2460" t="s">
        <v>8</v>
      </c>
      <c r="F2460" t="s">
        <v>23</v>
      </c>
      <c r="I2460">
        <v>1</v>
      </c>
      <c r="V2460">
        <v>1</v>
      </c>
      <c r="AI2460">
        <v>1</v>
      </c>
      <c r="AU2460">
        <v>1</v>
      </c>
      <c r="AV2460">
        <v>1</v>
      </c>
      <c r="BA2460">
        <f>SUM(Pre[[#This Row],[1]:[46]])</f>
        <v>5</v>
      </c>
    </row>
    <row r="2461" spans="1:53" x14ac:dyDescent="0.2">
      <c r="A2461" t="s">
        <v>59</v>
      </c>
      <c r="B2461" t="s">
        <v>54</v>
      </c>
      <c r="C2461">
        <v>14907</v>
      </c>
      <c r="D2461" t="s">
        <v>22</v>
      </c>
      <c r="E2461" t="s">
        <v>8</v>
      </c>
      <c r="F2461" t="s">
        <v>9</v>
      </c>
      <c r="L2461">
        <v>1</v>
      </c>
      <c r="Y2461">
        <v>1</v>
      </c>
      <c r="AM2461">
        <v>1</v>
      </c>
      <c r="AZ2461">
        <v>1</v>
      </c>
      <c r="BA2461">
        <f>SUM(Pre[[#This Row],[1]:[46]])</f>
        <v>4</v>
      </c>
    </row>
    <row r="2462" spans="1:53" x14ac:dyDescent="0.2">
      <c r="A2462" t="s">
        <v>59</v>
      </c>
      <c r="B2462" t="s">
        <v>54</v>
      </c>
      <c r="C2462">
        <v>16360</v>
      </c>
      <c r="D2462" t="s">
        <v>22</v>
      </c>
      <c r="E2462" t="s">
        <v>8</v>
      </c>
      <c r="F2462" t="s">
        <v>9</v>
      </c>
      <c r="Y2462">
        <v>2</v>
      </c>
      <c r="BA2462">
        <f>SUM(Pre[[#This Row],[1]:[46]])</f>
        <v>2</v>
      </c>
    </row>
    <row r="2463" spans="1:53" x14ac:dyDescent="0.2">
      <c r="A2463" t="s">
        <v>59</v>
      </c>
      <c r="B2463" t="s">
        <v>54</v>
      </c>
      <c r="C2463">
        <v>16962</v>
      </c>
      <c r="D2463" t="s">
        <v>22</v>
      </c>
      <c r="E2463" t="s">
        <v>8</v>
      </c>
      <c r="F2463" t="s">
        <v>9</v>
      </c>
      <c r="S2463">
        <v>1</v>
      </c>
      <c r="AH2463">
        <v>1</v>
      </c>
      <c r="AV2463">
        <v>1</v>
      </c>
      <c r="BA2463">
        <f>SUM(Pre[[#This Row],[1]:[46]])</f>
        <v>3</v>
      </c>
    </row>
    <row r="2464" spans="1:53" x14ac:dyDescent="0.2">
      <c r="A2464" t="s">
        <v>59</v>
      </c>
      <c r="B2464" t="s">
        <v>54</v>
      </c>
      <c r="C2464">
        <v>19644</v>
      </c>
      <c r="D2464" t="s">
        <v>22</v>
      </c>
      <c r="E2464" t="s">
        <v>8</v>
      </c>
      <c r="F2464" t="s">
        <v>9</v>
      </c>
      <c r="I2464">
        <v>1</v>
      </c>
      <c r="Y2464">
        <v>1</v>
      </c>
      <c r="AN2464">
        <v>1</v>
      </c>
      <c r="BA2464">
        <f>SUM(Pre[[#This Row],[1]:[46]])</f>
        <v>3</v>
      </c>
    </row>
    <row r="2465" spans="1:53" x14ac:dyDescent="0.2">
      <c r="A2465" t="s">
        <v>59</v>
      </c>
      <c r="B2465" t="s">
        <v>54</v>
      </c>
      <c r="C2465">
        <v>25415</v>
      </c>
      <c r="D2465" t="s">
        <v>22</v>
      </c>
      <c r="E2465" t="s">
        <v>8</v>
      </c>
      <c r="F2465" t="s">
        <v>9</v>
      </c>
      <c r="N2465">
        <v>1</v>
      </c>
      <c r="AC2465">
        <v>1</v>
      </c>
      <c r="AR2465">
        <v>1</v>
      </c>
      <c r="BA2465">
        <f>SUM(Pre[[#This Row],[1]:[46]])</f>
        <v>3</v>
      </c>
    </row>
    <row r="2466" spans="1:53" x14ac:dyDescent="0.2">
      <c r="A2466" t="s">
        <v>59</v>
      </c>
      <c r="B2466" t="s">
        <v>54</v>
      </c>
      <c r="C2466">
        <v>29369</v>
      </c>
      <c r="D2466" t="s">
        <v>22</v>
      </c>
      <c r="E2466" t="s">
        <v>8</v>
      </c>
      <c r="F2466" t="s">
        <v>9</v>
      </c>
      <c r="J2466">
        <v>1</v>
      </c>
      <c r="N2466">
        <v>1</v>
      </c>
      <c r="R2466">
        <v>1</v>
      </c>
      <c r="V2466">
        <v>1</v>
      </c>
      <c r="Z2466">
        <v>2</v>
      </c>
      <c r="AC2466">
        <v>1</v>
      </c>
      <c r="AF2466">
        <v>1</v>
      </c>
      <c r="AH2466">
        <v>1</v>
      </c>
      <c r="AL2466">
        <v>1</v>
      </c>
      <c r="AP2466">
        <v>1</v>
      </c>
      <c r="AT2466">
        <v>1</v>
      </c>
      <c r="AX2466">
        <v>1</v>
      </c>
      <c r="BA2466">
        <f>SUM(Pre[[#This Row],[1]:[46]])</f>
        <v>13</v>
      </c>
    </row>
    <row r="2467" spans="1:53" x14ac:dyDescent="0.2">
      <c r="A2467" t="s">
        <v>59</v>
      </c>
      <c r="B2467" t="s">
        <v>54</v>
      </c>
      <c r="C2467">
        <v>1880</v>
      </c>
      <c r="D2467" t="s">
        <v>7</v>
      </c>
      <c r="E2467" t="s">
        <v>37</v>
      </c>
      <c r="F2467" t="s">
        <v>55</v>
      </c>
      <c r="T2467">
        <v>2</v>
      </c>
      <c r="W2467">
        <v>1</v>
      </c>
      <c r="AB2467">
        <v>1</v>
      </c>
      <c r="AE2467">
        <v>1</v>
      </c>
      <c r="AT2467">
        <v>1</v>
      </c>
      <c r="BA2467">
        <f>SUM(Pre[[#This Row],[1]:[46]])</f>
        <v>6</v>
      </c>
    </row>
    <row r="2468" spans="1:53" x14ac:dyDescent="0.2">
      <c r="A2468" t="s">
        <v>59</v>
      </c>
      <c r="B2468" t="s">
        <v>54</v>
      </c>
      <c r="C2468">
        <v>1880</v>
      </c>
      <c r="D2468" t="s">
        <v>7</v>
      </c>
      <c r="E2468" t="s">
        <v>26</v>
      </c>
      <c r="F2468" t="s">
        <v>27</v>
      </c>
      <c r="BA2468">
        <f>SUM(Pre[[#This Row],[1]:[46]])</f>
        <v>0</v>
      </c>
    </row>
    <row r="2469" spans="1:53" x14ac:dyDescent="0.2">
      <c r="A2469" t="s">
        <v>59</v>
      </c>
      <c r="B2469" t="s">
        <v>54</v>
      </c>
      <c r="C2469">
        <v>1947</v>
      </c>
      <c r="D2469" t="s">
        <v>7</v>
      </c>
      <c r="E2469" t="s">
        <v>8</v>
      </c>
      <c r="F2469" t="s">
        <v>9</v>
      </c>
      <c r="U2469">
        <v>1</v>
      </c>
      <c r="AI2469">
        <v>1</v>
      </c>
      <c r="AW2469">
        <v>1</v>
      </c>
      <c r="BA2469">
        <f>SUM(Pre[[#This Row],[1]:[46]])</f>
        <v>3</v>
      </c>
    </row>
    <row r="2470" spans="1:53" x14ac:dyDescent="0.2">
      <c r="A2470" t="s">
        <v>59</v>
      </c>
      <c r="B2470" t="s">
        <v>54</v>
      </c>
      <c r="C2470">
        <v>2392</v>
      </c>
      <c r="D2470" t="s">
        <v>7</v>
      </c>
      <c r="E2470" t="s">
        <v>37</v>
      </c>
      <c r="F2470" t="s">
        <v>55</v>
      </c>
      <c r="V2470">
        <v>1</v>
      </c>
      <c r="AL2470">
        <v>1</v>
      </c>
      <c r="BA2470">
        <f>SUM(Pre[[#This Row],[1]:[46]])</f>
        <v>2</v>
      </c>
    </row>
    <row r="2471" spans="1:53" x14ac:dyDescent="0.2">
      <c r="A2471" t="s">
        <v>59</v>
      </c>
      <c r="B2471" t="s">
        <v>54</v>
      </c>
      <c r="C2471">
        <v>3449</v>
      </c>
      <c r="D2471" t="s">
        <v>7</v>
      </c>
      <c r="E2471" t="s">
        <v>8</v>
      </c>
      <c r="F2471" t="s">
        <v>9</v>
      </c>
      <c r="V2471">
        <v>1</v>
      </c>
      <c r="AD2471">
        <v>1</v>
      </c>
      <c r="AK2471">
        <v>1</v>
      </c>
      <c r="AR2471">
        <v>1</v>
      </c>
      <c r="BA2471">
        <f>SUM(Pre[[#This Row],[1]:[46]])</f>
        <v>4</v>
      </c>
    </row>
    <row r="2472" spans="1:53" x14ac:dyDescent="0.2">
      <c r="A2472" t="s">
        <v>59</v>
      </c>
      <c r="B2472" t="s">
        <v>54</v>
      </c>
      <c r="C2472">
        <v>7863</v>
      </c>
      <c r="D2472" t="s">
        <v>7</v>
      </c>
      <c r="E2472" t="s">
        <v>8</v>
      </c>
      <c r="F2472" t="s">
        <v>9</v>
      </c>
      <c r="AG2472">
        <v>1</v>
      </c>
      <c r="AL2472">
        <v>1</v>
      </c>
      <c r="AM2472">
        <v>1</v>
      </c>
      <c r="BA2472">
        <f>SUM(Pre[[#This Row],[1]:[46]])</f>
        <v>3</v>
      </c>
    </row>
    <row r="2473" spans="1:53" x14ac:dyDescent="0.2">
      <c r="A2473" t="s">
        <v>59</v>
      </c>
      <c r="B2473" t="s">
        <v>54</v>
      </c>
      <c r="C2473">
        <v>11188</v>
      </c>
      <c r="D2473" t="s">
        <v>7</v>
      </c>
      <c r="E2473" t="s">
        <v>8</v>
      </c>
      <c r="F2473" t="s">
        <v>9</v>
      </c>
      <c r="P2473">
        <v>1</v>
      </c>
      <c r="AD2473">
        <v>1</v>
      </c>
      <c r="AG2473">
        <v>1</v>
      </c>
      <c r="AJ2473">
        <v>1</v>
      </c>
      <c r="AM2473">
        <v>1</v>
      </c>
      <c r="AO2473">
        <v>1</v>
      </c>
      <c r="AR2473">
        <v>1</v>
      </c>
      <c r="AU2473">
        <v>1</v>
      </c>
      <c r="AX2473">
        <v>1</v>
      </c>
      <c r="BA2473">
        <f>SUM(Pre[[#This Row],[1]:[46]])</f>
        <v>9</v>
      </c>
    </row>
    <row r="2474" spans="1:53" x14ac:dyDescent="0.2">
      <c r="A2474" t="s">
        <v>59</v>
      </c>
      <c r="B2474" t="s">
        <v>54</v>
      </c>
      <c r="C2474">
        <v>11535</v>
      </c>
      <c r="D2474" t="s">
        <v>7</v>
      </c>
      <c r="E2474" t="s">
        <v>37</v>
      </c>
      <c r="F2474" t="s">
        <v>55</v>
      </c>
      <c r="R2474">
        <v>1</v>
      </c>
      <c r="AG2474">
        <v>1</v>
      </c>
      <c r="AI2474">
        <v>1</v>
      </c>
      <c r="AX2474">
        <v>1</v>
      </c>
      <c r="BA2474">
        <f>SUM(Pre[[#This Row],[1]:[46]])</f>
        <v>4</v>
      </c>
    </row>
    <row r="2475" spans="1:53" x14ac:dyDescent="0.2">
      <c r="A2475" t="s">
        <v>59</v>
      </c>
      <c r="B2475" t="s">
        <v>54</v>
      </c>
      <c r="C2475">
        <v>11897</v>
      </c>
      <c r="D2475" t="s">
        <v>7</v>
      </c>
      <c r="E2475" t="s">
        <v>8</v>
      </c>
      <c r="F2475" t="s">
        <v>9</v>
      </c>
      <c r="H2475">
        <v>1</v>
      </c>
      <c r="W2475">
        <v>1</v>
      </c>
      <c r="AN2475">
        <v>1</v>
      </c>
      <c r="BA2475">
        <f>SUM(Pre[[#This Row],[1]:[46]])</f>
        <v>3</v>
      </c>
    </row>
    <row r="2476" spans="1:53" x14ac:dyDescent="0.2">
      <c r="A2476" t="s">
        <v>59</v>
      </c>
      <c r="B2476" t="s">
        <v>54</v>
      </c>
      <c r="C2476">
        <v>12540</v>
      </c>
      <c r="D2476" t="s">
        <v>7</v>
      </c>
      <c r="E2476" t="s">
        <v>8</v>
      </c>
      <c r="F2476" t="s">
        <v>23</v>
      </c>
      <c r="U2476">
        <v>1</v>
      </c>
      <c r="AJ2476">
        <v>1</v>
      </c>
      <c r="AX2476">
        <v>1</v>
      </c>
      <c r="BA2476">
        <f>SUM(Pre[[#This Row],[1]:[46]])</f>
        <v>3</v>
      </c>
    </row>
    <row r="2477" spans="1:53" x14ac:dyDescent="0.2">
      <c r="A2477" t="s">
        <v>59</v>
      </c>
      <c r="B2477" t="s">
        <v>54</v>
      </c>
      <c r="C2477">
        <v>13860</v>
      </c>
      <c r="D2477" t="s">
        <v>7</v>
      </c>
      <c r="E2477" t="s">
        <v>8</v>
      </c>
      <c r="F2477" t="s">
        <v>23</v>
      </c>
      <c r="S2477">
        <v>1</v>
      </c>
      <c r="AT2477">
        <v>1</v>
      </c>
      <c r="BA2477">
        <f>SUM(Pre[[#This Row],[1]:[46]])</f>
        <v>2</v>
      </c>
    </row>
    <row r="2478" spans="1:53" x14ac:dyDescent="0.2">
      <c r="A2478" t="s">
        <v>59</v>
      </c>
      <c r="B2478" t="s">
        <v>54</v>
      </c>
      <c r="C2478">
        <v>13860</v>
      </c>
      <c r="D2478" t="s">
        <v>7</v>
      </c>
      <c r="E2478" t="s">
        <v>8</v>
      </c>
      <c r="F2478" t="s">
        <v>9</v>
      </c>
      <c r="BA2478">
        <f>SUM(Pre[[#This Row],[1]:[46]])</f>
        <v>0</v>
      </c>
    </row>
    <row r="2479" spans="1:53" x14ac:dyDescent="0.2">
      <c r="A2479" t="s">
        <v>59</v>
      </c>
      <c r="B2479" t="s">
        <v>54</v>
      </c>
      <c r="C2479">
        <v>14536</v>
      </c>
      <c r="D2479" t="s">
        <v>7</v>
      </c>
      <c r="E2479" t="s">
        <v>8</v>
      </c>
      <c r="F2479" t="s">
        <v>30</v>
      </c>
      <c r="AF2479">
        <v>2</v>
      </c>
      <c r="BA2479">
        <f>SUM(Pre[[#This Row],[1]:[46]])</f>
        <v>2</v>
      </c>
    </row>
    <row r="2480" spans="1:53" x14ac:dyDescent="0.2">
      <c r="A2480" t="s">
        <v>59</v>
      </c>
      <c r="B2480" t="s">
        <v>54</v>
      </c>
      <c r="C2480">
        <v>21179</v>
      </c>
      <c r="D2480" t="s">
        <v>7</v>
      </c>
      <c r="E2480" t="s">
        <v>8</v>
      </c>
      <c r="F2480" t="s">
        <v>9</v>
      </c>
      <c r="G2480">
        <v>1</v>
      </c>
      <c r="T2480">
        <v>1</v>
      </c>
      <c r="AE2480">
        <v>1</v>
      </c>
      <c r="AS2480">
        <v>1</v>
      </c>
      <c r="BA2480">
        <f>SUM(Pre[[#This Row],[1]:[46]])</f>
        <v>4</v>
      </c>
    </row>
    <row r="2481" spans="1:53" x14ac:dyDescent="0.2">
      <c r="A2481" t="s">
        <v>59</v>
      </c>
      <c r="B2481" t="s">
        <v>54</v>
      </c>
      <c r="C2481">
        <v>1475</v>
      </c>
      <c r="D2481" t="s">
        <v>22</v>
      </c>
      <c r="E2481" t="s">
        <v>8</v>
      </c>
      <c r="F2481" t="s">
        <v>9</v>
      </c>
      <c r="T2481">
        <v>1</v>
      </c>
      <c r="AH2481">
        <v>1</v>
      </c>
      <c r="AU2481">
        <v>1</v>
      </c>
      <c r="BA2481">
        <f>SUM(Pre[[#This Row],[1]:[46]])</f>
        <v>3</v>
      </c>
    </row>
    <row r="2482" spans="1:53" x14ac:dyDescent="0.2">
      <c r="A2482" t="s">
        <v>59</v>
      </c>
      <c r="B2482" t="s">
        <v>54</v>
      </c>
      <c r="C2482">
        <v>5669</v>
      </c>
      <c r="D2482" t="s">
        <v>22</v>
      </c>
      <c r="E2482" t="s">
        <v>8</v>
      </c>
      <c r="F2482" t="s">
        <v>23</v>
      </c>
      <c r="N2482">
        <v>1</v>
      </c>
      <c r="AC2482">
        <v>1</v>
      </c>
      <c r="AP2482">
        <v>1</v>
      </c>
      <c r="BA2482">
        <f>SUM(Pre[[#This Row],[1]:[46]])</f>
        <v>3</v>
      </c>
    </row>
    <row r="2483" spans="1:53" x14ac:dyDescent="0.2">
      <c r="A2483" t="s">
        <v>59</v>
      </c>
      <c r="B2483" t="s">
        <v>54</v>
      </c>
      <c r="C2483">
        <v>5867</v>
      </c>
      <c r="D2483" t="s">
        <v>22</v>
      </c>
      <c r="E2483" t="s">
        <v>8</v>
      </c>
      <c r="F2483" t="s">
        <v>29</v>
      </c>
      <c r="N2483">
        <v>1</v>
      </c>
      <c r="V2483">
        <v>1</v>
      </c>
      <c r="AH2483">
        <v>1</v>
      </c>
      <c r="AR2483">
        <v>1</v>
      </c>
      <c r="BA2483">
        <f>SUM(Pre[[#This Row],[1]:[46]])</f>
        <v>4</v>
      </c>
    </row>
    <row r="2484" spans="1:53" x14ac:dyDescent="0.2">
      <c r="A2484" t="s">
        <v>59</v>
      </c>
      <c r="B2484" t="s">
        <v>54</v>
      </c>
      <c r="C2484">
        <v>6678</v>
      </c>
      <c r="D2484" t="s">
        <v>22</v>
      </c>
      <c r="E2484" t="s">
        <v>8</v>
      </c>
      <c r="F2484" t="s">
        <v>23</v>
      </c>
      <c r="AT2484">
        <v>1</v>
      </c>
      <c r="BA2484">
        <f>SUM(Pre[[#This Row],[1]:[46]])</f>
        <v>1</v>
      </c>
    </row>
    <row r="2485" spans="1:53" x14ac:dyDescent="0.2">
      <c r="A2485" t="s">
        <v>59</v>
      </c>
      <c r="B2485" t="s">
        <v>54</v>
      </c>
      <c r="C2485">
        <v>6791</v>
      </c>
      <c r="D2485" t="s">
        <v>22</v>
      </c>
      <c r="E2485" t="s">
        <v>8</v>
      </c>
      <c r="F2485" t="s">
        <v>29</v>
      </c>
      <c r="H2485">
        <v>1</v>
      </c>
      <c r="U2485">
        <v>1</v>
      </c>
      <c r="AJ2485">
        <v>1</v>
      </c>
      <c r="AO2485">
        <v>1</v>
      </c>
      <c r="AY2485">
        <v>2</v>
      </c>
      <c r="BA2485">
        <f>SUM(Pre[[#This Row],[1]:[46]])</f>
        <v>6</v>
      </c>
    </row>
    <row r="2486" spans="1:53" x14ac:dyDescent="0.2">
      <c r="A2486" t="s">
        <v>59</v>
      </c>
      <c r="B2486" t="s">
        <v>54</v>
      </c>
      <c r="C2486">
        <v>9147</v>
      </c>
      <c r="D2486" t="s">
        <v>22</v>
      </c>
      <c r="E2486" t="s">
        <v>8</v>
      </c>
      <c r="F2486" t="s">
        <v>9</v>
      </c>
      <c r="R2486">
        <v>2</v>
      </c>
      <c r="Z2486">
        <v>1</v>
      </c>
      <c r="AL2486">
        <v>1</v>
      </c>
      <c r="BA2486">
        <f>SUM(Pre[[#This Row],[1]:[46]])</f>
        <v>4</v>
      </c>
    </row>
    <row r="2487" spans="1:53" x14ac:dyDescent="0.2">
      <c r="A2487" t="s">
        <v>59</v>
      </c>
      <c r="B2487" t="s">
        <v>54</v>
      </c>
      <c r="C2487">
        <v>9353</v>
      </c>
      <c r="D2487" t="s">
        <v>22</v>
      </c>
      <c r="E2487" t="s">
        <v>8</v>
      </c>
      <c r="F2487" t="s">
        <v>23</v>
      </c>
      <c r="AB2487">
        <v>1</v>
      </c>
      <c r="AI2487">
        <v>1</v>
      </c>
      <c r="AJ2487">
        <v>1</v>
      </c>
      <c r="BA2487">
        <f>SUM(Pre[[#This Row],[1]:[46]])</f>
        <v>3</v>
      </c>
    </row>
    <row r="2488" spans="1:53" x14ac:dyDescent="0.2">
      <c r="A2488" t="s">
        <v>59</v>
      </c>
      <c r="B2488" t="s">
        <v>54</v>
      </c>
      <c r="C2488">
        <v>10357</v>
      </c>
      <c r="D2488" t="s">
        <v>22</v>
      </c>
      <c r="E2488" t="s">
        <v>8</v>
      </c>
      <c r="F2488" t="s">
        <v>9</v>
      </c>
      <c r="G2488">
        <v>1</v>
      </c>
      <c r="BA2488">
        <f>SUM(Pre[[#This Row],[1]:[46]])</f>
        <v>1</v>
      </c>
    </row>
    <row r="2489" spans="1:53" x14ac:dyDescent="0.2">
      <c r="A2489" t="s">
        <v>59</v>
      </c>
      <c r="B2489" t="s">
        <v>54</v>
      </c>
      <c r="C2489">
        <v>11802</v>
      </c>
      <c r="D2489" t="s">
        <v>22</v>
      </c>
      <c r="E2489" t="s">
        <v>8</v>
      </c>
      <c r="F2489" t="s">
        <v>9</v>
      </c>
      <c r="G2489">
        <v>1</v>
      </c>
      <c r="AE2489">
        <v>1</v>
      </c>
      <c r="AS2489">
        <v>1</v>
      </c>
      <c r="BA2489">
        <f>SUM(Pre[[#This Row],[1]:[46]])</f>
        <v>3</v>
      </c>
    </row>
    <row r="2490" spans="1:53" x14ac:dyDescent="0.2">
      <c r="A2490" t="s">
        <v>59</v>
      </c>
      <c r="B2490" t="s">
        <v>54</v>
      </c>
      <c r="C2490">
        <v>12128</v>
      </c>
      <c r="D2490" t="s">
        <v>22</v>
      </c>
      <c r="E2490" t="s">
        <v>8</v>
      </c>
      <c r="F2490" t="s">
        <v>23</v>
      </c>
      <c r="I2490">
        <v>1</v>
      </c>
      <c r="M2490">
        <v>3</v>
      </c>
      <c r="Z2490">
        <v>1</v>
      </c>
      <c r="AH2490">
        <v>2</v>
      </c>
      <c r="AI2490">
        <v>2</v>
      </c>
      <c r="AJ2490">
        <v>1</v>
      </c>
      <c r="AW2490">
        <v>1</v>
      </c>
      <c r="AX2490">
        <v>2</v>
      </c>
      <c r="BA2490">
        <f>SUM(Pre[[#This Row],[1]:[46]])</f>
        <v>13</v>
      </c>
    </row>
    <row r="2491" spans="1:53" x14ac:dyDescent="0.2">
      <c r="A2491" t="s">
        <v>59</v>
      </c>
      <c r="B2491" t="s">
        <v>54</v>
      </c>
      <c r="C2491">
        <v>17161</v>
      </c>
      <c r="D2491" t="s">
        <v>22</v>
      </c>
      <c r="E2491" t="s">
        <v>8</v>
      </c>
      <c r="F2491" t="s">
        <v>23</v>
      </c>
      <c r="H2491">
        <v>1</v>
      </c>
      <c r="K2491">
        <v>1</v>
      </c>
      <c r="Q2491">
        <v>1</v>
      </c>
      <c r="U2491">
        <v>1</v>
      </c>
      <c r="Y2491">
        <v>1</v>
      </c>
      <c r="AA2491">
        <v>2</v>
      </c>
      <c r="AE2491">
        <v>2</v>
      </c>
      <c r="AI2491">
        <v>1</v>
      </c>
      <c r="AM2491">
        <v>3</v>
      </c>
      <c r="AN2491">
        <v>1</v>
      </c>
      <c r="AO2491">
        <v>2</v>
      </c>
      <c r="AT2491">
        <v>1</v>
      </c>
      <c r="AW2491">
        <v>1</v>
      </c>
      <c r="BA2491">
        <f>SUM(Pre[[#This Row],[1]:[46]])</f>
        <v>18</v>
      </c>
    </row>
    <row r="2492" spans="1:53" x14ac:dyDescent="0.2">
      <c r="A2492" t="s">
        <v>59</v>
      </c>
      <c r="B2492" t="s">
        <v>54</v>
      </c>
      <c r="C2492">
        <v>20251</v>
      </c>
      <c r="D2492" t="s">
        <v>22</v>
      </c>
      <c r="E2492" t="s">
        <v>8</v>
      </c>
      <c r="F2492" t="s">
        <v>9</v>
      </c>
      <c r="P2492">
        <v>1</v>
      </c>
      <c r="Z2492">
        <v>3</v>
      </c>
      <c r="BA2492">
        <f>SUM(Pre[[#This Row],[1]:[46]])</f>
        <v>4</v>
      </c>
    </row>
    <row r="2493" spans="1:53" x14ac:dyDescent="0.2">
      <c r="A2493" t="s">
        <v>59</v>
      </c>
      <c r="B2493" t="s">
        <v>54</v>
      </c>
      <c r="C2493">
        <v>20588</v>
      </c>
      <c r="D2493" t="s">
        <v>22</v>
      </c>
      <c r="E2493" t="s">
        <v>8</v>
      </c>
      <c r="F2493" t="s">
        <v>9</v>
      </c>
      <c r="I2493">
        <v>1</v>
      </c>
      <c r="J2493">
        <v>1</v>
      </c>
      <c r="M2493">
        <v>1</v>
      </c>
      <c r="Q2493">
        <v>1</v>
      </c>
      <c r="U2493">
        <v>1</v>
      </c>
      <c r="Y2493">
        <v>1</v>
      </c>
      <c r="AC2493">
        <v>1</v>
      </c>
      <c r="BA2493">
        <f>SUM(Pre[[#This Row],[1]:[46]])</f>
        <v>7</v>
      </c>
    </row>
    <row r="2494" spans="1:53" x14ac:dyDescent="0.2">
      <c r="A2494" t="s">
        <v>59</v>
      </c>
      <c r="B2494" t="s">
        <v>54</v>
      </c>
      <c r="C2494">
        <v>22538</v>
      </c>
      <c r="D2494" t="s">
        <v>22</v>
      </c>
      <c r="E2494" t="s">
        <v>8</v>
      </c>
      <c r="F2494" t="s">
        <v>29</v>
      </c>
      <c r="M2494">
        <v>1</v>
      </c>
      <c r="AC2494">
        <v>1</v>
      </c>
      <c r="AM2494">
        <v>1</v>
      </c>
      <c r="AP2494">
        <v>1</v>
      </c>
      <c r="BA2494">
        <f>SUM(Pre[[#This Row],[1]:[46]])</f>
        <v>4</v>
      </c>
    </row>
    <row r="2495" spans="1:53" x14ac:dyDescent="0.2">
      <c r="A2495" t="s">
        <v>59</v>
      </c>
      <c r="B2495" t="s">
        <v>54</v>
      </c>
      <c r="C2495">
        <v>31273</v>
      </c>
      <c r="D2495" t="s">
        <v>22</v>
      </c>
      <c r="E2495" t="s">
        <v>8</v>
      </c>
      <c r="F2495" t="s">
        <v>9</v>
      </c>
      <c r="P2495">
        <v>1</v>
      </c>
      <c r="AD2495">
        <v>1</v>
      </c>
      <c r="AR2495">
        <v>1</v>
      </c>
      <c r="BA2495">
        <f>SUM(Pre[[#This Row],[1]:[46]])</f>
        <v>3</v>
      </c>
    </row>
    <row r="2496" spans="1:53" x14ac:dyDescent="0.2">
      <c r="A2496" t="s">
        <v>59</v>
      </c>
      <c r="B2496" t="s">
        <v>54</v>
      </c>
      <c r="C2496">
        <v>33633</v>
      </c>
      <c r="D2496" t="s">
        <v>22</v>
      </c>
      <c r="E2496" t="s">
        <v>8</v>
      </c>
      <c r="F2496" t="s">
        <v>29</v>
      </c>
      <c r="J2496">
        <v>1</v>
      </c>
      <c r="X2496">
        <v>1</v>
      </c>
      <c r="AE2496">
        <v>1</v>
      </c>
      <c r="BA2496">
        <f>SUM(Pre[[#This Row],[1]:[46]])</f>
        <v>3</v>
      </c>
    </row>
    <row r="2497" spans="1:53" x14ac:dyDescent="0.2">
      <c r="A2497" t="s">
        <v>60</v>
      </c>
      <c r="B2497" t="s">
        <v>54</v>
      </c>
      <c r="C2497">
        <v>950</v>
      </c>
      <c r="D2497" t="s">
        <v>7</v>
      </c>
      <c r="E2497" t="s">
        <v>8</v>
      </c>
      <c r="F2497" t="s">
        <v>29</v>
      </c>
      <c r="G2497">
        <v>1</v>
      </c>
      <c r="H2497">
        <v>1</v>
      </c>
      <c r="I2497">
        <v>1</v>
      </c>
      <c r="BA2497">
        <f>SUM(Pre[[#This Row],[1]:[46]])</f>
        <v>3</v>
      </c>
    </row>
    <row r="2498" spans="1:53" x14ac:dyDescent="0.2">
      <c r="A2498" t="s">
        <v>60</v>
      </c>
      <c r="B2498" t="s">
        <v>54</v>
      </c>
      <c r="C2498">
        <v>1256</v>
      </c>
      <c r="D2498" t="s">
        <v>7</v>
      </c>
      <c r="E2498" t="s">
        <v>8</v>
      </c>
      <c r="F2498" t="s">
        <v>9</v>
      </c>
      <c r="W2498">
        <v>1</v>
      </c>
      <c r="AP2498">
        <v>3</v>
      </c>
      <c r="BA2498">
        <f>SUM(Pre[[#This Row],[1]:[46]])</f>
        <v>4</v>
      </c>
    </row>
    <row r="2499" spans="1:53" x14ac:dyDescent="0.2">
      <c r="A2499" t="s">
        <v>60</v>
      </c>
      <c r="B2499" t="s">
        <v>54</v>
      </c>
      <c r="C2499">
        <v>1389</v>
      </c>
      <c r="D2499" t="s">
        <v>7</v>
      </c>
      <c r="E2499" t="s">
        <v>10</v>
      </c>
      <c r="F2499" t="s">
        <v>11</v>
      </c>
      <c r="BA2499">
        <f>SUM(Pre[[#This Row],[1]:[46]])</f>
        <v>0</v>
      </c>
    </row>
    <row r="2500" spans="1:53" x14ac:dyDescent="0.2">
      <c r="A2500" t="s">
        <v>60</v>
      </c>
      <c r="B2500" t="s">
        <v>54</v>
      </c>
      <c r="C2500">
        <v>2184</v>
      </c>
      <c r="D2500" t="s">
        <v>7</v>
      </c>
      <c r="E2500" t="s">
        <v>14</v>
      </c>
      <c r="F2500" t="s">
        <v>21</v>
      </c>
      <c r="AW2500">
        <v>2</v>
      </c>
      <c r="BA2500">
        <f>SUM(Pre[[#This Row],[1]:[46]])</f>
        <v>2</v>
      </c>
    </row>
    <row r="2501" spans="1:53" x14ac:dyDescent="0.2">
      <c r="A2501" t="s">
        <v>60</v>
      </c>
      <c r="B2501" t="s">
        <v>54</v>
      </c>
      <c r="C2501">
        <v>4714</v>
      </c>
      <c r="D2501" t="s">
        <v>7</v>
      </c>
      <c r="E2501" t="s">
        <v>14</v>
      </c>
      <c r="F2501" t="s">
        <v>35</v>
      </c>
      <c r="S2501">
        <v>2</v>
      </c>
      <c r="U2501">
        <v>1</v>
      </c>
      <c r="X2501">
        <v>2</v>
      </c>
      <c r="AI2501">
        <v>1</v>
      </c>
      <c r="BA2501">
        <f>SUM(Pre[[#This Row],[1]:[46]])</f>
        <v>6</v>
      </c>
    </row>
    <row r="2502" spans="1:53" x14ac:dyDescent="0.2">
      <c r="A2502" t="s">
        <v>60</v>
      </c>
      <c r="B2502" t="s">
        <v>54</v>
      </c>
      <c r="C2502">
        <v>5037</v>
      </c>
      <c r="D2502" t="s">
        <v>7</v>
      </c>
      <c r="E2502" t="s">
        <v>8</v>
      </c>
      <c r="F2502" t="s">
        <v>23</v>
      </c>
      <c r="S2502">
        <v>1</v>
      </c>
      <c r="AH2502">
        <v>1</v>
      </c>
      <c r="AV2502">
        <v>1</v>
      </c>
      <c r="BA2502">
        <f>SUM(Pre[[#This Row],[1]:[46]])</f>
        <v>3</v>
      </c>
    </row>
    <row r="2503" spans="1:53" x14ac:dyDescent="0.2">
      <c r="A2503" t="s">
        <v>60</v>
      </c>
      <c r="B2503" t="s">
        <v>54</v>
      </c>
      <c r="C2503">
        <v>6251</v>
      </c>
      <c r="D2503" t="s">
        <v>7</v>
      </c>
      <c r="E2503" t="s">
        <v>14</v>
      </c>
      <c r="F2503" t="s">
        <v>19</v>
      </c>
      <c r="Y2503">
        <v>1</v>
      </c>
      <c r="AH2503">
        <v>1</v>
      </c>
      <c r="AO2503">
        <v>1</v>
      </c>
      <c r="AY2503">
        <v>1</v>
      </c>
      <c r="BA2503">
        <f>SUM(Pre[[#This Row],[1]:[46]])</f>
        <v>4</v>
      </c>
    </row>
    <row r="2504" spans="1:53" x14ac:dyDescent="0.2">
      <c r="A2504" t="s">
        <v>60</v>
      </c>
      <c r="B2504" t="s">
        <v>54</v>
      </c>
      <c r="C2504">
        <v>7137</v>
      </c>
      <c r="D2504" t="s">
        <v>7</v>
      </c>
      <c r="E2504" t="s">
        <v>8</v>
      </c>
      <c r="F2504" t="s">
        <v>34</v>
      </c>
      <c r="H2504">
        <v>1</v>
      </c>
      <c r="V2504">
        <v>1</v>
      </c>
      <c r="AI2504">
        <v>1</v>
      </c>
      <c r="AU2504">
        <v>1</v>
      </c>
      <c r="BA2504">
        <f>SUM(Pre[[#This Row],[1]:[46]])</f>
        <v>4</v>
      </c>
    </row>
    <row r="2505" spans="1:53" x14ac:dyDescent="0.2">
      <c r="A2505" t="s">
        <v>60</v>
      </c>
      <c r="B2505" t="s">
        <v>54</v>
      </c>
      <c r="C2505">
        <v>7880</v>
      </c>
      <c r="D2505" t="s">
        <v>7</v>
      </c>
      <c r="E2505" t="s">
        <v>14</v>
      </c>
      <c r="F2505" t="s">
        <v>35</v>
      </c>
      <c r="O2505">
        <v>1</v>
      </c>
      <c r="W2505">
        <v>2</v>
      </c>
      <c r="AA2505">
        <v>2</v>
      </c>
      <c r="AF2505">
        <v>1</v>
      </c>
      <c r="AP2505">
        <v>2</v>
      </c>
      <c r="AT2505">
        <v>1</v>
      </c>
      <c r="BA2505">
        <f>SUM(Pre[[#This Row],[1]:[46]])</f>
        <v>9</v>
      </c>
    </row>
    <row r="2506" spans="1:53" x14ac:dyDescent="0.2">
      <c r="A2506" t="s">
        <v>60</v>
      </c>
      <c r="B2506" t="s">
        <v>54</v>
      </c>
      <c r="C2506">
        <v>8553</v>
      </c>
      <c r="D2506" t="s">
        <v>7</v>
      </c>
      <c r="E2506" t="s">
        <v>10</v>
      </c>
      <c r="F2506" t="s">
        <v>11</v>
      </c>
      <c r="W2506">
        <v>1</v>
      </c>
      <c r="Z2506">
        <v>1</v>
      </c>
      <c r="BA2506">
        <f>SUM(Pre[[#This Row],[1]:[46]])</f>
        <v>2</v>
      </c>
    </row>
    <row r="2507" spans="1:53" x14ac:dyDescent="0.2">
      <c r="A2507" t="s">
        <v>60</v>
      </c>
      <c r="B2507" t="s">
        <v>54</v>
      </c>
      <c r="C2507">
        <v>8553</v>
      </c>
      <c r="D2507" t="s">
        <v>7</v>
      </c>
      <c r="E2507" t="s">
        <v>8</v>
      </c>
      <c r="F2507" t="s">
        <v>23</v>
      </c>
      <c r="W2507">
        <v>1</v>
      </c>
      <c r="AB2507">
        <v>1</v>
      </c>
      <c r="AG2507">
        <v>1</v>
      </c>
      <c r="AO2507">
        <v>1</v>
      </c>
      <c r="BA2507">
        <f>SUM(Pre[[#This Row],[1]:[46]])</f>
        <v>4</v>
      </c>
    </row>
    <row r="2508" spans="1:53" x14ac:dyDescent="0.2">
      <c r="A2508" t="s">
        <v>60</v>
      </c>
      <c r="B2508" t="s">
        <v>54</v>
      </c>
      <c r="C2508">
        <v>8553</v>
      </c>
      <c r="D2508" t="s">
        <v>7</v>
      </c>
      <c r="E2508" t="s">
        <v>14</v>
      </c>
      <c r="F2508" t="s">
        <v>21</v>
      </c>
      <c r="AG2508">
        <v>1</v>
      </c>
      <c r="AK2508">
        <v>1</v>
      </c>
      <c r="AP2508">
        <v>2</v>
      </c>
      <c r="AZ2508">
        <v>1</v>
      </c>
      <c r="BA2508">
        <f>SUM(Pre[[#This Row],[1]:[46]])</f>
        <v>5</v>
      </c>
    </row>
    <row r="2509" spans="1:53" x14ac:dyDescent="0.2">
      <c r="A2509" t="s">
        <v>60</v>
      </c>
      <c r="B2509" t="s">
        <v>54</v>
      </c>
      <c r="C2509">
        <v>9557</v>
      </c>
      <c r="D2509" t="s">
        <v>7</v>
      </c>
      <c r="E2509" t="s">
        <v>8</v>
      </c>
      <c r="F2509" t="s">
        <v>23</v>
      </c>
      <c r="BA2509">
        <f>SUM(Pre[[#This Row],[1]:[46]])</f>
        <v>0</v>
      </c>
    </row>
    <row r="2510" spans="1:53" x14ac:dyDescent="0.2">
      <c r="A2510" t="s">
        <v>60</v>
      </c>
      <c r="B2510" t="s">
        <v>54</v>
      </c>
      <c r="C2510">
        <v>10861</v>
      </c>
      <c r="D2510" t="s">
        <v>7</v>
      </c>
      <c r="E2510" t="s">
        <v>14</v>
      </c>
      <c r="F2510" t="s">
        <v>31</v>
      </c>
      <c r="BA2510">
        <f>SUM(Pre[[#This Row],[1]:[46]])</f>
        <v>0</v>
      </c>
    </row>
    <row r="2511" spans="1:53" x14ac:dyDescent="0.2">
      <c r="A2511" t="s">
        <v>60</v>
      </c>
      <c r="B2511" t="s">
        <v>54</v>
      </c>
      <c r="C2511">
        <v>11641</v>
      </c>
      <c r="D2511" t="s">
        <v>7</v>
      </c>
      <c r="E2511" t="s">
        <v>8</v>
      </c>
      <c r="F2511" t="s">
        <v>23</v>
      </c>
      <c r="Q2511">
        <v>1</v>
      </c>
      <c r="AF2511">
        <v>1</v>
      </c>
      <c r="AT2511">
        <v>1</v>
      </c>
      <c r="BA2511">
        <f>SUM(Pre[[#This Row],[1]:[46]])</f>
        <v>3</v>
      </c>
    </row>
    <row r="2512" spans="1:53" x14ac:dyDescent="0.2">
      <c r="A2512" t="s">
        <v>60</v>
      </c>
      <c r="B2512" t="s">
        <v>54</v>
      </c>
      <c r="C2512">
        <v>12099</v>
      </c>
      <c r="D2512" t="s">
        <v>7</v>
      </c>
      <c r="E2512" t="s">
        <v>14</v>
      </c>
      <c r="F2512" t="s">
        <v>15</v>
      </c>
      <c r="G2512">
        <v>1</v>
      </c>
      <c r="I2512">
        <v>1</v>
      </c>
      <c r="K2512">
        <v>1</v>
      </c>
      <c r="M2512">
        <v>1</v>
      </c>
      <c r="O2512">
        <v>1</v>
      </c>
      <c r="Q2512">
        <v>1</v>
      </c>
      <c r="S2512">
        <v>1</v>
      </c>
      <c r="U2512">
        <v>1</v>
      </c>
      <c r="W2512">
        <v>1</v>
      </c>
      <c r="Y2512">
        <v>1</v>
      </c>
      <c r="AA2512">
        <v>1</v>
      </c>
      <c r="AC2512">
        <v>1</v>
      </c>
      <c r="AE2512">
        <v>1</v>
      </c>
      <c r="AF2512">
        <v>1</v>
      </c>
      <c r="AG2512">
        <v>1</v>
      </c>
      <c r="AJ2512">
        <v>1</v>
      </c>
      <c r="AK2512">
        <v>1</v>
      </c>
      <c r="AM2512">
        <v>1</v>
      </c>
      <c r="AO2512">
        <v>1</v>
      </c>
      <c r="AQ2512">
        <v>1</v>
      </c>
      <c r="AS2512">
        <v>1</v>
      </c>
      <c r="AU2512">
        <v>1</v>
      </c>
      <c r="AW2512">
        <v>1</v>
      </c>
      <c r="AY2512">
        <v>1</v>
      </c>
      <c r="BA2512">
        <f>SUM(Pre[[#This Row],[1]:[46]])</f>
        <v>24</v>
      </c>
    </row>
    <row r="2513" spans="1:53" x14ac:dyDescent="0.2">
      <c r="A2513" t="s">
        <v>60</v>
      </c>
      <c r="B2513" t="s">
        <v>54</v>
      </c>
      <c r="C2513">
        <v>13331</v>
      </c>
      <c r="D2513" t="s">
        <v>7</v>
      </c>
      <c r="E2513" t="s">
        <v>8</v>
      </c>
      <c r="F2513" t="s">
        <v>23</v>
      </c>
      <c r="I2513">
        <v>2</v>
      </c>
      <c r="O2513">
        <v>1</v>
      </c>
      <c r="S2513">
        <v>1</v>
      </c>
      <c r="W2513">
        <v>1</v>
      </c>
      <c r="AA2513">
        <v>1</v>
      </c>
      <c r="AE2513">
        <v>1</v>
      </c>
      <c r="AI2513">
        <v>1</v>
      </c>
      <c r="AM2513">
        <v>1</v>
      </c>
      <c r="AQ2513">
        <v>1</v>
      </c>
      <c r="AU2513">
        <v>1</v>
      </c>
      <c r="AY2513">
        <v>1</v>
      </c>
      <c r="BA2513">
        <f>SUM(Pre[[#This Row],[1]:[46]])</f>
        <v>12</v>
      </c>
    </row>
    <row r="2514" spans="1:53" x14ac:dyDescent="0.2">
      <c r="A2514" t="s">
        <v>60</v>
      </c>
      <c r="B2514" t="s">
        <v>54</v>
      </c>
      <c r="C2514">
        <v>13331</v>
      </c>
      <c r="D2514" t="s">
        <v>7</v>
      </c>
      <c r="E2514" t="s">
        <v>26</v>
      </c>
      <c r="F2514" t="s">
        <v>27</v>
      </c>
      <c r="I2514">
        <v>2</v>
      </c>
      <c r="O2514">
        <v>1</v>
      </c>
      <c r="S2514">
        <v>1</v>
      </c>
      <c r="W2514">
        <v>1</v>
      </c>
      <c r="AA2514">
        <v>1</v>
      </c>
      <c r="AE2514">
        <v>1</v>
      </c>
      <c r="AI2514">
        <v>1</v>
      </c>
      <c r="AM2514">
        <v>1</v>
      </c>
      <c r="AQ2514">
        <v>1</v>
      </c>
      <c r="AU2514">
        <v>1</v>
      </c>
      <c r="AY2514">
        <v>1</v>
      </c>
      <c r="BA2514">
        <f>SUM(Pre[[#This Row],[1]:[46]])</f>
        <v>12</v>
      </c>
    </row>
    <row r="2515" spans="1:53" x14ac:dyDescent="0.2">
      <c r="A2515" t="s">
        <v>60</v>
      </c>
      <c r="B2515" t="s">
        <v>54</v>
      </c>
      <c r="C2515">
        <v>14717</v>
      </c>
      <c r="D2515" t="s">
        <v>7</v>
      </c>
      <c r="E2515" t="s">
        <v>14</v>
      </c>
      <c r="F2515" t="s">
        <v>19</v>
      </c>
      <c r="G2515">
        <v>1</v>
      </c>
      <c r="L2515">
        <v>1</v>
      </c>
      <c r="P2515">
        <v>1</v>
      </c>
      <c r="T2515">
        <v>1</v>
      </c>
      <c r="X2515">
        <v>1</v>
      </c>
      <c r="AB2515">
        <v>1</v>
      </c>
      <c r="AF2515">
        <v>1</v>
      </c>
      <c r="AJ2515">
        <v>1</v>
      </c>
      <c r="AN2515">
        <v>1</v>
      </c>
      <c r="AR2515">
        <v>1</v>
      </c>
      <c r="AV2515">
        <v>1</v>
      </c>
      <c r="BA2515">
        <f>SUM(Pre[[#This Row],[1]:[46]])</f>
        <v>11</v>
      </c>
    </row>
    <row r="2516" spans="1:53" x14ac:dyDescent="0.2">
      <c r="A2516" t="s">
        <v>60</v>
      </c>
      <c r="B2516" t="s">
        <v>54</v>
      </c>
      <c r="C2516">
        <v>16864</v>
      </c>
      <c r="D2516" t="s">
        <v>7</v>
      </c>
      <c r="E2516" t="s">
        <v>8</v>
      </c>
      <c r="F2516" t="s">
        <v>23</v>
      </c>
      <c r="R2516">
        <v>1</v>
      </c>
      <c r="AE2516">
        <v>1</v>
      </c>
      <c r="AT2516">
        <v>2</v>
      </c>
      <c r="BA2516">
        <f>SUM(Pre[[#This Row],[1]:[46]])</f>
        <v>4</v>
      </c>
    </row>
    <row r="2517" spans="1:53" x14ac:dyDescent="0.2">
      <c r="A2517" t="s">
        <v>60</v>
      </c>
      <c r="B2517" t="s">
        <v>54</v>
      </c>
      <c r="C2517">
        <v>18103</v>
      </c>
      <c r="D2517" t="s">
        <v>7</v>
      </c>
      <c r="E2517" t="s">
        <v>17</v>
      </c>
      <c r="F2517" t="s">
        <v>18</v>
      </c>
      <c r="AU2517">
        <v>1</v>
      </c>
      <c r="BA2517">
        <f>SUM(Pre[[#This Row],[1]:[46]])</f>
        <v>1</v>
      </c>
    </row>
    <row r="2518" spans="1:53" x14ac:dyDescent="0.2">
      <c r="A2518" t="s">
        <v>60</v>
      </c>
      <c r="B2518" t="s">
        <v>54</v>
      </c>
      <c r="C2518">
        <v>18103</v>
      </c>
      <c r="D2518" t="s">
        <v>7</v>
      </c>
      <c r="E2518" t="s">
        <v>14</v>
      </c>
      <c r="F2518" t="s">
        <v>35</v>
      </c>
      <c r="X2518">
        <v>1</v>
      </c>
      <c r="AG2518">
        <v>1</v>
      </c>
      <c r="AU2518">
        <v>1</v>
      </c>
      <c r="BA2518">
        <f>SUM(Pre[[#This Row],[1]:[46]])</f>
        <v>3</v>
      </c>
    </row>
    <row r="2519" spans="1:53" x14ac:dyDescent="0.2">
      <c r="A2519" t="s">
        <v>60</v>
      </c>
      <c r="B2519" t="s">
        <v>54</v>
      </c>
      <c r="C2519">
        <v>20179</v>
      </c>
      <c r="D2519" t="s">
        <v>7</v>
      </c>
      <c r="E2519" t="s">
        <v>14</v>
      </c>
      <c r="F2519" t="s">
        <v>35</v>
      </c>
      <c r="AR2519">
        <v>1</v>
      </c>
      <c r="BA2519">
        <f>SUM(Pre[[#This Row],[1]:[46]])</f>
        <v>1</v>
      </c>
    </row>
    <row r="2520" spans="1:53" x14ac:dyDescent="0.2">
      <c r="A2520" t="s">
        <v>60</v>
      </c>
      <c r="B2520" t="s">
        <v>54</v>
      </c>
      <c r="C2520">
        <v>20697</v>
      </c>
      <c r="D2520" t="s">
        <v>7</v>
      </c>
      <c r="E2520" t="s">
        <v>8</v>
      </c>
      <c r="F2520" t="s">
        <v>9</v>
      </c>
      <c r="G2520">
        <v>1</v>
      </c>
      <c r="Y2520">
        <v>1</v>
      </c>
      <c r="AM2520">
        <v>1</v>
      </c>
      <c r="AZ2520">
        <v>2</v>
      </c>
      <c r="BA2520">
        <f>SUM(Pre[[#This Row],[1]:[46]])</f>
        <v>5</v>
      </c>
    </row>
    <row r="2521" spans="1:53" x14ac:dyDescent="0.2">
      <c r="A2521" t="s">
        <v>60</v>
      </c>
      <c r="B2521" t="s">
        <v>54</v>
      </c>
      <c r="C2521">
        <v>33087</v>
      </c>
      <c r="D2521" t="s">
        <v>7</v>
      </c>
      <c r="E2521" t="s">
        <v>14</v>
      </c>
      <c r="F2521" t="s">
        <v>20</v>
      </c>
      <c r="AY2521">
        <v>1</v>
      </c>
      <c r="BA2521">
        <f>SUM(Pre[[#This Row],[1]:[46]])</f>
        <v>1</v>
      </c>
    </row>
    <row r="2522" spans="1:53" x14ac:dyDescent="0.2">
      <c r="A2522" t="s">
        <v>60</v>
      </c>
      <c r="B2522" t="s">
        <v>54</v>
      </c>
      <c r="C2522">
        <v>631</v>
      </c>
      <c r="D2522" t="s">
        <v>22</v>
      </c>
      <c r="E2522" t="s">
        <v>26</v>
      </c>
      <c r="F2522" t="s">
        <v>27</v>
      </c>
      <c r="AH2522">
        <v>1</v>
      </c>
      <c r="AP2522">
        <v>1</v>
      </c>
      <c r="BA2522">
        <f>SUM(Pre[[#This Row],[1]:[46]])</f>
        <v>2</v>
      </c>
    </row>
    <row r="2523" spans="1:53" x14ac:dyDescent="0.2">
      <c r="A2523" t="s">
        <v>60</v>
      </c>
      <c r="B2523" t="s">
        <v>54</v>
      </c>
      <c r="C2523">
        <v>4530</v>
      </c>
      <c r="D2523" t="s">
        <v>22</v>
      </c>
      <c r="E2523" t="s">
        <v>14</v>
      </c>
      <c r="F2523" t="s">
        <v>19</v>
      </c>
      <c r="S2523">
        <v>1</v>
      </c>
      <c r="BA2523">
        <f>SUM(Pre[[#This Row],[1]:[46]])</f>
        <v>1</v>
      </c>
    </row>
    <row r="2524" spans="1:53" x14ac:dyDescent="0.2">
      <c r="A2524" t="s">
        <v>60</v>
      </c>
      <c r="B2524" t="s">
        <v>54</v>
      </c>
      <c r="C2524">
        <v>8520</v>
      </c>
      <c r="D2524" t="s">
        <v>22</v>
      </c>
      <c r="E2524" t="s">
        <v>8</v>
      </c>
      <c r="F2524" t="s">
        <v>9</v>
      </c>
      <c r="H2524">
        <v>1</v>
      </c>
      <c r="W2524">
        <v>1</v>
      </c>
      <c r="AE2524">
        <v>1</v>
      </c>
      <c r="AM2524">
        <v>1</v>
      </c>
      <c r="BA2524">
        <f>SUM(Pre[[#This Row],[1]:[46]])</f>
        <v>4</v>
      </c>
    </row>
    <row r="2525" spans="1:53" x14ac:dyDescent="0.2">
      <c r="A2525" t="s">
        <v>60</v>
      </c>
      <c r="B2525" t="s">
        <v>54</v>
      </c>
      <c r="C2525">
        <v>12333</v>
      </c>
      <c r="D2525" t="s">
        <v>22</v>
      </c>
      <c r="E2525" t="s">
        <v>8</v>
      </c>
      <c r="F2525" t="s">
        <v>23</v>
      </c>
      <c r="H2525">
        <v>1</v>
      </c>
      <c r="M2525">
        <v>1</v>
      </c>
      <c r="Q2525">
        <v>1</v>
      </c>
      <c r="U2525">
        <v>1</v>
      </c>
      <c r="Y2525">
        <v>1</v>
      </c>
      <c r="AC2525">
        <v>1</v>
      </c>
      <c r="AF2525">
        <v>1</v>
      </c>
      <c r="AK2525">
        <v>1</v>
      </c>
      <c r="AN2525">
        <v>1</v>
      </c>
      <c r="AS2525">
        <v>1</v>
      </c>
      <c r="AW2525">
        <v>1</v>
      </c>
      <c r="BA2525">
        <f>SUM(Pre[[#This Row],[1]:[46]])</f>
        <v>11</v>
      </c>
    </row>
    <row r="2526" spans="1:53" x14ac:dyDescent="0.2">
      <c r="A2526" t="s">
        <v>60</v>
      </c>
      <c r="B2526" t="s">
        <v>54</v>
      </c>
      <c r="C2526">
        <v>14461</v>
      </c>
      <c r="D2526" t="s">
        <v>22</v>
      </c>
      <c r="E2526" t="s">
        <v>14</v>
      </c>
      <c r="F2526" t="s">
        <v>20</v>
      </c>
      <c r="N2526">
        <v>1</v>
      </c>
      <c r="AD2526">
        <v>1</v>
      </c>
      <c r="AV2526">
        <v>1</v>
      </c>
      <c r="BA2526">
        <f>SUM(Pre[[#This Row],[1]:[46]])</f>
        <v>3</v>
      </c>
    </row>
    <row r="2527" spans="1:53" x14ac:dyDescent="0.2">
      <c r="A2527" t="s">
        <v>60</v>
      </c>
      <c r="B2527" t="s">
        <v>54</v>
      </c>
      <c r="C2527">
        <v>23731</v>
      </c>
      <c r="D2527" t="s">
        <v>22</v>
      </c>
      <c r="E2527" t="s">
        <v>8</v>
      </c>
      <c r="F2527" t="s">
        <v>23</v>
      </c>
      <c r="L2527">
        <v>1</v>
      </c>
      <c r="Q2527">
        <v>1</v>
      </c>
      <c r="V2527">
        <v>1</v>
      </c>
      <c r="AJ2527">
        <v>1</v>
      </c>
      <c r="AX2527">
        <v>1</v>
      </c>
      <c r="BA2527">
        <f>SUM(Pre[[#This Row],[1]:[46]])</f>
        <v>5</v>
      </c>
    </row>
    <row r="2528" spans="1:53" x14ac:dyDescent="0.2">
      <c r="A2528" t="s">
        <v>60</v>
      </c>
      <c r="B2528" t="s">
        <v>54</v>
      </c>
      <c r="C2528">
        <v>67</v>
      </c>
      <c r="D2528" t="s">
        <v>7</v>
      </c>
      <c r="E2528" t="s">
        <v>10</v>
      </c>
      <c r="F2528" t="s">
        <v>11</v>
      </c>
      <c r="BA2528">
        <f>SUM(Pre[[#This Row],[1]:[46]])</f>
        <v>0</v>
      </c>
    </row>
    <row r="2529" spans="1:53" x14ac:dyDescent="0.2">
      <c r="A2529" t="s">
        <v>60</v>
      </c>
      <c r="B2529" t="s">
        <v>54</v>
      </c>
      <c r="C2529">
        <v>67</v>
      </c>
      <c r="D2529" t="s">
        <v>7</v>
      </c>
      <c r="E2529" t="s">
        <v>14</v>
      </c>
      <c r="F2529" t="s">
        <v>20</v>
      </c>
      <c r="U2529">
        <v>1</v>
      </c>
      <c r="AL2529">
        <v>1</v>
      </c>
      <c r="BA2529">
        <f>SUM(Pre[[#This Row],[1]:[46]])</f>
        <v>2</v>
      </c>
    </row>
    <row r="2530" spans="1:53" x14ac:dyDescent="0.2">
      <c r="A2530" t="s">
        <v>60</v>
      </c>
      <c r="B2530" t="s">
        <v>54</v>
      </c>
      <c r="C2530">
        <v>157</v>
      </c>
      <c r="D2530" t="s">
        <v>7</v>
      </c>
      <c r="E2530" t="s">
        <v>14</v>
      </c>
      <c r="F2530" t="s">
        <v>15</v>
      </c>
      <c r="Z2530">
        <v>1</v>
      </c>
      <c r="BA2530">
        <f>SUM(Pre[[#This Row],[1]:[46]])</f>
        <v>1</v>
      </c>
    </row>
    <row r="2531" spans="1:53" x14ac:dyDescent="0.2">
      <c r="A2531" t="s">
        <v>60</v>
      </c>
      <c r="B2531" t="s">
        <v>54</v>
      </c>
      <c r="C2531">
        <v>157</v>
      </c>
      <c r="D2531" t="s">
        <v>7</v>
      </c>
      <c r="E2531" t="s">
        <v>14</v>
      </c>
      <c r="F2531" t="s">
        <v>19</v>
      </c>
      <c r="AN2531">
        <v>1</v>
      </c>
      <c r="BA2531">
        <f>SUM(Pre[[#This Row],[1]:[46]])</f>
        <v>1</v>
      </c>
    </row>
    <row r="2532" spans="1:53" x14ac:dyDescent="0.2">
      <c r="A2532" t="s">
        <v>60</v>
      </c>
      <c r="B2532" t="s">
        <v>54</v>
      </c>
      <c r="C2532">
        <v>157</v>
      </c>
      <c r="D2532" t="s">
        <v>7</v>
      </c>
      <c r="E2532" t="s">
        <v>14</v>
      </c>
      <c r="F2532" t="s">
        <v>20</v>
      </c>
      <c r="G2532">
        <v>1</v>
      </c>
      <c r="J2532">
        <v>1</v>
      </c>
      <c r="V2532">
        <v>1</v>
      </c>
      <c r="BA2532">
        <f>SUM(Pre[[#This Row],[1]:[46]])</f>
        <v>3</v>
      </c>
    </row>
    <row r="2533" spans="1:53" x14ac:dyDescent="0.2">
      <c r="A2533" t="s">
        <v>60</v>
      </c>
      <c r="B2533" t="s">
        <v>54</v>
      </c>
      <c r="C2533">
        <v>351</v>
      </c>
      <c r="D2533" t="s">
        <v>7</v>
      </c>
      <c r="E2533" t="s">
        <v>14</v>
      </c>
      <c r="F2533" t="s">
        <v>35</v>
      </c>
      <c r="BA2533">
        <f>SUM(Pre[[#This Row],[1]:[46]])</f>
        <v>0</v>
      </c>
    </row>
    <row r="2534" spans="1:53" x14ac:dyDescent="0.2">
      <c r="A2534" t="s">
        <v>60</v>
      </c>
      <c r="B2534" t="s">
        <v>54</v>
      </c>
      <c r="C2534">
        <v>412</v>
      </c>
      <c r="D2534" t="s">
        <v>7</v>
      </c>
      <c r="E2534" t="s">
        <v>14</v>
      </c>
      <c r="F2534" t="s">
        <v>35</v>
      </c>
      <c r="AY2534">
        <v>1</v>
      </c>
      <c r="BA2534">
        <f>SUM(Pre[[#This Row],[1]:[46]])</f>
        <v>1</v>
      </c>
    </row>
    <row r="2535" spans="1:53" x14ac:dyDescent="0.2">
      <c r="A2535" t="s">
        <v>60</v>
      </c>
      <c r="B2535" t="s">
        <v>54</v>
      </c>
      <c r="C2535">
        <v>412</v>
      </c>
      <c r="D2535" t="s">
        <v>7</v>
      </c>
      <c r="E2535" t="s">
        <v>14</v>
      </c>
      <c r="F2535" t="s">
        <v>19</v>
      </c>
      <c r="AQ2535">
        <v>1</v>
      </c>
      <c r="AV2535">
        <v>2</v>
      </c>
      <c r="BA2535">
        <f>SUM(Pre[[#This Row],[1]:[46]])</f>
        <v>3</v>
      </c>
    </row>
    <row r="2536" spans="1:53" x14ac:dyDescent="0.2">
      <c r="A2536" t="s">
        <v>60</v>
      </c>
      <c r="B2536" t="s">
        <v>54</v>
      </c>
      <c r="C2536">
        <v>4535</v>
      </c>
      <c r="D2536" t="s">
        <v>7</v>
      </c>
      <c r="E2536" t="s">
        <v>14</v>
      </c>
      <c r="F2536" t="s">
        <v>35</v>
      </c>
      <c r="O2536">
        <v>1</v>
      </c>
      <c r="BA2536">
        <f>SUM(Pre[[#This Row],[1]:[46]])</f>
        <v>1</v>
      </c>
    </row>
    <row r="2537" spans="1:53" x14ac:dyDescent="0.2">
      <c r="A2537" t="s">
        <v>60</v>
      </c>
      <c r="B2537" t="s">
        <v>54</v>
      </c>
      <c r="C2537">
        <v>4535</v>
      </c>
      <c r="D2537" t="s">
        <v>7</v>
      </c>
      <c r="E2537" t="s">
        <v>14</v>
      </c>
      <c r="F2537" t="s">
        <v>19</v>
      </c>
      <c r="AE2537">
        <v>1</v>
      </c>
      <c r="AI2537">
        <v>1</v>
      </c>
      <c r="AM2537">
        <v>1</v>
      </c>
      <c r="AR2537">
        <v>1</v>
      </c>
      <c r="AV2537">
        <v>1</v>
      </c>
      <c r="BA2537">
        <f>SUM(Pre[[#This Row],[1]:[46]])</f>
        <v>5</v>
      </c>
    </row>
    <row r="2538" spans="1:53" x14ac:dyDescent="0.2">
      <c r="A2538" t="s">
        <v>60</v>
      </c>
      <c r="B2538" t="s">
        <v>54</v>
      </c>
      <c r="C2538">
        <v>4535</v>
      </c>
      <c r="D2538" t="s">
        <v>7</v>
      </c>
      <c r="E2538" t="s">
        <v>14</v>
      </c>
      <c r="F2538" t="s">
        <v>20</v>
      </c>
      <c r="Q2538">
        <v>1</v>
      </c>
      <c r="W2538">
        <v>1</v>
      </c>
      <c r="Y2538">
        <v>1</v>
      </c>
      <c r="AA2538">
        <v>1</v>
      </c>
      <c r="BA2538">
        <f>SUM(Pre[[#This Row],[1]:[46]])</f>
        <v>4</v>
      </c>
    </row>
    <row r="2539" spans="1:53" x14ac:dyDescent="0.2">
      <c r="A2539" t="s">
        <v>60</v>
      </c>
      <c r="B2539" t="s">
        <v>54</v>
      </c>
      <c r="C2539">
        <v>4807</v>
      </c>
      <c r="D2539" t="s">
        <v>7</v>
      </c>
      <c r="E2539" t="s">
        <v>8</v>
      </c>
      <c r="F2539" t="s">
        <v>23</v>
      </c>
      <c r="T2539">
        <v>1</v>
      </c>
      <c r="AI2539">
        <v>1</v>
      </c>
      <c r="AX2539">
        <v>1</v>
      </c>
      <c r="BA2539">
        <f>SUM(Pre[[#This Row],[1]:[46]])</f>
        <v>3</v>
      </c>
    </row>
    <row r="2540" spans="1:53" x14ac:dyDescent="0.2">
      <c r="A2540" t="s">
        <v>60</v>
      </c>
      <c r="B2540" t="s">
        <v>54</v>
      </c>
      <c r="C2540">
        <v>5881</v>
      </c>
      <c r="D2540" t="s">
        <v>7</v>
      </c>
      <c r="E2540" t="s">
        <v>14</v>
      </c>
      <c r="F2540" t="s">
        <v>20</v>
      </c>
      <c r="O2540">
        <v>1</v>
      </c>
      <c r="AC2540">
        <v>1</v>
      </c>
      <c r="AQ2540">
        <v>1</v>
      </c>
      <c r="BA2540">
        <f>SUM(Pre[[#This Row],[1]:[46]])</f>
        <v>3</v>
      </c>
    </row>
    <row r="2541" spans="1:53" x14ac:dyDescent="0.2">
      <c r="A2541" t="s">
        <v>60</v>
      </c>
      <c r="B2541" t="s">
        <v>54</v>
      </c>
      <c r="C2541">
        <v>6156</v>
      </c>
      <c r="D2541" t="s">
        <v>7</v>
      </c>
      <c r="E2541" t="s">
        <v>8</v>
      </c>
      <c r="F2541" t="s">
        <v>23</v>
      </c>
      <c r="S2541">
        <v>1</v>
      </c>
      <c r="AG2541">
        <v>1</v>
      </c>
      <c r="AW2541">
        <v>1</v>
      </c>
      <c r="BA2541">
        <f>SUM(Pre[[#This Row],[1]:[46]])</f>
        <v>3</v>
      </c>
    </row>
    <row r="2542" spans="1:53" x14ac:dyDescent="0.2">
      <c r="A2542" t="s">
        <v>60</v>
      </c>
      <c r="B2542" t="s">
        <v>54</v>
      </c>
      <c r="C2542">
        <v>8096</v>
      </c>
      <c r="D2542" t="s">
        <v>7</v>
      </c>
      <c r="E2542" t="s">
        <v>14</v>
      </c>
      <c r="F2542" t="s">
        <v>21</v>
      </c>
      <c r="N2542">
        <v>3</v>
      </c>
      <c r="AC2542">
        <v>1</v>
      </c>
      <c r="AT2542">
        <v>2</v>
      </c>
      <c r="BA2542">
        <f>SUM(Pre[[#This Row],[1]:[46]])</f>
        <v>6</v>
      </c>
    </row>
    <row r="2543" spans="1:53" x14ac:dyDescent="0.2">
      <c r="A2543" t="s">
        <v>60</v>
      </c>
      <c r="B2543" t="s">
        <v>54</v>
      </c>
      <c r="C2543">
        <v>8946</v>
      </c>
      <c r="D2543" t="s">
        <v>7</v>
      </c>
      <c r="E2543" t="s">
        <v>8</v>
      </c>
      <c r="F2543" t="s">
        <v>23</v>
      </c>
      <c r="S2543">
        <v>1</v>
      </c>
      <c r="AE2543">
        <v>1</v>
      </c>
      <c r="AV2543">
        <v>1</v>
      </c>
      <c r="BA2543">
        <f>SUM(Pre[[#This Row],[1]:[46]])</f>
        <v>3</v>
      </c>
    </row>
    <row r="2544" spans="1:53" x14ac:dyDescent="0.2">
      <c r="A2544" t="s">
        <v>60</v>
      </c>
      <c r="B2544" t="s">
        <v>54</v>
      </c>
      <c r="C2544">
        <v>9490</v>
      </c>
      <c r="D2544" t="s">
        <v>7</v>
      </c>
      <c r="E2544" t="s">
        <v>14</v>
      </c>
      <c r="F2544" t="s">
        <v>35</v>
      </c>
      <c r="K2544">
        <v>1</v>
      </c>
      <c r="P2544">
        <v>1</v>
      </c>
      <c r="S2544">
        <v>1</v>
      </c>
      <c r="Z2544">
        <v>1</v>
      </c>
      <c r="AA2544">
        <v>1</v>
      </c>
      <c r="AJ2544">
        <v>1</v>
      </c>
      <c r="AO2544">
        <v>1</v>
      </c>
      <c r="AZ2544">
        <v>1</v>
      </c>
      <c r="BA2544">
        <f>SUM(Pre[[#This Row],[1]:[46]])</f>
        <v>8</v>
      </c>
    </row>
    <row r="2545" spans="1:53" x14ac:dyDescent="0.2">
      <c r="A2545" t="s">
        <v>60</v>
      </c>
      <c r="B2545" t="s">
        <v>54</v>
      </c>
      <c r="C2545">
        <v>10939</v>
      </c>
      <c r="D2545" t="s">
        <v>7</v>
      </c>
      <c r="E2545" t="s">
        <v>10</v>
      </c>
      <c r="F2545" t="s">
        <v>11</v>
      </c>
      <c r="AC2545">
        <v>1</v>
      </c>
      <c r="AG2545">
        <v>1</v>
      </c>
      <c r="AU2545">
        <v>1</v>
      </c>
      <c r="BA2545">
        <f>SUM(Pre[[#This Row],[1]:[46]])</f>
        <v>3</v>
      </c>
    </row>
    <row r="2546" spans="1:53" x14ac:dyDescent="0.2">
      <c r="A2546" t="s">
        <v>60</v>
      </c>
      <c r="B2546" t="s">
        <v>54</v>
      </c>
      <c r="C2546">
        <v>11554</v>
      </c>
      <c r="D2546" t="s">
        <v>7</v>
      </c>
      <c r="E2546" t="s">
        <v>14</v>
      </c>
      <c r="F2546" t="s">
        <v>20</v>
      </c>
      <c r="J2546">
        <v>1</v>
      </c>
      <c r="AA2546">
        <v>1</v>
      </c>
      <c r="BA2546">
        <f>SUM(Pre[[#This Row],[1]:[46]])</f>
        <v>2</v>
      </c>
    </row>
    <row r="2547" spans="1:53" x14ac:dyDescent="0.2">
      <c r="A2547" t="s">
        <v>60</v>
      </c>
      <c r="B2547" t="s">
        <v>54</v>
      </c>
      <c r="C2547">
        <v>12413</v>
      </c>
      <c r="D2547" t="s">
        <v>7</v>
      </c>
      <c r="E2547" t="s">
        <v>14</v>
      </c>
      <c r="F2547" t="s">
        <v>35</v>
      </c>
      <c r="G2547">
        <v>1</v>
      </c>
      <c r="BA2547">
        <f>SUM(Pre[[#This Row],[1]:[46]])</f>
        <v>1</v>
      </c>
    </row>
    <row r="2548" spans="1:53" x14ac:dyDescent="0.2">
      <c r="A2548" t="s">
        <v>60</v>
      </c>
      <c r="B2548" t="s">
        <v>54</v>
      </c>
      <c r="C2548">
        <v>12413</v>
      </c>
      <c r="D2548" t="s">
        <v>7</v>
      </c>
      <c r="E2548" t="s">
        <v>14</v>
      </c>
      <c r="F2548" t="s">
        <v>19</v>
      </c>
      <c r="AG2548">
        <v>3</v>
      </c>
      <c r="AQ2548">
        <v>1</v>
      </c>
      <c r="BA2548">
        <f>SUM(Pre[[#This Row],[1]:[46]])</f>
        <v>4</v>
      </c>
    </row>
    <row r="2549" spans="1:53" x14ac:dyDescent="0.2">
      <c r="A2549" t="s">
        <v>60</v>
      </c>
      <c r="B2549" t="s">
        <v>54</v>
      </c>
      <c r="C2549">
        <v>12413</v>
      </c>
      <c r="D2549" t="s">
        <v>7</v>
      </c>
      <c r="E2549" t="s">
        <v>14</v>
      </c>
      <c r="F2549" t="s">
        <v>20</v>
      </c>
      <c r="I2549">
        <v>2</v>
      </c>
      <c r="L2549">
        <v>1</v>
      </c>
      <c r="Q2549">
        <v>1</v>
      </c>
      <c r="V2549">
        <v>1</v>
      </c>
      <c r="Y2549">
        <v>1</v>
      </c>
      <c r="BA2549">
        <f>SUM(Pre[[#This Row],[1]:[46]])</f>
        <v>6</v>
      </c>
    </row>
    <row r="2550" spans="1:53" x14ac:dyDescent="0.2">
      <c r="A2550" t="s">
        <v>60</v>
      </c>
      <c r="B2550" t="s">
        <v>54</v>
      </c>
      <c r="C2550">
        <v>15144</v>
      </c>
      <c r="D2550" t="s">
        <v>7</v>
      </c>
      <c r="E2550" t="s">
        <v>14</v>
      </c>
      <c r="F2550" t="s">
        <v>20</v>
      </c>
      <c r="Q2550">
        <v>2</v>
      </c>
      <c r="S2550">
        <v>1</v>
      </c>
      <c r="BA2550">
        <f>SUM(Pre[[#This Row],[1]:[46]])</f>
        <v>3</v>
      </c>
    </row>
    <row r="2551" spans="1:53" x14ac:dyDescent="0.2">
      <c r="A2551" t="s">
        <v>60</v>
      </c>
      <c r="B2551" t="s">
        <v>54</v>
      </c>
      <c r="C2551">
        <v>15345</v>
      </c>
      <c r="D2551" t="s">
        <v>7</v>
      </c>
      <c r="E2551" t="s">
        <v>14</v>
      </c>
      <c r="F2551" t="s">
        <v>15</v>
      </c>
      <c r="N2551">
        <v>1</v>
      </c>
      <c r="T2551">
        <v>1</v>
      </c>
      <c r="W2551">
        <v>1</v>
      </c>
      <c r="X2551">
        <v>1</v>
      </c>
      <c r="AG2551">
        <v>1</v>
      </c>
      <c r="AR2551">
        <v>1</v>
      </c>
      <c r="AV2551">
        <v>1</v>
      </c>
      <c r="BA2551">
        <f>SUM(Pre[[#This Row],[1]:[46]])</f>
        <v>7</v>
      </c>
    </row>
    <row r="2552" spans="1:53" x14ac:dyDescent="0.2">
      <c r="A2552" t="s">
        <v>60</v>
      </c>
      <c r="B2552" t="s">
        <v>54</v>
      </c>
      <c r="C2552">
        <v>15789</v>
      </c>
      <c r="D2552" t="s">
        <v>7</v>
      </c>
      <c r="E2552" t="s">
        <v>14</v>
      </c>
      <c r="F2552" t="s">
        <v>21</v>
      </c>
      <c r="L2552">
        <v>1</v>
      </c>
      <c r="AE2552">
        <v>2</v>
      </c>
      <c r="AQ2552">
        <v>1</v>
      </c>
      <c r="BA2552">
        <f>SUM(Pre[[#This Row],[1]:[46]])</f>
        <v>4</v>
      </c>
    </row>
    <row r="2553" spans="1:53" x14ac:dyDescent="0.2">
      <c r="A2553" t="s">
        <v>60</v>
      </c>
      <c r="B2553" t="s">
        <v>54</v>
      </c>
      <c r="C2553">
        <v>15888</v>
      </c>
      <c r="D2553" t="s">
        <v>7</v>
      </c>
      <c r="E2553" t="s">
        <v>10</v>
      </c>
      <c r="F2553" t="s">
        <v>11</v>
      </c>
      <c r="BA2553">
        <f>SUM(Pre[[#This Row],[1]:[46]])</f>
        <v>0</v>
      </c>
    </row>
    <row r="2554" spans="1:53" x14ac:dyDescent="0.2">
      <c r="A2554" t="s">
        <v>60</v>
      </c>
      <c r="B2554" t="s">
        <v>54</v>
      </c>
      <c r="C2554">
        <v>17904</v>
      </c>
      <c r="D2554" t="s">
        <v>7</v>
      </c>
      <c r="E2554" t="s">
        <v>14</v>
      </c>
      <c r="F2554" t="s">
        <v>20</v>
      </c>
      <c r="K2554">
        <v>1</v>
      </c>
      <c r="T2554">
        <v>1</v>
      </c>
      <c r="AB2554">
        <v>1</v>
      </c>
      <c r="AK2554">
        <v>1</v>
      </c>
      <c r="AQ2554">
        <v>1</v>
      </c>
      <c r="AZ2554">
        <v>1</v>
      </c>
      <c r="BA2554">
        <f>SUM(Pre[[#This Row],[1]:[46]])</f>
        <v>6</v>
      </c>
    </row>
    <row r="2555" spans="1:53" x14ac:dyDescent="0.2">
      <c r="A2555" t="s">
        <v>60</v>
      </c>
      <c r="B2555" t="s">
        <v>54</v>
      </c>
      <c r="C2555">
        <v>18582</v>
      </c>
      <c r="D2555" t="s">
        <v>7</v>
      </c>
      <c r="E2555" t="s">
        <v>10</v>
      </c>
      <c r="F2555" t="s">
        <v>11</v>
      </c>
      <c r="BA2555">
        <f>SUM(Pre[[#This Row],[1]:[46]])</f>
        <v>0</v>
      </c>
    </row>
    <row r="2556" spans="1:53" x14ac:dyDescent="0.2">
      <c r="A2556" t="s">
        <v>60</v>
      </c>
      <c r="B2556" t="s">
        <v>54</v>
      </c>
      <c r="C2556">
        <v>18582</v>
      </c>
      <c r="D2556" t="s">
        <v>7</v>
      </c>
      <c r="E2556" t="s">
        <v>14</v>
      </c>
      <c r="F2556" t="s">
        <v>35</v>
      </c>
      <c r="L2556">
        <v>1</v>
      </c>
      <c r="AA2556">
        <v>1</v>
      </c>
      <c r="AP2556">
        <v>1</v>
      </c>
      <c r="BA2556">
        <f>SUM(Pre[[#This Row],[1]:[46]])</f>
        <v>3</v>
      </c>
    </row>
    <row r="2557" spans="1:53" x14ac:dyDescent="0.2">
      <c r="A2557" t="s">
        <v>60</v>
      </c>
      <c r="B2557" t="s">
        <v>54</v>
      </c>
      <c r="C2557">
        <v>19019</v>
      </c>
      <c r="D2557" t="s">
        <v>7</v>
      </c>
      <c r="E2557" t="s">
        <v>14</v>
      </c>
      <c r="F2557" t="s">
        <v>19</v>
      </c>
      <c r="O2557">
        <v>1</v>
      </c>
      <c r="X2557">
        <v>1</v>
      </c>
      <c r="AG2557">
        <v>1</v>
      </c>
      <c r="BA2557">
        <f>SUM(Pre[[#This Row],[1]:[46]])</f>
        <v>3</v>
      </c>
    </row>
    <row r="2558" spans="1:53" x14ac:dyDescent="0.2">
      <c r="A2558" t="s">
        <v>60</v>
      </c>
      <c r="B2558" t="s">
        <v>54</v>
      </c>
      <c r="C2558">
        <v>20470</v>
      </c>
      <c r="D2558" t="s">
        <v>7</v>
      </c>
      <c r="E2558" t="s">
        <v>8</v>
      </c>
      <c r="F2558" t="s">
        <v>29</v>
      </c>
      <c r="H2558">
        <v>1</v>
      </c>
      <c r="Q2558">
        <v>1</v>
      </c>
      <c r="AF2558">
        <v>1</v>
      </c>
      <c r="AT2558">
        <v>1</v>
      </c>
      <c r="BA2558">
        <f>SUM(Pre[[#This Row],[1]:[46]])</f>
        <v>4</v>
      </c>
    </row>
    <row r="2559" spans="1:53" x14ac:dyDescent="0.2">
      <c r="A2559" t="s">
        <v>60</v>
      </c>
      <c r="B2559" t="s">
        <v>54</v>
      </c>
      <c r="C2559">
        <v>20602</v>
      </c>
      <c r="D2559" t="s">
        <v>7</v>
      </c>
      <c r="E2559" t="s">
        <v>14</v>
      </c>
      <c r="F2559" t="s">
        <v>19</v>
      </c>
      <c r="AK2559">
        <v>1</v>
      </c>
      <c r="BA2559">
        <f>SUM(Pre[[#This Row],[1]:[46]])</f>
        <v>1</v>
      </c>
    </row>
    <row r="2560" spans="1:53" x14ac:dyDescent="0.2">
      <c r="A2560" t="s">
        <v>60</v>
      </c>
      <c r="B2560" t="s">
        <v>54</v>
      </c>
      <c r="C2560">
        <v>23737</v>
      </c>
      <c r="D2560" t="s">
        <v>7</v>
      </c>
      <c r="E2560" t="s">
        <v>14</v>
      </c>
      <c r="F2560" t="s">
        <v>31</v>
      </c>
      <c r="I2560">
        <v>1</v>
      </c>
      <c r="O2560">
        <v>1</v>
      </c>
      <c r="S2560">
        <v>1</v>
      </c>
      <c r="Z2560">
        <v>1</v>
      </c>
      <c r="AF2560">
        <v>1</v>
      </c>
      <c r="AL2560">
        <v>1</v>
      </c>
      <c r="AQ2560">
        <v>2</v>
      </c>
      <c r="AW2560">
        <v>1</v>
      </c>
      <c r="BA2560">
        <f>SUM(Pre[[#This Row],[1]:[46]])</f>
        <v>9</v>
      </c>
    </row>
    <row r="2561" spans="1:53" x14ac:dyDescent="0.2">
      <c r="A2561" t="s">
        <v>60</v>
      </c>
      <c r="B2561" t="s">
        <v>54</v>
      </c>
      <c r="C2561">
        <v>30068</v>
      </c>
      <c r="D2561" t="s">
        <v>7</v>
      </c>
      <c r="E2561" t="s">
        <v>14</v>
      </c>
      <c r="F2561" t="s">
        <v>19</v>
      </c>
      <c r="AW2561">
        <v>1</v>
      </c>
      <c r="BA2561">
        <f>SUM(Pre[[#This Row],[1]:[46]])</f>
        <v>1</v>
      </c>
    </row>
    <row r="2562" spans="1:53" x14ac:dyDescent="0.2">
      <c r="A2562" t="s">
        <v>60</v>
      </c>
      <c r="B2562" t="s">
        <v>54</v>
      </c>
      <c r="C2562">
        <v>11622</v>
      </c>
      <c r="D2562" t="s">
        <v>22</v>
      </c>
      <c r="E2562" t="s">
        <v>14</v>
      </c>
      <c r="F2562" t="s">
        <v>20</v>
      </c>
      <c r="H2562">
        <v>1</v>
      </c>
      <c r="W2562">
        <v>1</v>
      </c>
      <c r="AL2562">
        <v>1</v>
      </c>
      <c r="AZ2562">
        <v>1</v>
      </c>
      <c r="BA2562">
        <f>SUM(Pre[[#This Row],[1]:[46]])</f>
        <v>4</v>
      </c>
    </row>
    <row r="2563" spans="1:53" x14ac:dyDescent="0.2">
      <c r="A2563" t="s">
        <v>60</v>
      </c>
      <c r="B2563" t="s">
        <v>54</v>
      </c>
      <c r="C2563">
        <v>13551</v>
      </c>
      <c r="D2563" t="s">
        <v>22</v>
      </c>
      <c r="E2563" t="s">
        <v>14</v>
      </c>
      <c r="F2563" t="s">
        <v>35</v>
      </c>
      <c r="M2563">
        <v>1</v>
      </c>
      <c r="X2563">
        <v>1</v>
      </c>
      <c r="BA2563">
        <f>SUM(Pre[[#This Row],[1]:[46]])</f>
        <v>2</v>
      </c>
    </row>
    <row r="2564" spans="1:53" x14ac:dyDescent="0.2">
      <c r="A2564" t="s">
        <v>60</v>
      </c>
      <c r="B2564" t="s">
        <v>54</v>
      </c>
      <c r="C2564">
        <v>14559</v>
      </c>
      <c r="D2564" t="s">
        <v>22</v>
      </c>
      <c r="E2564" t="s">
        <v>14</v>
      </c>
      <c r="F2564" t="s">
        <v>21</v>
      </c>
      <c r="S2564">
        <v>1</v>
      </c>
      <c r="BA2564">
        <f>SUM(Pre[[#This Row],[1]:[46]])</f>
        <v>1</v>
      </c>
    </row>
    <row r="2565" spans="1:53" x14ac:dyDescent="0.2">
      <c r="A2565" t="s">
        <v>60</v>
      </c>
      <c r="B2565" t="s">
        <v>54</v>
      </c>
      <c r="C2565">
        <v>15387</v>
      </c>
      <c r="D2565" t="s">
        <v>22</v>
      </c>
      <c r="E2565" t="s">
        <v>8</v>
      </c>
      <c r="F2565" t="s">
        <v>23</v>
      </c>
      <c r="K2565">
        <v>1</v>
      </c>
      <c r="S2565">
        <v>1</v>
      </c>
      <c r="AC2565">
        <v>1</v>
      </c>
      <c r="AN2565">
        <v>2</v>
      </c>
      <c r="AT2565">
        <v>2</v>
      </c>
      <c r="AV2565">
        <v>3</v>
      </c>
      <c r="BA2565">
        <f>SUM(Pre[[#This Row],[1]:[46]])</f>
        <v>10</v>
      </c>
    </row>
    <row r="2566" spans="1:53" x14ac:dyDescent="0.2">
      <c r="A2566" t="s">
        <v>60</v>
      </c>
      <c r="B2566" t="s">
        <v>54</v>
      </c>
      <c r="C2566">
        <v>29354</v>
      </c>
      <c r="D2566" t="s">
        <v>22</v>
      </c>
      <c r="E2566" t="s">
        <v>37</v>
      </c>
      <c r="F2566" t="s">
        <v>39</v>
      </c>
      <c r="R2566">
        <v>1</v>
      </c>
      <c r="AV2566">
        <v>1</v>
      </c>
      <c r="BA2566">
        <f>SUM(Pre[[#This Row],[1]:[46]])</f>
        <v>2</v>
      </c>
    </row>
    <row r="2567" spans="1:53" x14ac:dyDescent="0.2">
      <c r="A2567" t="s">
        <v>60</v>
      </c>
      <c r="B2567" t="s">
        <v>54</v>
      </c>
      <c r="C2567">
        <v>29354</v>
      </c>
      <c r="D2567" t="s">
        <v>22</v>
      </c>
      <c r="E2567" t="s">
        <v>37</v>
      </c>
      <c r="F2567" t="s">
        <v>38</v>
      </c>
      <c r="AG2567">
        <v>1</v>
      </c>
      <c r="BA2567">
        <f>SUM(Pre[[#This Row],[1]:[46]])</f>
        <v>1</v>
      </c>
    </row>
    <row r="2568" spans="1:53" x14ac:dyDescent="0.2">
      <c r="A2568" t="s">
        <v>60</v>
      </c>
      <c r="B2568" t="s">
        <v>54</v>
      </c>
      <c r="C2568">
        <v>10573</v>
      </c>
      <c r="D2568" t="s">
        <v>7</v>
      </c>
      <c r="E2568" t="s">
        <v>14</v>
      </c>
      <c r="F2568" t="s">
        <v>20</v>
      </c>
      <c r="Q2568">
        <v>1</v>
      </c>
      <c r="AB2568">
        <v>2</v>
      </c>
      <c r="AS2568">
        <v>1</v>
      </c>
      <c r="BA2568">
        <f>SUM(Pre[[#This Row],[1]:[46]])</f>
        <v>4</v>
      </c>
    </row>
    <row r="2569" spans="1:53" x14ac:dyDescent="0.2">
      <c r="A2569" t="s">
        <v>60</v>
      </c>
      <c r="B2569" t="s">
        <v>54</v>
      </c>
      <c r="C2569">
        <v>12630</v>
      </c>
      <c r="D2569" t="s">
        <v>7</v>
      </c>
      <c r="E2569" t="s">
        <v>10</v>
      </c>
      <c r="F2569" t="s">
        <v>11</v>
      </c>
      <c r="BA2569">
        <f>SUM(Pre[[#This Row],[1]:[46]])</f>
        <v>0</v>
      </c>
    </row>
    <row r="2570" spans="1:53" x14ac:dyDescent="0.2">
      <c r="A2570" t="s">
        <v>60</v>
      </c>
      <c r="B2570" t="s">
        <v>54</v>
      </c>
      <c r="C2570">
        <v>12630</v>
      </c>
      <c r="D2570" t="s">
        <v>7</v>
      </c>
      <c r="E2570" t="s">
        <v>14</v>
      </c>
      <c r="F2570" t="s">
        <v>20</v>
      </c>
      <c r="M2570">
        <v>1</v>
      </c>
      <c r="W2570">
        <v>1</v>
      </c>
      <c r="AF2570">
        <v>1</v>
      </c>
      <c r="AX2570">
        <v>1</v>
      </c>
      <c r="BA2570">
        <f>SUM(Pre[[#This Row],[1]:[46]])</f>
        <v>4</v>
      </c>
    </row>
    <row r="2571" spans="1:53" x14ac:dyDescent="0.2">
      <c r="A2571" t="s">
        <v>60</v>
      </c>
      <c r="B2571" t="s">
        <v>54</v>
      </c>
      <c r="C2571">
        <v>33179</v>
      </c>
      <c r="D2571" t="s">
        <v>7</v>
      </c>
      <c r="E2571" t="s">
        <v>14</v>
      </c>
      <c r="F2571" t="s">
        <v>20</v>
      </c>
      <c r="K2571">
        <v>1</v>
      </c>
      <c r="AA2571">
        <v>1</v>
      </c>
      <c r="AM2571">
        <v>1</v>
      </c>
      <c r="AZ2571">
        <v>1</v>
      </c>
      <c r="BA2571">
        <f>SUM(Pre[[#This Row],[1]:[46]])</f>
        <v>4</v>
      </c>
    </row>
    <row r="2572" spans="1:53" x14ac:dyDescent="0.2">
      <c r="A2572" t="s">
        <v>60</v>
      </c>
      <c r="B2572" t="s">
        <v>54</v>
      </c>
      <c r="C2572">
        <v>32437</v>
      </c>
      <c r="D2572" t="s">
        <v>22</v>
      </c>
      <c r="E2572" t="s">
        <v>14</v>
      </c>
      <c r="F2572" t="s">
        <v>35</v>
      </c>
      <c r="G2572">
        <v>1</v>
      </c>
      <c r="AM2572">
        <v>1</v>
      </c>
      <c r="BA2572">
        <f>SUM(Pre[[#This Row],[1]:[46]])</f>
        <v>2</v>
      </c>
    </row>
    <row r="2573" spans="1:53" x14ac:dyDescent="0.2">
      <c r="A2573" t="s">
        <v>60</v>
      </c>
      <c r="B2573" t="s">
        <v>54</v>
      </c>
      <c r="C2573">
        <v>11975</v>
      </c>
      <c r="D2573" t="s">
        <v>7</v>
      </c>
      <c r="E2573" t="s">
        <v>14</v>
      </c>
      <c r="F2573" t="s">
        <v>15</v>
      </c>
      <c r="H2573">
        <v>1</v>
      </c>
      <c r="W2573">
        <v>1</v>
      </c>
      <c r="AN2573">
        <v>2</v>
      </c>
      <c r="BA2573">
        <f>SUM(Pre[[#This Row],[1]:[46]])</f>
        <v>4</v>
      </c>
    </row>
    <row r="2574" spans="1:53" x14ac:dyDescent="0.2">
      <c r="A2574" t="s">
        <v>60</v>
      </c>
      <c r="B2574" t="s">
        <v>54</v>
      </c>
      <c r="C2574">
        <v>6156</v>
      </c>
      <c r="D2574" t="s">
        <v>7</v>
      </c>
      <c r="E2574" t="s">
        <v>14</v>
      </c>
      <c r="F2574" t="s">
        <v>20</v>
      </c>
      <c r="I2574">
        <v>1</v>
      </c>
      <c r="P2574">
        <v>1</v>
      </c>
      <c r="W2574">
        <v>1</v>
      </c>
      <c r="AD2574">
        <v>1</v>
      </c>
      <c r="AN2574">
        <v>1</v>
      </c>
      <c r="AW2574">
        <v>1</v>
      </c>
      <c r="BA2574">
        <f>SUM(Pre[[#This Row],[1]:[46]])</f>
        <v>6</v>
      </c>
    </row>
    <row r="2575" spans="1:53" x14ac:dyDescent="0.2">
      <c r="A2575" t="s">
        <v>60</v>
      </c>
      <c r="B2575" t="s">
        <v>54</v>
      </c>
      <c r="C2575">
        <v>8946</v>
      </c>
      <c r="D2575" t="s">
        <v>7</v>
      </c>
      <c r="E2575" t="s">
        <v>14</v>
      </c>
      <c r="F2575" t="s">
        <v>20</v>
      </c>
      <c r="AD2575">
        <v>1</v>
      </c>
      <c r="BA2575">
        <f>SUM(Pre[[#This Row],[1]:[46]])</f>
        <v>1</v>
      </c>
    </row>
    <row r="2576" spans="1:53" x14ac:dyDescent="0.2">
      <c r="A2576" t="s">
        <v>60</v>
      </c>
      <c r="B2576" t="s">
        <v>54</v>
      </c>
      <c r="C2576">
        <v>11166</v>
      </c>
      <c r="D2576" t="s">
        <v>7</v>
      </c>
      <c r="E2576" t="s">
        <v>14</v>
      </c>
      <c r="F2576" t="s">
        <v>35</v>
      </c>
      <c r="S2576">
        <v>1</v>
      </c>
      <c r="AI2576">
        <v>1</v>
      </c>
      <c r="BA2576">
        <f>SUM(Pre[[#This Row],[1]:[46]])</f>
        <v>2</v>
      </c>
    </row>
    <row r="2577" spans="1:53" x14ac:dyDescent="0.2">
      <c r="A2577" t="s">
        <v>60</v>
      </c>
      <c r="B2577" t="s">
        <v>54</v>
      </c>
      <c r="C2577">
        <v>11166</v>
      </c>
      <c r="D2577" t="s">
        <v>7</v>
      </c>
      <c r="E2577" t="s">
        <v>14</v>
      </c>
      <c r="F2577" t="s">
        <v>15</v>
      </c>
      <c r="G2577">
        <v>3</v>
      </c>
      <c r="BA2577">
        <f>SUM(Pre[[#This Row],[1]:[46]])</f>
        <v>3</v>
      </c>
    </row>
    <row r="2578" spans="1:53" x14ac:dyDescent="0.2">
      <c r="A2578" t="s">
        <v>60</v>
      </c>
      <c r="B2578" t="s">
        <v>54</v>
      </c>
      <c r="C2578">
        <v>23749</v>
      </c>
      <c r="D2578" t="s">
        <v>7</v>
      </c>
      <c r="E2578" t="s">
        <v>14</v>
      </c>
      <c r="F2578" t="s">
        <v>20</v>
      </c>
      <c r="W2578">
        <v>1</v>
      </c>
      <c r="AK2578">
        <v>1</v>
      </c>
      <c r="AS2578">
        <v>1</v>
      </c>
      <c r="AY2578">
        <v>1</v>
      </c>
      <c r="BA2578">
        <f>SUM(Pre[[#This Row],[1]:[46]])</f>
        <v>4</v>
      </c>
    </row>
    <row r="2579" spans="1:53" x14ac:dyDescent="0.2">
      <c r="A2579" t="s">
        <v>60</v>
      </c>
      <c r="B2579" t="s">
        <v>54</v>
      </c>
      <c r="C2579">
        <v>66</v>
      </c>
      <c r="D2579" t="s">
        <v>22</v>
      </c>
      <c r="E2579" t="s">
        <v>10</v>
      </c>
      <c r="F2579" t="s">
        <v>11</v>
      </c>
      <c r="N2579">
        <v>1</v>
      </c>
      <c r="AE2579">
        <v>1</v>
      </c>
      <c r="BA2579">
        <f>SUM(Pre[[#This Row],[1]:[46]])</f>
        <v>2</v>
      </c>
    </row>
    <row r="2580" spans="1:53" x14ac:dyDescent="0.2">
      <c r="A2580" t="s">
        <v>60</v>
      </c>
      <c r="B2580" t="s">
        <v>54</v>
      </c>
      <c r="C2580">
        <v>66</v>
      </c>
      <c r="D2580" t="s">
        <v>22</v>
      </c>
      <c r="E2580" t="s">
        <v>14</v>
      </c>
      <c r="F2580" t="s">
        <v>35</v>
      </c>
      <c r="AU2580">
        <v>3</v>
      </c>
      <c r="AV2580">
        <v>2</v>
      </c>
      <c r="BA2580">
        <f>SUM(Pre[[#This Row],[1]:[46]])</f>
        <v>5</v>
      </c>
    </row>
    <row r="2581" spans="1:53" x14ac:dyDescent="0.2">
      <c r="A2581" t="s">
        <v>60</v>
      </c>
      <c r="B2581" t="s">
        <v>54</v>
      </c>
      <c r="C2581">
        <v>66</v>
      </c>
      <c r="D2581" t="s">
        <v>22</v>
      </c>
      <c r="E2581" t="s">
        <v>14</v>
      </c>
      <c r="F2581" t="s">
        <v>21</v>
      </c>
      <c r="AL2581">
        <v>1</v>
      </c>
      <c r="AN2581">
        <v>1</v>
      </c>
      <c r="BA2581">
        <f>SUM(Pre[[#This Row],[1]:[46]])</f>
        <v>2</v>
      </c>
    </row>
    <row r="2582" spans="1:53" x14ac:dyDescent="0.2">
      <c r="A2582" t="s">
        <v>60</v>
      </c>
      <c r="B2582" t="s">
        <v>54</v>
      </c>
      <c r="C2582">
        <v>11165</v>
      </c>
      <c r="D2582" t="s">
        <v>22</v>
      </c>
      <c r="E2582" t="s">
        <v>32</v>
      </c>
      <c r="F2582" t="s">
        <v>33</v>
      </c>
      <c r="J2582">
        <v>1</v>
      </c>
      <c r="N2582">
        <v>1</v>
      </c>
      <c r="R2582">
        <v>1</v>
      </c>
      <c r="S2582">
        <v>1</v>
      </c>
      <c r="AA2582">
        <v>1</v>
      </c>
      <c r="AF2582">
        <v>1</v>
      </c>
      <c r="AI2582">
        <v>1</v>
      </c>
      <c r="AM2582">
        <v>1</v>
      </c>
      <c r="AW2582">
        <v>1</v>
      </c>
      <c r="BA2582">
        <f>SUM(Pre[[#This Row],[1]:[46]])</f>
        <v>9</v>
      </c>
    </row>
    <row r="2583" spans="1:53" x14ac:dyDescent="0.2">
      <c r="A2583" t="s">
        <v>60</v>
      </c>
      <c r="B2583" t="s">
        <v>54</v>
      </c>
      <c r="C2583">
        <v>11165</v>
      </c>
      <c r="D2583" t="s">
        <v>22</v>
      </c>
      <c r="E2583" t="s">
        <v>14</v>
      </c>
      <c r="F2583" t="s">
        <v>35</v>
      </c>
      <c r="J2583">
        <v>1</v>
      </c>
      <c r="N2583">
        <v>1</v>
      </c>
      <c r="R2583">
        <v>2</v>
      </c>
      <c r="S2583">
        <v>1</v>
      </c>
      <c r="AA2583">
        <v>1</v>
      </c>
      <c r="AF2583">
        <v>2</v>
      </c>
      <c r="AI2583">
        <v>1</v>
      </c>
      <c r="AM2583">
        <v>1</v>
      </c>
      <c r="AW2583">
        <v>1</v>
      </c>
      <c r="BA2583">
        <f>SUM(Pre[[#This Row],[1]:[46]])</f>
        <v>11</v>
      </c>
    </row>
    <row r="2584" spans="1:53" x14ac:dyDescent="0.2">
      <c r="A2584" t="s">
        <v>60</v>
      </c>
      <c r="B2584" t="s">
        <v>54</v>
      </c>
      <c r="C2584">
        <v>2025</v>
      </c>
      <c r="D2584" t="s">
        <v>7</v>
      </c>
      <c r="E2584" t="s">
        <v>8</v>
      </c>
      <c r="F2584" t="s">
        <v>29</v>
      </c>
      <c r="M2584">
        <v>1</v>
      </c>
      <c r="Y2584">
        <v>1</v>
      </c>
      <c r="AM2584">
        <v>1</v>
      </c>
      <c r="AY2584">
        <v>1</v>
      </c>
      <c r="BA2584">
        <f>SUM(Pre[[#This Row],[1]:[46]])</f>
        <v>4</v>
      </c>
    </row>
    <row r="2585" spans="1:53" x14ac:dyDescent="0.2">
      <c r="A2585" t="s">
        <v>60</v>
      </c>
      <c r="B2585" t="s">
        <v>54</v>
      </c>
      <c r="C2585">
        <v>2025</v>
      </c>
      <c r="D2585" t="s">
        <v>7</v>
      </c>
      <c r="E2585" t="s">
        <v>26</v>
      </c>
      <c r="F2585" t="s">
        <v>27</v>
      </c>
      <c r="M2585">
        <v>1</v>
      </c>
      <c r="AB2585">
        <v>1</v>
      </c>
      <c r="AO2585">
        <v>2</v>
      </c>
      <c r="BA2585">
        <f>SUM(Pre[[#This Row],[1]:[46]])</f>
        <v>4</v>
      </c>
    </row>
    <row r="2586" spans="1:53" x14ac:dyDescent="0.2">
      <c r="A2586" t="s">
        <v>60</v>
      </c>
      <c r="B2586" t="s">
        <v>54</v>
      </c>
      <c r="C2586">
        <v>3525</v>
      </c>
      <c r="D2586" t="s">
        <v>7</v>
      </c>
      <c r="E2586" t="s">
        <v>8</v>
      </c>
      <c r="F2586" t="s">
        <v>23</v>
      </c>
      <c r="W2586">
        <v>1</v>
      </c>
      <c r="X2586">
        <v>1</v>
      </c>
      <c r="Y2586">
        <v>1</v>
      </c>
      <c r="AA2586">
        <v>2</v>
      </c>
      <c r="AC2586">
        <v>2</v>
      </c>
      <c r="AE2586">
        <v>2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f>SUM(Pre[[#This Row],[1]:[46]])</f>
        <v>30</v>
      </c>
    </row>
    <row r="2587" spans="1:53" x14ac:dyDescent="0.2">
      <c r="A2587" t="s">
        <v>60</v>
      </c>
      <c r="B2587" t="s">
        <v>54</v>
      </c>
      <c r="C2587">
        <v>4607</v>
      </c>
      <c r="D2587" t="s">
        <v>7</v>
      </c>
      <c r="E2587" t="s">
        <v>8</v>
      </c>
      <c r="F2587" t="s">
        <v>23</v>
      </c>
      <c r="T2587">
        <v>1</v>
      </c>
      <c r="AH2587">
        <v>1</v>
      </c>
      <c r="AW2587">
        <v>1</v>
      </c>
      <c r="BA2587">
        <f>SUM(Pre[[#This Row],[1]:[46]])</f>
        <v>3</v>
      </c>
    </row>
    <row r="2588" spans="1:53" x14ac:dyDescent="0.2">
      <c r="A2588" t="s">
        <v>60</v>
      </c>
      <c r="B2588" t="s">
        <v>54</v>
      </c>
      <c r="C2588">
        <v>4692</v>
      </c>
      <c r="D2588" t="s">
        <v>7</v>
      </c>
      <c r="E2588" t="s">
        <v>8</v>
      </c>
      <c r="F2588" t="s">
        <v>23</v>
      </c>
      <c r="N2588">
        <v>1</v>
      </c>
      <c r="AC2588">
        <v>1</v>
      </c>
      <c r="AQ2588">
        <v>1</v>
      </c>
      <c r="BA2588">
        <f>SUM(Pre[[#This Row],[1]:[46]])</f>
        <v>3</v>
      </c>
    </row>
    <row r="2589" spans="1:53" x14ac:dyDescent="0.2">
      <c r="A2589" t="s">
        <v>60</v>
      </c>
      <c r="B2589" t="s">
        <v>54</v>
      </c>
      <c r="C2589">
        <v>6513</v>
      </c>
      <c r="D2589" t="s">
        <v>7</v>
      </c>
      <c r="E2589" t="s">
        <v>37</v>
      </c>
      <c r="F2589" t="s">
        <v>55</v>
      </c>
      <c r="R2589">
        <v>1</v>
      </c>
      <c r="BA2589">
        <f>SUM(Pre[[#This Row],[1]:[46]])</f>
        <v>1</v>
      </c>
    </row>
    <row r="2590" spans="1:53" x14ac:dyDescent="0.2">
      <c r="A2590" t="s">
        <v>60</v>
      </c>
      <c r="B2590" t="s">
        <v>54</v>
      </c>
      <c r="C2590">
        <v>6513</v>
      </c>
      <c r="D2590" t="s">
        <v>7</v>
      </c>
      <c r="E2590" t="s">
        <v>37</v>
      </c>
      <c r="F2590" t="s">
        <v>39</v>
      </c>
      <c r="AC2590">
        <v>2</v>
      </c>
      <c r="AQ2590">
        <v>1</v>
      </c>
      <c r="BA2590">
        <f>SUM(Pre[[#This Row],[1]:[46]])</f>
        <v>3</v>
      </c>
    </row>
    <row r="2591" spans="1:53" x14ac:dyDescent="0.2">
      <c r="A2591" t="s">
        <v>60</v>
      </c>
      <c r="B2591" t="s">
        <v>54</v>
      </c>
      <c r="C2591">
        <v>7880</v>
      </c>
      <c r="D2591" t="s">
        <v>7</v>
      </c>
      <c r="E2591" t="s">
        <v>8</v>
      </c>
      <c r="F2591" t="s">
        <v>23</v>
      </c>
      <c r="H2591">
        <v>1</v>
      </c>
      <c r="O2591">
        <v>1</v>
      </c>
      <c r="AJ2591">
        <v>1</v>
      </c>
      <c r="BA2591">
        <f>SUM(Pre[[#This Row],[1]:[46]])</f>
        <v>3</v>
      </c>
    </row>
    <row r="2592" spans="1:53" x14ac:dyDescent="0.2">
      <c r="A2592" t="s">
        <v>60</v>
      </c>
      <c r="B2592" t="s">
        <v>54</v>
      </c>
      <c r="C2592">
        <v>7979</v>
      </c>
      <c r="D2592" t="s">
        <v>7</v>
      </c>
      <c r="E2592" t="s">
        <v>8</v>
      </c>
      <c r="F2592" t="s">
        <v>34</v>
      </c>
      <c r="G2592">
        <v>1</v>
      </c>
      <c r="U2592">
        <v>2</v>
      </c>
      <c r="AK2592">
        <v>1</v>
      </c>
      <c r="BA2592">
        <f>SUM(Pre[[#This Row],[1]:[46]])</f>
        <v>4</v>
      </c>
    </row>
    <row r="2593" spans="1:53" x14ac:dyDescent="0.2">
      <c r="A2593" t="s">
        <v>60</v>
      </c>
      <c r="B2593" t="s">
        <v>54</v>
      </c>
      <c r="C2593">
        <v>8846</v>
      </c>
      <c r="D2593" t="s">
        <v>7</v>
      </c>
      <c r="E2593" t="s">
        <v>8</v>
      </c>
      <c r="F2593" t="s">
        <v>23</v>
      </c>
      <c r="W2593">
        <v>1</v>
      </c>
      <c r="AI2593">
        <v>1</v>
      </c>
      <c r="AY2593">
        <v>1</v>
      </c>
      <c r="BA2593">
        <f>SUM(Pre[[#This Row],[1]:[46]])</f>
        <v>3</v>
      </c>
    </row>
    <row r="2594" spans="1:53" x14ac:dyDescent="0.2">
      <c r="A2594" t="s">
        <v>60</v>
      </c>
      <c r="B2594" t="s">
        <v>54</v>
      </c>
      <c r="C2594">
        <v>8846</v>
      </c>
      <c r="D2594" t="s">
        <v>7</v>
      </c>
      <c r="E2594" t="s">
        <v>8</v>
      </c>
      <c r="F2594" t="s">
        <v>9</v>
      </c>
      <c r="M2594">
        <v>1</v>
      </c>
      <c r="BA2594">
        <f>SUM(Pre[[#This Row],[1]:[46]])</f>
        <v>1</v>
      </c>
    </row>
    <row r="2595" spans="1:53" x14ac:dyDescent="0.2">
      <c r="A2595" t="s">
        <v>60</v>
      </c>
      <c r="B2595" t="s">
        <v>54</v>
      </c>
      <c r="C2595">
        <v>9363</v>
      </c>
      <c r="D2595" t="s">
        <v>7</v>
      </c>
      <c r="E2595" t="s">
        <v>8</v>
      </c>
      <c r="F2595" t="s">
        <v>23</v>
      </c>
      <c r="K2595">
        <v>1</v>
      </c>
      <c r="Y2595">
        <v>1</v>
      </c>
      <c r="AN2595">
        <v>1</v>
      </c>
      <c r="BA2595">
        <f>SUM(Pre[[#This Row],[1]:[46]])</f>
        <v>3</v>
      </c>
    </row>
    <row r="2596" spans="1:53" x14ac:dyDescent="0.2">
      <c r="A2596" t="s">
        <v>60</v>
      </c>
      <c r="B2596" t="s">
        <v>54</v>
      </c>
      <c r="C2596">
        <v>10544</v>
      </c>
      <c r="D2596" t="s">
        <v>7</v>
      </c>
      <c r="E2596" t="s">
        <v>8</v>
      </c>
      <c r="F2596" t="s">
        <v>23</v>
      </c>
      <c r="R2596">
        <v>1</v>
      </c>
      <c r="AF2596">
        <v>1</v>
      </c>
      <c r="AU2596">
        <v>1</v>
      </c>
      <c r="BA2596">
        <f>SUM(Pre[[#This Row],[1]:[46]])</f>
        <v>3</v>
      </c>
    </row>
    <row r="2597" spans="1:53" x14ac:dyDescent="0.2">
      <c r="A2597" t="s">
        <v>60</v>
      </c>
      <c r="B2597" t="s">
        <v>54</v>
      </c>
      <c r="C2597">
        <v>10573</v>
      </c>
      <c r="D2597" t="s">
        <v>7</v>
      </c>
      <c r="E2597" t="s">
        <v>8</v>
      </c>
      <c r="F2597" t="s">
        <v>23</v>
      </c>
      <c r="AG2597">
        <v>2</v>
      </c>
      <c r="AK2597">
        <v>1</v>
      </c>
      <c r="AX2597">
        <v>1</v>
      </c>
      <c r="BA2597">
        <f>SUM(Pre[[#This Row],[1]:[46]])</f>
        <v>4</v>
      </c>
    </row>
    <row r="2598" spans="1:53" x14ac:dyDescent="0.2">
      <c r="A2598" t="s">
        <v>60</v>
      </c>
      <c r="B2598" t="s">
        <v>54</v>
      </c>
      <c r="C2598">
        <v>10783</v>
      </c>
      <c r="D2598" t="s">
        <v>7</v>
      </c>
      <c r="E2598" t="s">
        <v>8</v>
      </c>
      <c r="F2598" t="s">
        <v>23</v>
      </c>
      <c r="AR2598">
        <v>2</v>
      </c>
      <c r="BA2598">
        <f>SUM(Pre[[#This Row],[1]:[46]])</f>
        <v>2</v>
      </c>
    </row>
    <row r="2599" spans="1:53" x14ac:dyDescent="0.2">
      <c r="A2599" t="s">
        <v>60</v>
      </c>
      <c r="B2599" t="s">
        <v>54</v>
      </c>
      <c r="C2599">
        <v>12099</v>
      </c>
      <c r="D2599" t="s">
        <v>7</v>
      </c>
      <c r="E2599" t="s">
        <v>26</v>
      </c>
      <c r="F2599" t="s">
        <v>27</v>
      </c>
      <c r="G2599">
        <v>1</v>
      </c>
      <c r="I2599">
        <v>1</v>
      </c>
      <c r="K2599">
        <v>1</v>
      </c>
      <c r="M2599">
        <v>1</v>
      </c>
      <c r="O2599">
        <v>1</v>
      </c>
      <c r="Q2599">
        <v>1</v>
      </c>
      <c r="S2599">
        <v>1</v>
      </c>
      <c r="U2599">
        <v>1</v>
      </c>
      <c r="W2599">
        <v>1</v>
      </c>
      <c r="Y2599">
        <v>1</v>
      </c>
      <c r="AA2599">
        <v>1</v>
      </c>
      <c r="AC2599">
        <v>1</v>
      </c>
      <c r="AE2599">
        <v>1</v>
      </c>
      <c r="AG2599">
        <v>1</v>
      </c>
      <c r="AJ2599">
        <v>1</v>
      </c>
      <c r="AK2599">
        <v>1</v>
      </c>
      <c r="AM2599">
        <v>1</v>
      </c>
      <c r="AO2599">
        <v>1</v>
      </c>
      <c r="AQ2599">
        <v>1</v>
      </c>
      <c r="AS2599">
        <v>1</v>
      </c>
      <c r="AU2599">
        <v>1</v>
      </c>
      <c r="AW2599">
        <v>1</v>
      </c>
      <c r="AY2599">
        <v>1</v>
      </c>
      <c r="BA2599">
        <f>SUM(Pre[[#This Row],[1]:[46]])</f>
        <v>23</v>
      </c>
    </row>
    <row r="2600" spans="1:53" x14ac:dyDescent="0.2">
      <c r="A2600" t="s">
        <v>60</v>
      </c>
      <c r="B2600" t="s">
        <v>54</v>
      </c>
      <c r="C2600">
        <v>13232</v>
      </c>
      <c r="D2600" t="s">
        <v>7</v>
      </c>
      <c r="E2600" t="s">
        <v>8</v>
      </c>
      <c r="F2600" t="s">
        <v>23</v>
      </c>
      <c r="G2600">
        <v>1</v>
      </c>
      <c r="V2600">
        <v>2</v>
      </c>
      <c r="AG2600">
        <v>1</v>
      </c>
      <c r="AW2600">
        <v>1</v>
      </c>
      <c r="BA2600">
        <f>SUM(Pre[[#This Row],[1]:[46]])</f>
        <v>5</v>
      </c>
    </row>
    <row r="2601" spans="1:53" x14ac:dyDescent="0.2">
      <c r="A2601" t="s">
        <v>60</v>
      </c>
      <c r="B2601" t="s">
        <v>54</v>
      </c>
      <c r="C2601">
        <v>16942</v>
      </c>
      <c r="D2601" t="s">
        <v>7</v>
      </c>
      <c r="E2601" t="s">
        <v>8</v>
      </c>
      <c r="F2601" t="s">
        <v>9</v>
      </c>
      <c r="V2601">
        <v>1</v>
      </c>
      <c r="AI2601">
        <v>1</v>
      </c>
      <c r="AZ2601">
        <v>1</v>
      </c>
      <c r="BA2601">
        <f>SUM(Pre[[#This Row],[1]:[46]])</f>
        <v>3</v>
      </c>
    </row>
    <row r="2602" spans="1:53" x14ac:dyDescent="0.2">
      <c r="A2602" t="s">
        <v>60</v>
      </c>
      <c r="B2602" t="s">
        <v>54</v>
      </c>
      <c r="C2602">
        <v>18252</v>
      </c>
      <c r="D2602" t="s">
        <v>7</v>
      </c>
      <c r="E2602" t="s">
        <v>8</v>
      </c>
      <c r="F2602" t="s">
        <v>23</v>
      </c>
      <c r="M2602">
        <v>1</v>
      </c>
      <c r="Z2602">
        <v>1</v>
      </c>
      <c r="AP2602">
        <v>1</v>
      </c>
      <c r="BA2602">
        <f>SUM(Pre[[#This Row],[1]:[46]])</f>
        <v>3</v>
      </c>
    </row>
    <row r="2603" spans="1:53" x14ac:dyDescent="0.2">
      <c r="A2603" t="s">
        <v>60</v>
      </c>
      <c r="B2603" t="s">
        <v>54</v>
      </c>
      <c r="C2603">
        <v>21703</v>
      </c>
      <c r="D2603" t="s">
        <v>7</v>
      </c>
      <c r="E2603" t="s">
        <v>8</v>
      </c>
      <c r="F2603" t="s">
        <v>29</v>
      </c>
      <c r="H2603">
        <v>1</v>
      </c>
      <c r="V2603">
        <v>1</v>
      </c>
      <c r="AC2603">
        <v>1</v>
      </c>
      <c r="AN2603">
        <v>1</v>
      </c>
      <c r="BA2603">
        <f>SUM(Pre[[#This Row],[1]:[46]])</f>
        <v>4</v>
      </c>
    </row>
    <row r="2604" spans="1:53" x14ac:dyDescent="0.2">
      <c r="A2604" t="s">
        <v>60</v>
      </c>
      <c r="B2604" t="s">
        <v>54</v>
      </c>
      <c r="C2604">
        <v>30756</v>
      </c>
      <c r="D2604" t="s">
        <v>7</v>
      </c>
      <c r="E2604" t="s">
        <v>8</v>
      </c>
      <c r="F2604" t="s">
        <v>23</v>
      </c>
      <c r="O2604">
        <v>1</v>
      </c>
      <c r="AD2604">
        <v>1</v>
      </c>
      <c r="AP2604">
        <v>1</v>
      </c>
      <c r="BA2604">
        <f>SUM(Pre[[#This Row],[1]:[46]])</f>
        <v>3</v>
      </c>
    </row>
    <row r="2605" spans="1:53" x14ac:dyDescent="0.2">
      <c r="A2605" t="s">
        <v>60</v>
      </c>
      <c r="B2605" t="s">
        <v>54</v>
      </c>
      <c r="C2605">
        <v>33179</v>
      </c>
      <c r="D2605" t="s">
        <v>7</v>
      </c>
      <c r="E2605" t="s">
        <v>8</v>
      </c>
      <c r="F2605" t="s">
        <v>23</v>
      </c>
      <c r="O2605">
        <v>1</v>
      </c>
      <c r="AE2605">
        <v>1</v>
      </c>
      <c r="AS2605">
        <v>1</v>
      </c>
      <c r="BA2605">
        <f>SUM(Pre[[#This Row],[1]:[46]])</f>
        <v>3</v>
      </c>
    </row>
    <row r="2606" spans="1:53" x14ac:dyDescent="0.2">
      <c r="A2606" t="s">
        <v>60</v>
      </c>
      <c r="B2606" t="s">
        <v>54</v>
      </c>
      <c r="C2606">
        <v>842</v>
      </c>
      <c r="D2606" t="s">
        <v>22</v>
      </c>
      <c r="E2606" t="s">
        <v>8</v>
      </c>
      <c r="F2606" t="s">
        <v>23</v>
      </c>
      <c r="P2606">
        <v>1</v>
      </c>
      <c r="Z2606">
        <v>1</v>
      </c>
      <c r="AS2606">
        <v>1</v>
      </c>
      <c r="BA2606">
        <f>SUM(Pre[[#This Row],[1]:[46]])</f>
        <v>3</v>
      </c>
    </row>
    <row r="2607" spans="1:53" x14ac:dyDescent="0.2">
      <c r="A2607" t="s">
        <v>60</v>
      </c>
      <c r="B2607" t="s">
        <v>54</v>
      </c>
      <c r="C2607">
        <v>5751</v>
      </c>
      <c r="D2607" t="s">
        <v>22</v>
      </c>
      <c r="E2607" t="s">
        <v>8</v>
      </c>
      <c r="F2607" t="s">
        <v>23</v>
      </c>
      <c r="AP2607">
        <v>1</v>
      </c>
      <c r="AW2607">
        <v>1</v>
      </c>
      <c r="BA2607">
        <f>SUM(Pre[[#This Row],[1]:[46]])</f>
        <v>2</v>
      </c>
    </row>
    <row r="2608" spans="1:53" x14ac:dyDescent="0.2">
      <c r="A2608" t="s">
        <v>60</v>
      </c>
      <c r="B2608" t="s">
        <v>54</v>
      </c>
      <c r="C2608">
        <v>7251</v>
      </c>
      <c r="D2608" t="s">
        <v>22</v>
      </c>
      <c r="E2608" t="s">
        <v>8</v>
      </c>
      <c r="F2608" t="s">
        <v>23</v>
      </c>
      <c r="K2608">
        <v>1</v>
      </c>
      <c r="O2608">
        <v>1</v>
      </c>
      <c r="S2608">
        <v>1</v>
      </c>
      <c r="W2608">
        <v>1</v>
      </c>
      <c r="AA2608">
        <v>1</v>
      </c>
      <c r="AE2608">
        <v>1</v>
      </c>
      <c r="AI2608">
        <v>1</v>
      </c>
      <c r="AM2608">
        <v>1</v>
      </c>
      <c r="AN2608">
        <v>1</v>
      </c>
      <c r="AQ2608">
        <v>1</v>
      </c>
      <c r="AU2608">
        <v>1</v>
      </c>
      <c r="AY2608">
        <v>1</v>
      </c>
      <c r="BA2608">
        <f>SUM(Pre[[#This Row],[1]:[46]])</f>
        <v>12</v>
      </c>
    </row>
    <row r="2609" spans="1:53" x14ac:dyDescent="0.2">
      <c r="A2609" t="s">
        <v>60</v>
      </c>
      <c r="B2609" t="s">
        <v>54</v>
      </c>
      <c r="C2609">
        <v>13714</v>
      </c>
      <c r="D2609" t="s">
        <v>22</v>
      </c>
      <c r="E2609" t="s">
        <v>8</v>
      </c>
      <c r="F2609" t="s">
        <v>9</v>
      </c>
      <c r="I2609">
        <v>1</v>
      </c>
      <c r="T2609">
        <v>1</v>
      </c>
      <c r="AH2609">
        <v>1</v>
      </c>
      <c r="AU2609">
        <v>1</v>
      </c>
      <c r="BA2609">
        <f>SUM(Pre[[#This Row],[1]:[46]])</f>
        <v>4</v>
      </c>
    </row>
    <row r="2610" spans="1:53" x14ac:dyDescent="0.2">
      <c r="A2610" t="s">
        <v>60</v>
      </c>
      <c r="B2610" t="s">
        <v>54</v>
      </c>
      <c r="C2610">
        <v>18940</v>
      </c>
      <c r="D2610" t="s">
        <v>22</v>
      </c>
      <c r="E2610" t="s">
        <v>8</v>
      </c>
      <c r="F2610" t="s">
        <v>23</v>
      </c>
      <c r="Y2610">
        <v>2</v>
      </c>
      <c r="AQ2610">
        <v>1</v>
      </c>
      <c r="BA2610">
        <f>SUM(Pre[[#This Row],[1]:[46]])</f>
        <v>3</v>
      </c>
    </row>
    <row r="2611" spans="1:53" x14ac:dyDescent="0.2">
      <c r="A2611" t="s">
        <v>60</v>
      </c>
      <c r="B2611" t="s">
        <v>54</v>
      </c>
      <c r="C2611">
        <v>1207</v>
      </c>
      <c r="D2611" t="s">
        <v>7</v>
      </c>
      <c r="E2611" t="s">
        <v>8</v>
      </c>
      <c r="F2611" t="s">
        <v>23</v>
      </c>
      <c r="Z2611">
        <v>1</v>
      </c>
      <c r="AP2611">
        <v>1</v>
      </c>
      <c r="BA2611">
        <f>SUM(Pre[[#This Row],[1]:[46]])</f>
        <v>2</v>
      </c>
    </row>
    <row r="2612" spans="1:53" x14ac:dyDescent="0.2">
      <c r="A2612" t="s">
        <v>60</v>
      </c>
      <c r="B2612" t="s">
        <v>54</v>
      </c>
      <c r="C2612">
        <v>10939</v>
      </c>
      <c r="D2612" t="s">
        <v>7</v>
      </c>
      <c r="E2612" t="s">
        <v>8</v>
      </c>
      <c r="F2612" t="s">
        <v>34</v>
      </c>
      <c r="H2612">
        <v>1</v>
      </c>
      <c r="AE2612">
        <v>1</v>
      </c>
      <c r="AT2612">
        <v>1</v>
      </c>
      <c r="BA2612">
        <f>SUM(Pre[[#This Row],[1]:[46]])</f>
        <v>3</v>
      </c>
    </row>
    <row r="2613" spans="1:53" x14ac:dyDescent="0.2">
      <c r="A2613" t="s">
        <v>60</v>
      </c>
      <c r="B2613" t="s">
        <v>54</v>
      </c>
      <c r="C2613">
        <v>17928</v>
      </c>
      <c r="D2613" t="s">
        <v>7</v>
      </c>
      <c r="E2613" t="s">
        <v>8</v>
      </c>
      <c r="F2613" t="s">
        <v>30</v>
      </c>
      <c r="G2613">
        <v>1</v>
      </c>
      <c r="L2613">
        <v>1</v>
      </c>
      <c r="P2613">
        <v>1</v>
      </c>
      <c r="T2613">
        <v>1</v>
      </c>
      <c r="X2613">
        <v>1</v>
      </c>
      <c r="AB2613">
        <v>1</v>
      </c>
      <c r="AD2613">
        <v>1</v>
      </c>
      <c r="BA2613">
        <f>SUM(Pre[[#This Row],[1]:[46]])</f>
        <v>7</v>
      </c>
    </row>
    <row r="2614" spans="1:53" x14ac:dyDescent="0.2">
      <c r="A2614" t="s">
        <v>60</v>
      </c>
      <c r="B2614" t="s">
        <v>54</v>
      </c>
      <c r="C2614">
        <v>30068</v>
      </c>
      <c r="D2614" t="s">
        <v>7</v>
      </c>
      <c r="E2614" t="s">
        <v>8</v>
      </c>
      <c r="F2614" t="s">
        <v>29</v>
      </c>
      <c r="I2614">
        <v>1</v>
      </c>
      <c r="Y2614">
        <v>1</v>
      </c>
      <c r="AM2614">
        <v>1</v>
      </c>
      <c r="BA2614">
        <f>SUM(Pre[[#This Row],[1]:[46]])</f>
        <v>3</v>
      </c>
    </row>
    <row r="2615" spans="1:53" x14ac:dyDescent="0.2">
      <c r="A2615" t="s">
        <v>60</v>
      </c>
      <c r="B2615" t="s">
        <v>54</v>
      </c>
      <c r="C2615">
        <v>791</v>
      </c>
      <c r="D2615" t="s">
        <v>22</v>
      </c>
      <c r="E2615" t="s">
        <v>8</v>
      </c>
      <c r="F2615" t="s">
        <v>9</v>
      </c>
      <c r="U2615">
        <v>1</v>
      </c>
      <c r="AX2615">
        <v>1</v>
      </c>
      <c r="BA2615">
        <f>SUM(Pre[[#This Row],[1]:[46]])</f>
        <v>2</v>
      </c>
    </row>
    <row r="2616" spans="1:53" x14ac:dyDescent="0.2">
      <c r="A2616" t="s">
        <v>61</v>
      </c>
      <c r="B2616" t="s">
        <v>54</v>
      </c>
      <c r="C2616">
        <v>2224</v>
      </c>
      <c r="D2616" t="s">
        <v>7</v>
      </c>
      <c r="E2616" t="s">
        <v>10</v>
      </c>
      <c r="F2616" t="s">
        <v>11</v>
      </c>
      <c r="X2616">
        <v>1</v>
      </c>
      <c r="BA2616">
        <f>SUM(Pre[[#This Row],[1]:[46]])</f>
        <v>1</v>
      </c>
    </row>
    <row r="2617" spans="1:53" x14ac:dyDescent="0.2">
      <c r="A2617" t="s">
        <v>61</v>
      </c>
      <c r="B2617" t="s">
        <v>54</v>
      </c>
      <c r="C2617">
        <v>2224</v>
      </c>
      <c r="D2617" t="s">
        <v>7</v>
      </c>
      <c r="E2617" t="s">
        <v>14</v>
      </c>
      <c r="F2617" t="s">
        <v>20</v>
      </c>
      <c r="X2617">
        <v>1</v>
      </c>
      <c r="BA2617">
        <f>SUM(Pre[[#This Row],[1]:[46]])</f>
        <v>1</v>
      </c>
    </row>
    <row r="2618" spans="1:53" x14ac:dyDescent="0.2">
      <c r="A2618" t="s">
        <v>61</v>
      </c>
      <c r="B2618" t="s">
        <v>54</v>
      </c>
      <c r="C2618">
        <v>3246</v>
      </c>
      <c r="D2618" t="s">
        <v>7</v>
      </c>
      <c r="E2618" t="s">
        <v>10</v>
      </c>
      <c r="F2618" t="s">
        <v>11</v>
      </c>
      <c r="X2618">
        <v>1</v>
      </c>
      <c r="AG2618">
        <v>1</v>
      </c>
      <c r="BA2618">
        <f>SUM(Pre[[#This Row],[1]:[46]])</f>
        <v>2</v>
      </c>
    </row>
    <row r="2619" spans="1:53" x14ac:dyDescent="0.2">
      <c r="A2619" t="s">
        <v>61</v>
      </c>
      <c r="B2619" t="s">
        <v>54</v>
      </c>
      <c r="C2619">
        <v>3342</v>
      </c>
      <c r="D2619" t="s">
        <v>7</v>
      </c>
      <c r="E2619" t="s">
        <v>10</v>
      </c>
      <c r="F2619" t="s">
        <v>11</v>
      </c>
      <c r="J2619">
        <v>1</v>
      </c>
      <c r="M2619">
        <v>1</v>
      </c>
      <c r="R2619">
        <v>1</v>
      </c>
      <c r="V2619">
        <v>1</v>
      </c>
      <c r="Z2619">
        <v>1</v>
      </c>
      <c r="AC2619">
        <v>1</v>
      </c>
      <c r="AG2619">
        <v>1</v>
      </c>
      <c r="AL2619">
        <v>1</v>
      </c>
      <c r="AP2619">
        <v>1</v>
      </c>
      <c r="AT2619">
        <v>1</v>
      </c>
      <c r="AX2619">
        <v>1</v>
      </c>
      <c r="BA2619">
        <f>SUM(Pre[[#This Row],[1]:[46]])</f>
        <v>11</v>
      </c>
    </row>
    <row r="2620" spans="1:53" x14ac:dyDescent="0.2">
      <c r="A2620" t="s">
        <v>61</v>
      </c>
      <c r="B2620" t="s">
        <v>54</v>
      </c>
      <c r="C2620">
        <v>3342</v>
      </c>
      <c r="D2620" t="s">
        <v>7</v>
      </c>
      <c r="E2620" t="s">
        <v>8</v>
      </c>
      <c r="F2620" t="s">
        <v>30</v>
      </c>
      <c r="J2620">
        <v>1</v>
      </c>
      <c r="M2620">
        <v>1</v>
      </c>
      <c r="R2620">
        <v>1</v>
      </c>
      <c r="V2620">
        <v>1</v>
      </c>
      <c r="Z2620">
        <v>1</v>
      </c>
      <c r="AC2620">
        <v>1</v>
      </c>
      <c r="AG2620">
        <v>1</v>
      </c>
      <c r="AL2620">
        <v>1</v>
      </c>
      <c r="AP2620">
        <v>1</v>
      </c>
      <c r="AT2620">
        <v>1</v>
      </c>
      <c r="AX2620">
        <v>1</v>
      </c>
      <c r="BA2620">
        <f>SUM(Pre[[#This Row],[1]:[46]])</f>
        <v>11</v>
      </c>
    </row>
    <row r="2621" spans="1:53" x14ac:dyDescent="0.2">
      <c r="A2621" t="s">
        <v>61</v>
      </c>
      <c r="B2621" t="s">
        <v>54</v>
      </c>
      <c r="C2621">
        <v>6168</v>
      </c>
      <c r="D2621" t="s">
        <v>7</v>
      </c>
      <c r="E2621" t="s">
        <v>8</v>
      </c>
      <c r="F2621" t="s">
        <v>23</v>
      </c>
      <c r="O2621">
        <v>1</v>
      </c>
      <c r="AB2621">
        <v>2</v>
      </c>
      <c r="AN2621">
        <v>2</v>
      </c>
      <c r="AZ2621">
        <v>2</v>
      </c>
      <c r="BA2621">
        <f>SUM(Pre[[#This Row],[1]:[46]])</f>
        <v>7</v>
      </c>
    </row>
    <row r="2622" spans="1:53" x14ac:dyDescent="0.2">
      <c r="A2622" t="s">
        <v>61</v>
      </c>
      <c r="B2622" t="s">
        <v>54</v>
      </c>
      <c r="C2622">
        <v>10436</v>
      </c>
      <c r="D2622" t="s">
        <v>7</v>
      </c>
      <c r="E2622" t="s">
        <v>10</v>
      </c>
      <c r="F2622" t="s">
        <v>11</v>
      </c>
      <c r="AE2622">
        <v>1</v>
      </c>
      <c r="BA2622">
        <f>SUM(Pre[[#This Row],[1]:[46]])</f>
        <v>1</v>
      </c>
    </row>
    <row r="2623" spans="1:53" x14ac:dyDescent="0.2">
      <c r="A2623" t="s">
        <v>61</v>
      </c>
      <c r="B2623" t="s">
        <v>54</v>
      </c>
      <c r="C2623">
        <v>12113</v>
      </c>
      <c r="D2623" t="s">
        <v>7</v>
      </c>
      <c r="E2623" t="s">
        <v>8</v>
      </c>
      <c r="F2623" t="s">
        <v>9</v>
      </c>
      <c r="V2623">
        <v>1</v>
      </c>
      <c r="AK2623">
        <v>1</v>
      </c>
      <c r="AV2623">
        <v>1</v>
      </c>
      <c r="BA2623">
        <f>SUM(Pre[[#This Row],[1]:[46]])</f>
        <v>3</v>
      </c>
    </row>
    <row r="2624" spans="1:53" x14ac:dyDescent="0.2">
      <c r="A2624" t="s">
        <v>61</v>
      </c>
      <c r="B2624" t="s">
        <v>54</v>
      </c>
      <c r="C2624">
        <v>15806</v>
      </c>
      <c r="D2624" t="s">
        <v>7</v>
      </c>
      <c r="E2624" t="s">
        <v>8</v>
      </c>
      <c r="F2624" t="s">
        <v>23</v>
      </c>
      <c r="N2624">
        <v>1</v>
      </c>
      <c r="AE2624">
        <v>1</v>
      </c>
      <c r="AQ2624">
        <v>1</v>
      </c>
      <c r="BA2624">
        <f>SUM(Pre[[#This Row],[1]:[46]])</f>
        <v>3</v>
      </c>
    </row>
    <row r="2625" spans="1:53" x14ac:dyDescent="0.2">
      <c r="A2625" t="s">
        <v>61</v>
      </c>
      <c r="B2625" t="s">
        <v>54</v>
      </c>
      <c r="C2625">
        <v>16770</v>
      </c>
      <c r="D2625" t="s">
        <v>7</v>
      </c>
      <c r="E2625" t="s">
        <v>14</v>
      </c>
      <c r="F2625" t="s">
        <v>35</v>
      </c>
      <c r="AO2625">
        <v>1</v>
      </c>
      <c r="BA2625">
        <f>SUM(Pre[[#This Row],[1]:[46]])</f>
        <v>1</v>
      </c>
    </row>
    <row r="2626" spans="1:53" x14ac:dyDescent="0.2">
      <c r="A2626" t="s">
        <v>61</v>
      </c>
      <c r="B2626" t="s">
        <v>54</v>
      </c>
      <c r="C2626">
        <v>16946</v>
      </c>
      <c r="D2626" t="s">
        <v>7</v>
      </c>
      <c r="E2626" t="s">
        <v>8</v>
      </c>
      <c r="F2626" t="s">
        <v>9</v>
      </c>
      <c r="BA2626">
        <f>SUM(Pre[[#This Row],[1]:[46]])</f>
        <v>0</v>
      </c>
    </row>
    <row r="2627" spans="1:53" x14ac:dyDescent="0.2">
      <c r="A2627" t="s">
        <v>61</v>
      </c>
      <c r="B2627" t="s">
        <v>54</v>
      </c>
      <c r="C2627">
        <v>1973</v>
      </c>
      <c r="D2627" t="s">
        <v>22</v>
      </c>
      <c r="E2627" t="s">
        <v>8</v>
      </c>
      <c r="F2627" t="s">
        <v>23</v>
      </c>
      <c r="N2627">
        <v>1</v>
      </c>
      <c r="R2627">
        <v>1</v>
      </c>
      <c r="V2627">
        <v>1</v>
      </c>
      <c r="AA2627">
        <v>1</v>
      </c>
      <c r="AN2627">
        <v>1</v>
      </c>
      <c r="AY2627">
        <v>1</v>
      </c>
      <c r="BA2627">
        <f>SUM(Pre[[#This Row],[1]:[46]])</f>
        <v>6</v>
      </c>
    </row>
    <row r="2628" spans="1:53" x14ac:dyDescent="0.2">
      <c r="A2628" t="s">
        <v>61</v>
      </c>
      <c r="B2628" t="s">
        <v>54</v>
      </c>
      <c r="C2628">
        <v>6572</v>
      </c>
      <c r="D2628" t="s">
        <v>22</v>
      </c>
      <c r="E2628" t="s">
        <v>10</v>
      </c>
      <c r="F2628" t="s">
        <v>11</v>
      </c>
      <c r="BA2628">
        <f>SUM(Pre[[#This Row],[1]:[46]])</f>
        <v>0</v>
      </c>
    </row>
    <row r="2629" spans="1:53" x14ac:dyDescent="0.2">
      <c r="A2629" t="s">
        <v>61</v>
      </c>
      <c r="B2629" t="s">
        <v>54</v>
      </c>
      <c r="C2629">
        <v>6572</v>
      </c>
      <c r="D2629" t="s">
        <v>22</v>
      </c>
      <c r="E2629" t="s">
        <v>14</v>
      </c>
      <c r="F2629" t="s">
        <v>31</v>
      </c>
      <c r="BA2629">
        <f>SUM(Pre[[#This Row],[1]:[46]])</f>
        <v>0</v>
      </c>
    </row>
    <row r="2630" spans="1:53" x14ac:dyDescent="0.2">
      <c r="A2630" t="s">
        <v>61</v>
      </c>
      <c r="B2630" t="s">
        <v>54</v>
      </c>
      <c r="C2630">
        <v>6964</v>
      </c>
      <c r="D2630" t="s">
        <v>22</v>
      </c>
      <c r="E2630" t="s">
        <v>8</v>
      </c>
      <c r="F2630" t="s">
        <v>23</v>
      </c>
      <c r="I2630">
        <v>1</v>
      </c>
      <c r="O2630">
        <v>1</v>
      </c>
      <c r="T2630">
        <v>1</v>
      </c>
      <c r="Z2630">
        <v>1</v>
      </c>
      <c r="AH2630">
        <v>1</v>
      </c>
      <c r="AL2630">
        <v>1</v>
      </c>
      <c r="AO2630">
        <v>1</v>
      </c>
      <c r="AV2630">
        <v>1</v>
      </c>
      <c r="BA2630">
        <f>SUM(Pre[[#This Row],[1]:[46]])</f>
        <v>8</v>
      </c>
    </row>
    <row r="2631" spans="1:53" x14ac:dyDescent="0.2">
      <c r="A2631" t="s">
        <v>61</v>
      </c>
      <c r="B2631" t="s">
        <v>54</v>
      </c>
      <c r="C2631">
        <v>7069</v>
      </c>
      <c r="D2631" t="s">
        <v>22</v>
      </c>
      <c r="E2631" t="s">
        <v>8</v>
      </c>
      <c r="F2631" t="s">
        <v>23</v>
      </c>
      <c r="O2631">
        <v>1</v>
      </c>
      <c r="AB2631">
        <v>1</v>
      </c>
      <c r="AZ2631">
        <v>1</v>
      </c>
      <c r="BA2631">
        <f>SUM(Pre[[#This Row],[1]:[46]])</f>
        <v>3</v>
      </c>
    </row>
    <row r="2632" spans="1:53" x14ac:dyDescent="0.2">
      <c r="A2632" t="s">
        <v>61</v>
      </c>
      <c r="B2632" t="s">
        <v>54</v>
      </c>
      <c r="C2632">
        <v>7642</v>
      </c>
      <c r="D2632" t="s">
        <v>22</v>
      </c>
      <c r="E2632" t="s">
        <v>14</v>
      </c>
      <c r="F2632" t="s">
        <v>21</v>
      </c>
      <c r="BA2632">
        <f>SUM(Pre[[#This Row],[1]:[46]])</f>
        <v>0</v>
      </c>
    </row>
    <row r="2633" spans="1:53" x14ac:dyDescent="0.2">
      <c r="A2633" t="s">
        <v>61</v>
      </c>
      <c r="B2633" t="s">
        <v>54</v>
      </c>
      <c r="C2633">
        <v>7972</v>
      </c>
      <c r="D2633" t="s">
        <v>22</v>
      </c>
      <c r="E2633" t="s">
        <v>8</v>
      </c>
      <c r="F2633" t="s">
        <v>23</v>
      </c>
      <c r="X2633">
        <v>1</v>
      </c>
      <c r="AK2633">
        <v>1</v>
      </c>
      <c r="AY2633">
        <v>1</v>
      </c>
      <c r="BA2633">
        <f>SUM(Pre[[#This Row],[1]:[46]])</f>
        <v>3</v>
      </c>
    </row>
    <row r="2634" spans="1:53" x14ac:dyDescent="0.2">
      <c r="A2634" t="s">
        <v>61</v>
      </c>
      <c r="B2634" t="s">
        <v>54</v>
      </c>
      <c r="C2634">
        <v>7972</v>
      </c>
      <c r="D2634" t="s">
        <v>22</v>
      </c>
      <c r="E2634" t="s">
        <v>8</v>
      </c>
      <c r="F2634" t="s">
        <v>9</v>
      </c>
      <c r="K2634">
        <v>2</v>
      </c>
      <c r="BA2634">
        <f>SUM(Pre[[#This Row],[1]:[46]])</f>
        <v>2</v>
      </c>
    </row>
    <row r="2635" spans="1:53" x14ac:dyDescent="0.2">
      <c r="A2635" t="s">
        <v>61</v>
      </c>
      <c r="B2635" t="s">
        <v>54</v>
      </c>
      <c r="C2635">
        <v>8430</v>
      </c>
      <c r="D2635" t="s">
        <v>22</v>
      </c>
      <c r="E2635" t="s">
        <v>8</v>
      </c>
      <c r="F2635" t="s">
        <v>29</v>
      </c>
      <c r="O2635">
        <v>1</v>
      </c>
      <c r="S2635">
        <v>1</v>
      </c>
      <c r="X2635">
        <v>1</v>
      </c>
      <c r="AC2635">
        <v>1</v>
      </c>
      <c r="AT2635">
        <v>1</v>
      </c>
      <c r="AY2635">
        <v>1</v>
      </c>
      <c r="BA2635">
        <f>SUM(Pre[[#This Row],[1]:[46]])</f>
        <v>6</v>
      </c>
    </row>
    <row r="2636" spans="1:53" x14ac:dyDescent="0.2">
      <c r="A2636" t="s">
        <v>61</v>
      </c>
      <c r="B2636" t="s">
        <v>54</v>
      </c>
      <c r="C2636">
        <v>8799</v>
      </c>
      <c r="D2636" t="s">
        <v>22</v>
      </c>
      <c r="E2636" t="s">
        <v>8</v>
      </c>
      <c r="F2636" t="s">
        <v>23</v>
      </c>
      <c r="H2636">
        <v>2</v>
      </c>
      <c r="V2636">
        <v>1</v>
      </c>
      <c r="AJ2636">
        <v>1</v>
      </c>
      <c r="AZ2636">
        <v>1</v>
      </c>
      <c r="BA2636">
        <f>SUM(Pre[[#This Row],[1]:[46]])</f>
        <v>5</v>
      </c>
    </row>
    <row r="2637" spans="1:53" x14ac:dyDescent="0.2">
      <c r="A2637" t="s">
        <v>61</v>
      </c>
      <c r="B2637" t="s">
        <v>54</v>
      </c>
      <c r="C2637">
        <v>9357</v>
      </c>
      <c r="D2637" t="s">
        <v>22</v>
      </c>
      <c r="E2637" t="s">
        <v>8</v>
      </c>
      <c r="F2637" t="s">
        <v>23</v>
      </c>
      <c r="H2637">
        <v>1</v>
      </c>
      <c r="M2637">
        <v>1</v>
      </c>
      <c r="Q2637">
        <v>1</v>
      </c>
      <c r="R2637">
        <v>1</v>
      </c>
      <c r="W2637">
        <v>1</v>
      </c>
      <c r="AB2637">
        <v>1</v>
      </c>
      <c r="AF2637">
        <v>1</v>
      </c>
      <c r="AU2637">
        <v>1</v>
      </c>
      <c r="AY2637">
        <v>1</v>
      </c>
      <c r="BA2637">
        <f>SUM(Pre[[#This Row],[1]:[46]])</f>
        <v>9</v>
      </c>
    </row>
    <row r="2638" spans="1:53" x14ac:dyDescent="0.2">
      <c r="A2638" t="s">
        <v>61</v>
      </c>
      <c r="B2638" t="s">
        <v>54</v>
      </c>
      <c r="C2638">
        <v>9767</v>
      </c>
      <c r="D2638" t="s">
        <v>22</v>
      </c>
      <c r="E2638" t="s">
        <v>8</v>
      </c>
      <c r="F2638" t="s">
        <v>23</v>
      </c>
      <c r="I2638">
        <v>1</v>
      </c>
      <c r="X2638">
        <v>1</v>
      </c>
      <c r="Y2638">
        <v>1</v>
      </c>
      <c r="AX2638">
        <v>1</v>
      </c>
      <c r="BA2638">
        <f>SUM(Pre[[#This Row],[1]:[46]])</f>
        <v>4</v>
      </c>
    </row>
    <row r="2639" spans="1:53" x14ac:dyDescent="0.2">
      <c r="A2639" t="s">
        <v>61</v>
      </c>
      <c r="B2639" t="s">
        <v>54</v>
      </c>
      <c r="C2639">
        <v>12112</v>
      </c>
      <c r="D2639" t="s">
        <v>22</v>
      </c>
      <c r="E2639" t="s">
        <v>8</v>
      </c>
      <c r="F2639" t="s">
        <v>9</v>
      </c>
      <c r="V2639">
        <v>1</v>
      </c>
      <c r="AK2639">
        <v>1</v>
      </c>
      <c r="AV2639">
        <v>1</v>
      </c>
      <c r="BA2639">
        <f>SUM(Pre[[#This Row],[1]:[46]])</f>
        <v>3</v>
      </c>
    </row>
    <row r="2640" spans="1:53" x14ac:dyDescent="0.2">
      <c r="A2640" t="s">
        <v>61</v>
      </c>
      <c r="B2640" t="s">
        <v>54</v>
      </c>
      <c r="C2640">
        <v>12209</v>
      </c>
      <c r="D2640" t="s">
        <v>22</v>
      </c>
      <c r="E2640" t="s">
        <v>8</v>
      </c>
      <c r="F2640" t="s">
        <v>9</v>
      </c>
      <c r="AB2640">
        <v>1</v>
      </c>
      <c r="AU2640">
        <v>1</v>
      </c>
      <c r="BA2640">
        <f>SUM(Pre[[#This Row],[1]:[46]])</f>
        <v>2</v>
      </c>
    </row>
    <row r="2641" spans="1:53" x14ac:dyDescent="0.2">
      <c r="A2641" t="s">
        <v>61</v>
      </c>
      <c r="B2641" t="s">
        <v>54</v>
      </c>
      <c r="C2641">
        <v>13027</v>
      </c>
      <c r="D2641" t="s">
        <v>22</v>
      </c>
      <c r="E2641" t="s">
        <v>8</v>
      </c>
      <c r="F2641" t="s">
        <v>23</v>
      </c>
      <c r="P2641">
        <v>2</v>
      </c>
      <c r="U2641">
        <v>1</v>
      </c>
      <c r="AL2641">
        <v>1</v>
      </c>
      <c r="BA2641">
        <f>SUM(Pre[[#This Row],[1]:[46]])</f>
        <v>4</v>
      </c>
    </row>
    <row r="2642" spans="1:53" x14ac:dyDescent="0.2">
      <c r="A2642" t="s">
        <v>61</v>
      </c>
      <c r="B2642" t="s">
        <v>54</v>
      </c>
      <c r="C2642">
        <v>13823</v>
      </c>
      <c r="D2642" t="s">
        <v>22</v>
      </c>
      <c r="E2642" t="s">
        <v>8</v>
      </c>
      <c r="F2642" t="s">
        <v>23</v>
      </c>
      <c r="AE2642">
        <v>1</v>
      </c>
      <c r="AH2642">
        <v>1</v>
      </c>
      <c r="AW2642">
        <v>2</v>
      </c>
      <c r="AX2642">
        <v>2</v>
      </c>
      <c r="BA2642">
        <f>SUM(Pre[[#This Row],[1]:[46]])</f>
        <v>6</v>
      </c>
    </row>
    <row r="2643" spans="1:53" x14ac:dyDescent="0.2">
      <c r="A2643" t="s">
        <v>61</v>
      </c>
      <c r="B2643" t="s">
        <v>54</v>
      </c>
      <c r="C2643">
        <v>13823</v>
      </c>
      <c r="D2643" t="s">
        <v>22</v>
      </c>
      <c r="E2643" t="s">
        <v>8</v>
      </c>
      <c r="F2643" t="s">
        <v>30</v>
      </c>
      <c r="BA2643">
        <f>SUM(Pre[[#This Row],[1]:[46]])</f>
        <v>0</v>
      </c>
    </row>
    <row r="2644" spans="1:53" x14ac:dyDescent="0.2">
      <c r="A2644" t="s">
        <v>61</v>
      </c>
      <c r="B2644" t="s">
        <v>54</v>
      </c>
      <c r="C2644">
        <v>13823</v>
      </c>
      <c r="D2644" t="s">
        <v>22</v>
      </c>
      <c r="E2644" t="s">
        <v>8</v>
      </c>
      <c r="F2644" t="s">
        <v>9</v>
      </c>
      <c r="N2644">
        <v>1</v>
      </c>
      <c r="AB2644">
        <v>1</v>
      </c>
      <c r="AG2644">
        <v>1</v>
      </c>
      <c r="AH2644">
        <v>1</v>
      </c>
      <c r="AI2644">
        <v>1</v>
      </c>
      <c r="AM2644">
        <v>1</v>
      </c>
      <c r="AW2644">
        <v>1</v>
      </c>
      <c r="BA2644">
        <f>SUM(Pre[[#This Row],[1]:[46]])</f>
        <v>7</v>
      </c>
    </row>
    <row r="2645" spans="1:53" x14ac:dyDescent="0.2">
      <c r="A2645" t="s">
        <v>61</v>
      </c>
      <c r="B2645" t="s">
        <v>54</v>
      </c>
      <c r="C2645">
        <v>13965</v>
      </c>
      <c r="D2645" t="s">
        <v>22</v>
      </c>
      <c r="E2645" t="s">
        <v>14</v>
      </c>
      <c r="F2645" t="s">
        <v>35</v>
      </c>
      <c r="Q2645">
        <v>1</v>
      </c>
      <c r="BA2645">
        <f>SUM(Pre[[#This Row],[1]:[46]])</f>
        <v>1</v>
      </c>
    </row>
    <row r="2646" spans="1:53" x14ac:dyDescent="0.2">
      <c r="A2646" t="s">
        <v>61</v>
      </c>
      <c r="B2646" t="s">
        <v>54</v>
      </c>
      <c r="C2646">
        <v>14834</v>
      </c>
      <c r="D2646" t="s">
        <v>22</v>
      </c>
      <c r="E2646" t="s">
        <v>8</v>
      </c>
      <c r="F2646" t="s">
        <v>29</v>
      </c>
      <c r="BA2646">
        <f>SUM(Pre[[#This Row],[1]:[46]])</f>
        <v>0</v>
      </c>
    </row>
    <row r="2647" spans="1:53" x14ac:dyDescent="0.2">
      <c r="A2647" t="s">
        <v>61</v>
      </c>
      <c r="B2647" t="s">
        <v>54</v>
      </c>
      <c r="C2647">
        <v>16780</v>
      </c>
      <c r="D2647" t="s">
        <v>22</v>
      </c>
      <c r="E2647" t="s">
        <v>10</v>
      </c>
      <c r="F2647" t="s">
        <v>11</v>
      </c>
      <c r="AZ2647">
        <v>1</v>
      </c>
      <c r="BA2647">
        <f>SUM(Pre[[#This Row],[1]:[46]])</f>
        <v>1</v>
      </c>
    </row>
    <row r="2648" spans="1:53" x14ac:dyDescent="0.2">
      <c r="A2648" t="s">
        <v>61</v>
      </c>
      <c r="B2648" t="s">
        <v>54</v>
      </c>
      <c r="C2648">
        <v>32776</v>
      </c>
      <c r="D2648" t="s">
        <v>22</v>
      </c>
      <c r="E2648" t="s">
        <v>8</v>
      </c>
      <c r="F2648" t="s">
        <v>9</v>
      </c>
      <c r="G2648">
        <v>1</v>
      </c>
      <c r="K2648">
        <v>1</v>
      </c>
      <c r="P2648">
        <v>1</v>
      </c>
      <c r="U2648">
        <v>1</v>
      </c>
      <c r="Z2648">
        <v>1</v>
      </c>
      <c r="AD2648">
        <v>1</v>
      </c>
      <c r="AH2648">
        <v>1</v>
      </c>
      <c r="AN2648">
        <v>1</v>
      </c>
      <c r="AR2648">
        <v>1</v>
      </c>
      <c r="AV2648">
        <v>1</v>
      </c>
      <c r="BA2648">
        <f>SUM(Pre[[#This Row],[1]:[46]])</f>
        <v>10</v>
      </c>
    </row>
    <row r="2649" spans="1:53" x14ac:dyDescent="0.2">
      <c r="A2649" t="s">
        <v>61</v>
      </c>
      <c r="B2649" t="s">
        <v>54</v>
      </c>
      <c r="C2649">
        <v>2399</v>
      </c>
      <c r="D2649" t="s">
        <v>7</v>
      </c>
      <c r="E2649" t="s">
        <v>10</v>
      </c>
      <c r="F2649" t="s">
        <v>11</v>
      </c>
      <c r="BA2649">
        <f>SUM(Pre[[#This Row],[1]:[46]])</f>
        <v>0</v>
      </c>
    </row>
    <row r="2650" spans="1:53" x14ac:dyDescent="0.2">
      <c r="A2650" t="s">
        <v>61</v>
      </c>
      <c r="B2650" t="s">
        <v>54</v>
      </c>
      <c r="C2650">
        <v>2776</v>
      </c>
      <c r="D2650" t="s">
        <v>7</v>
      </c>
      <c r="E2650" t="s">
        <v>8</v>
      </c>
      <c r="F2650" t="s">
        <v>23</v>
      </c>
      <c r="M2650">
        <v>1</v>
      </c>
      <c r="AC2650">
        <v>1</v>
      </c>
      <c r="AP2650">
        <v>1</v>
      </c>
      <c r="BA2650">
        <f>SUM(Pre[[#This Row],[1]:[46]])</f>
        <v>3</v>
      </c>
    </row>
    <row r="2651" spans="1:53" x14ac:dyDescent="0.2">
      <c r="A2651" t="s">
        <v>61</v>
      </c>
      <c r="B2651" t="s">
        <v>54</v>
      </c>
      <c r="C2651">
        <v>2817</v>
      </c>
      <c r="D2651" t="s">
        <v>7</v>
      </c>
      <c r="E2651" t="s">
        <v>10</v>
      </c>
      <c r="F2651" t="s">
        <v>11</v>
      </c>
      <c r="BA2651">
        <f>SUM(Pre[[#This Row],[1]:[46]])</f>
        <v>0</v>
      </c>
    </row>
    <row r="2652" spans="1:53" x14ac:dyDescent="0.2">
      <c r="A2652" t="s">
        <v>61</v>
      </c>
      <c r="B2652" t="s">
        <v>54</v>
      </c>
      <c r="C2652">
        <v>3278</v>
      </c>
      <c r="D2652" t="s">
        <v>7</v>
      </c>
      <c r="E2652" t="s">
        <v>8</v>
      </c>
      <c r="F2652" t="s">
        <v>23</v>
      </c>
      <c r="I2652">
        <v>1</v>
      </c>
      <c r="M2652">
        <v>1</v>
      </c>
      <c r="R2652">
        <v>1</v>
      </c>
      <c r="W2652">
        <v>1</v>
      </c>
      <c r="AA2652">
        <v>1</v>
      </c>
      <c r="AE2652">
        <v>1</v>
      </c>
      <c r="AJ2652">
        <v>1</v>
      </c>
      <c r="AN2652">
        <v>1</v>
      </c>
      <c r="AR2652">
        <v>1</v>
      </c>
      <c r="AW2652">
        <v>1</v>
      </c>
      <c r="BA2652">
        <f>SUM(Pre[[#This Row],[1]:[46]])</f>
        <v>10</v>
      </c>
    </row>
    <row r="2653" spans="1:53" x14ac:dyDescent="0.2">
      <c r="A2653" t="s">
        <v>61</v>
      </c>
      <c r="B2653" t="s">
        <v>54</v>
      </c>
      <c r="C2653">
        <v>3682</v>
      </c>
      <c r="D2653" t="s">
        <v>7</v>
      </c>
      <c r="E2653" t="s">
        <v>14</v>
      </c>
      <c r="F2653" t="s">
        <v>35</v>
      </c>
      <c r="P2653">
        <v>1</v>
      </c>
      <c r="Z2653">
        <v>1</v>
      </c>
      <c r="AG2653">
        <v>1</v>
      </c>
      <c r="AR2653">
        <v>1</v>
      </c>
      <c r="AW2653">
        <v>1</v>
      </c>
      <c r="AZ2653">
        <v>1</v>
      </c>
      <c r="BA2653">
        <f>SUM(Pre[[#This Row],[1]:[46]])</f>
        <v>6</v>
      </c>
    </row>
    <row r="2654" spans="1:53" x14ac:dyDescent="0.2">
      <c r="A2654" t="s">
        <v>61</v>
      </c>
      <c r="B2654" t="s">
        <v>54</v>
      </c>
      <c r="C2654">
        <v>3995</v>
      </c>
      <c r="D2654" t="s">
        <v>7</v>
      </c>
      <c r="E2654" t="s">
        <v>12</v>
      </c>
      <c r="F2654" t="s">
        <v>13</v>
      </c>
      <c r="BA2654">
        <f>SUM(Pre[[#This Row],[1]:[46]])</f>
        <v>0</v>
      </c>
    </row>
    <row r="2655" spans="1:53" x14ac:dyDescent="0.2">
      <c r="A2655" t="s">
        <v>61</v>
      </c>
      <c r="B2655" t="s">
        <v>54</v>
      </c>
      <c r="C2655">
        <v>4048</v>
      </c>
      <c r="D2655" t="s">
        <v>7</v>
      </c>
      <c r="E2655" t="s">
        <v>8</v>
      </c>
      <c r="F2655" t="s">
        <v>23</v>
      </c>
      <c r="U2655">
        <v>1</v>
      </c>
      <c r="AF2655">
        <v>1</v>
      </c>
      <c r="AU2655">
        <v>2</v>
      </c>
      <c r="BA2655">
        <f>SUM(Pre[[#This Row],[1]:[46]])</f>
        <v>4</v>
      </c>
    </row>
    <row r="2656" spans="1:53" x14ac:dyDescent="0.2">
      <c r="A2656" t="s">
        <v>61</v>
      </c>
      <c r="B2656" t="s">
        <v>54</v>
      </c>
      <c r="C2656">
        <v>5375</v>
      </c>
      <c r="D2656" t="s">
        <v>7</v>
      </c>
      <c r="E2656" t="s">
        <v>14</v>
      </c>
      <c r="F2656" t="s">
        <v>20</v>
      </c>
      <c r="H2656">
        <v>2</v>
      </c>
      <c r="U2656">
        <v>2</v>
      </c>
      <c r="AD2656">
        <v>1</v>
      </c>
      <c r="AI2656">
        <v>2</v>
      </c>
      <c r="AW2656">
        <v>1</v>
      </c>
      <c r="BA2656">
        <f>SUM(Pre[[#This Row],[1]:[46]])</f>
        <v>8</v>
      </c>
    </row>
    <row r="2657" spans="1:53" x14ac:dyDescent="0.2">
      <c r="A2657" t="s">
        <v>61</v>
      </c>
      <c r="B2657" t="s">
        <v>54</v>
      </c>
      <c r="C2657">
        <v>5583</v>
      </c>
      <c r="D2657" t="s">
        <v>7</v>
      </c>
      <c r="E2657" t="s">
        <v>10</v>
      </c>
      <c r="F2657" t="s">
        <v>11</v>
      </c>
      <c r="BA2657">
        <f>SUM(Pre[[#This Row],[1]:[46]])</f>
        <v>0</v>
      </c>
    </row>
    <row r="2658" spans="1:53" x14ac:dyDescent="0.2">
      <c r="A2658" t="s">
        <v>61</v>
      </c>
      <c r="B2658" t="s">
        <v>54</v>
      </c>
      <c r="C2658">
        <v>5583</v>
      </c>
      <c r="D2658" t="s">
        <v>7</v>
      </c>
      <c r="E2658" t="s">
        <v>14</v>
      </c>
      <c r="F2658" t="s">
        <v>35</v>
      </c>
      <c r="O2658">
        <v>1</v>
      </c>
      <c r="U2658">
        <v>1</v>
      </c>
      <c r="AL2658">
        <v>1</v>
      </c>
      <c r="AX2658">
        <v>1</v>
      </c>
      <c r="BA2658">
        <f>SUM(Pre[[#This Row],[1]:[46]])</f>
        <v>4</v>
      </c>
    </row>
    <row r="2659" spans="1:53" x14ac:dyDescent="0.2">
      <c r="A2659" t="s">
        <v>61</v>
      </c>
      <c r="B2659" t="s">
        <v>54</v>
      </c>
      <c r="C2659">
        <v>6164</v>
      </c>
      <c r="D2659" t="s">
        <v>7</v>
      </c>
      <c r="E2659" t="s">
        <v>8</v>
      </c>
      <c r="F2659" t="s">
        <v>23</v>
      </c>
      <c r="L2659">
        <v>1</v>
      </c>
      <c r="Z2659">
        <v>1</v>
      </c>
      <c r="AN2659">
        <v>1</v>
      </c>
      <c r="BA2659">
        <f>SUM(Pre[[#This Row],[1]:[46]])</f>
        <v>3</v>
      </c>
    </row>
    <row r="2660" spans="1:53" x14ac:dyDescent="0.2">
      <c r="A2660" t="s">
        <v>61</v>
      </c>
      <c r="B2660" t="s">
        <v>54</v>
      </c>
      <c r="C2660">
        <v>6353</v>
      </c>
      <c r="D2660" t="s">
        <v>7</v>
      </c>
      <c r="E2660" t="s">
        <v>14</v>
      </c>
      <c r="F2660" t="s">
        <v>35</v>
      </c>
      <c r="K2660">
        <v>1</v>
      </c>
      <c r="L2660">
        <v>1</v>
      </c>
      <c r="AA2660">
        <v>1</v>
      </c>
      <c r="AO2660">
        <v>1</v>
      </c>
      <c r="BA2660">
        <f>SUM(Pre[[#This Row],[1]:[46]])</f>
        <v>4</v>
      </c>
    </row>
    <row r="2661" spans="1:53" x14ac:dyDescent="0.2">
      <c r="A2661" t="s">
        <v>61</v>
      </c>
      <c r="B2661" t="s">
        <v>54</v>
      </c>
      <c r="C2661">
        <v>6737</v>
      </c>
      <c r="D2661" t="s">
        <v>7</v>
      </c>
      <c r="E2661" t="s">
        <v>14</v>
      </c>
      <c r="F2661" t="s">
        <v>35</v>
      </c>
      <c r="G2661">
        <v>1</v>
      </c>
      <c r="BA2661">
        <f>SUM(Pre[[#This Row],[1]:[46]])</f>
        <v>1</v>
      </c>
    </row>
    <row r="2662" spans="1:53" x14ac:dyDescent="0.2">
      <c r="A2662" t="s">
        <v>61</v>
      </c>
      <c r="B2662" t="s">
        <v>54</v>
      </c>
      <c r="C2662">
        <v>6737</v>
      </c>
      <c r="D2662" t="s">
        <v>7</v>
      </c>
      <c r="E2662" t="s">
        <v>14</v>
      </c>
      <c r="F2662" t="s">
        <v>21</v>
      </c>
      <c r="BA2662">
        <f>SUM(Pre[[#This Row],[1]:[46]])</f>
        <v>0</v>
      </c>
    </row>
    <row r="2663" spans="1:53" x14ac:dyDescent="0.2">
      <c r="A2663" t="s">
        <v>61</v>
      </c>
      <c r="B2663" t="s">
        <v>54</v>
      </c>
      <c r="C2663">
        <v>6887</v>
      </c>
      <c r="D2663" t="s">
        <v>7</v>
      </c>
      <c r="E2663" t="s">
        <v>14</v>
      </c>
      <c r="F2663" t="s">
        <v>35</v>
      </c>
      <c r="W2663">
        <v>1</v>
      </c>
      <c r="AA2663">
        <v>1</v>
      </c>
      <c r="AG2663">
        <v>1</v>
      </c>
      <c r="AL2663">
        <v>1</v>
      </c>
      <c r="AT2663">
        <v>1</v>
      </c>
      <c r="BA2663">
        <f>SUM(Pre[[#This Row],[1]:[46]])</f>
        <v>5</v>
      </c>
    </row>
    <row r="2664" spans="1:53" x14ac:dyDescent="0.2">
      <c r="A2664" t="s">
        <v>61</v>
      </c>
      <c r="B2664" t="s">
        <v>54</v>
      </c>
      <c r="C2664">
        <v>6973</v>
      </c>
      <c r="D2664" t="s">
        <v>7</v>
      </c>
      <c r="E2664" t="s">
        <v>14</v>
      </c>
      <c r="F2664" t="s">
        <v>21</v>
      </c>
      <c r="G2664">
        <v>1</v>
      </c>
      <c r="Q2664">
        <v>1</v>
      </c>
      <c r="T2664">
        <v>1</v>
      </c>
      <c r="Z2664">
        <v>1</v>
      </c>
      <c r="AD2664">
        <v>1</v>
      </c>
      <c r="AJ2664">
        <v>1</v>
      </c>
      <c r="AN2664">
        <v>1</v>
      </c>
      <c r="AT2664">
        <v>1</v>
      </c>
      <c r="AU2664">
        <v>1</v>
      </c>
      <c r="AW2664">
        <v>1</v>
      </c>
      <c r="BA2664">
        <f>SUM(Pre[[#This Row],[1]:[46]])</f>
        <v>10</v>
      </c>
    </row>
    <row r="2665" spans="1:53" x14ac:dyDescent="0.2">
      <c r="A2665" t="s">
        <v>61</v>
      </c>
      <c r="B2665" t="s">
        <v>54</v>
      </c>
      <c r="C2665">
        <v>7464</v>
      </c>
      <c r="D2665" t="s">
        <v>7</v>
      </c>
      <c r="E2665" t="s">
        <v>8</v>
      </c>
      <c r="F2665" t="s">
        <v>29</v>
      </c>
      <c r="L2665">
        <v>1</v>
      </c>
      <c r="Q2665">
        <v>1</v>
      </c>
      <c r="V2665">
        <v>1</v>
      </c>
      <c r="AA2665">
        <v>1</v>
      </c>
      <c r="AE2665">
        <v>1</v>
      </c>
      <c r="AI2665">
        <v>1</v>
      </c>
      <c r="AQ2665">
        <v>1</v>
      </c>
      <c r="BA2665">
        <f>SUM(Pre[[#This Row],[1]:[46]])</f>
        <v>7</v>
      </c>
    </row>
    <row r="2666" spans="1:53" x14ac:dyDescent="0.2">
      <c r="A2666" t="s">
        <v>61</v>
      </c>
      <c r="B2666" t="s">
        <v>54</v>
      </c>
      <c r="C2666">
        <v>7617</v>
      </c>
      <c r="D2666" t="s">
        <v>7</v>
      </c>
      <c r="E2666" t="s">
        <v>10</v>
      </c>
      <c r="F2666" t="s">
        <v>11</v>
      </c>
      <c r="BA2666">
        <f>SUM(Pre[[#This Row],[1]:[46]])</f>
        <v>0</v>
      </c>
    </row>
    <row r="2667" spans="1:53" x14ac:dyDescent="0.2">
      <c r="A2667" t="s">
        <v>61</v>
      </c>
      <c r="B2667" t="s">
        <v>54</v>
      </c>
      <c r="C2667">
        <v>7617</v>
      </c>
      <c r="D2667" t="s">
        <v>7</v>
      </c>
      <c r="E2667" t="s">
        <v>14</v>
      </c>
      <c r="F2667" t="s">
        <v>15</v>
      </c>
      <c r="G2667">
        <v>1</v>
      </c>
      <c r="V2667">
        <v>1</v>
      </c>
      <c r="AJ2667">
        <v>1</v>
      </c>
      <c r="AT2667">
        <v>1</v>
      </c>
      <c r="BA2667">
        <f>SUM(Pre[[#This Row],[1]:[46]])</f>
        <v>4</v>
      </c>
    </row>
    <row r="2668" spans="1:53" x14ac:dyDescent="0.2">
      <c r="A2668" t="s">
        <v>61</v>
      </c>
      <c r="B2668" t="s">
        <v>54</v>
      </c>
      <c r="C2668">
        <v>9768</v>
      </c>
      <c r="D2668" t="s">
        <v>7</v>
      </c>
      <c r="E2668" t="s">
        <v>10</v>
      </c>
      <c r="F2668" t="s">
        <v>11</v>
      </c>
      <c r="BA2668">
        <f>SUM(Pre[[#This Row],[1]:[46]])</f>
        <v>0</v>
      </c>
    </row>
    <row r="2669" spans="1:53" x14ac:dyDescent="0.2">
      <c r="A2669" t="s">
        <v>61</v>
      </c>
      <c r="B2669" t="s">
        <v>54</v>
      </c>
      <c r="C2669">
        <v>10601</v>
      </c>
      <c r="D2669" t="s">
        <v>7</v>
      </c>
      <c r="E2669" t="s">
        <v>8</v>
      </c>
      <c r="F2669" t="s">
        <v>23</v>
      </c>
      <c r="X2669">
        <v>1</v>
      </c>
      <c r="AJ2669">
        <v>1</v>
      </c>
      <c r="AY2669">
        <v>2</v>
      </c>
      <c r="BA2669">
        <f>SUM(Pre[[#This Row],[1]:[46]])</f>
        <v>4</v>
      </c>
    </row>
    <row r="2670" spans="1:53" x14ac:dyDescent="0.2">
      <c r="A2670" t="s">
        <v>61</v>
      </c>
      <c r="B2670" t="s">
        <v>54</v>
      </c>
      <c r="C2670">
        <v>10601</v>
      </c>
      <c r="D2670" t="s">
        <v>7</v>
      </c>
      <c r="E2670" t="s">
        <v>14</v>
      </c>
      <c r="F2670" t="s">
        <v>20</v>
      </c>
      <c r="M2670">
        <v>1</v>
      </c>
      <c r="AJ2670">
        <v>2</v>
      </c>
      <c r="AZ2670">
        <v>1</v>
      </c>
      <c r="BA2670">
        <f>SUM(Pre[[#This Row],[1]:[46]])</f>
        <v>4</v>
      </c>
    </row>
    <row r="2671" spans="1:53" x14ac:dyDescent="0.2">
      <c r="A2671" t="s">
        <v>61</v>
      </c>
      <c r="B2671" t="s">
        <v>54</v>
      </c>
      <c r="C2671">
        <v>10831</v>
      </c>
      <c r="D2671" t="s">
        <v>7</v>
      </c>
      <c r="E2671" t="s">
        <v>8</v>
      </c>
      <c r="F2671" t="s">
        <v>9</v>
      </c>
      <c r="AA2671">
        <v>1</v>
      </c>
      <c r="BA2671">
        <f>SUM(Pre[[#This Row],[1]:[46]])</f>
        <v>1</v>
      </c>
    </row>
    <row r="2672" spans="1:53" x14ac:dyDescent="0.2">
      <c r="A2672" t="s">
        <v>61</v>
      </c>
      <c r="B2672" t="s">
        <v>54</v>
      </c>
      <c r="C2672">
        <v>11780</v>
      </c>
      <c r="D2672" t="s">
        <v>7</v>
      </c>
      <c r="E2672" t="s">
        <v>14</v>
      </c>
      <c r="F2672" t="s">
        <v>35</v>
      </c>
      <c r="BA2672">
        <f>SUM(Pre[[#This Row],[1]:[46]])</f>
        <v>0</v>
      </c>
    </row>
    <row r="2673" spans="1:53" x14ac:dyDescent="0.2">
      <c r="A2673" t="s">
        <v>61</v>
      </c>
      <c r="B2673" t="s">
        <v>54</v>
      </c>
      <c r="C2673">
        <v>12523</v>
      </c>
      <c r="D2673" t="s">
        <v>7</v>
      </c>
      <c r="E2673" t="s">
        <v>14</v>
      </c>
      <c r="F2673" t="s">
        <v>19</v>
      </c>
      <c r="BA2673">
        <f>SUM(Pre[[#This Row],[1]:[46]])</f>
        <v>0</v>
      </c>
    </row>
    <row r="2674" spans="1:53" x14ac:dyDescent="0.2">
      <c r="A2674" t="s">
        <v>61</v>
      </c>
      <c r="B2674" t="s">
        <v>54</v>
      </c>
      <c r="C2674">
        <v>12523</v>
      </c>
      <c r="D2674" t="s">
        <v>7</v>
      </c>
      <c r="E2674" t="s">
        <v>14</v>
      </c>
      <c r="F2674" t="s">
        <v>20</v>
      </c>
      <c r="I2674">
        <v>1</v>
      </c>
      <c r="BA2674">
        <f>SUM(Pre[[#This Row],[1]:[46]])</f>
        <v>1</v>
      </c>
    </row>
    <row r="2675" spans="1:53" x14ac:dyDescent="0.2">
      <c r="A2675" t="s">
        <v>61</v>
      </c>
      <c r="B2675" t="s">
        <v>54</v>
      </c>
      <c r="C2675">
        <v>12719</v>
      </c>
      <c r="D2675" t="s">
        <v>7</v>
      </c>
      <c r="E2675" t="s">
        <v>14</v>
      </c>
      <c r="F2675" t="s">
        <v>20</v>
      </c>
      <c r="W2675">
        <v>1</v>
      </c>
      <c r="X2675">
        <v>1</v>
      </c>
      <c r="Z2675">
        <v>1</v>
      </c>
      <c r="AA2675">
        <v>1</v>
      </c>
      <c r="AF2675">
        <v>1</v>
      </c>
      <c r="AH2675">
        <v>1</v>
      </c>
      <c r="AI2675">
        <v>1</v>
      </c>
      <c r="AV2675">
        <v>1</v>
      </c>
      <c r="BA2675">
        <f>SUM(Pre[[#This Row],[1]:[46]])</f>
        <v>8</v>
      </c>
    </row>
    <row r="2676" spans="1:53" x14ac:dyDescent="0.2">
      <c r="A2676" t="s">
        <v>61</v>
      </c>
      <c r="B2676" t="s">
        <v>54</v>
      </c>
      <c r="C2676">
        <v>13280</v>
      </c>
      <c r="D2676" t="s">
        <v>7</v>
      </c>
      <c r="E2676" t="s">
        <v>14</v>
      </c>
      <c r="F2676" t="s">
        <v>35</v>
      </c>
      <c r="G2676">
        <v>1</v>
      </c>
      <c r="T2676">
        <v>1</v>
      </c>
      <c r="AF2676">
        <v>1</v>
      </c>
      <c r="AS2676">
        <v>1</v>
      </c>
      <c r="BA2676">
        <f>SUM(Pre[[#This Row],[1]:[46]])</f>
        <v>4</v>
      </c>
    </row>
    <row r="2677" spans="1:53" x14ac:dyDescent="0.2">
      <c r="A2677" t="s">
        <v>61</v>
      </c>
      <c r="B2677" t="s">
        <v>54</v>
      </c>
      <c r="C2677">
        <v>13713</v>
      </c>
      <c r="D2677" t="s">
        <v>7</v>
      </c>
      <c r="E2677" t="s">
        <v>8</v>
      </c>
      <c r="F2677" t="s">
        <v>23</v>
      </c>
      <c r="L2677">
        <v>1</v>
      </c>
      <c r="U2677">
        <v>1</v>
      </c>
      <c r="AJ2677">
        <v>1</v>
      </c>
      <c r="AX2677">
        <v>1</v>
      </c>
      <c r="BA2677">
        <f>SUM(Pre[[#This Row],[1]:[46]])</f>
        <v>4</v>
      </c>
    </row>
    <row r="2678" spans="1:53" x14ac:dyDescent="0.2">
      <c r="A2678" t="s">
        <v>61</v>
      </c>
      <c r="B2678" t="s">
        <v>54</v>
      </c>
      <c r="C2678">
        <v>13713</v>
      </c>
      <c r="D2678" t="s">
        <v>7</v>
      </c>
      <c r="E2678" t="s">
        <v>14</v>
      </c>
      <c r="F2678" t="s">
        <v>19</v>
      </c>
      <c r="AT2678">
        <v>1</v>
      </c>
      <c r="AX2678">
        <v>1</v>
      </c>
      <c r="BA2678">
        <f>SUM(Pre[[#This Row],[1]:[46]])</f>
        <v>2</v>
      </c>
    </row>
    <row r="2679" spans="1:53" x14ac:dyDescent="0.2">
      <c r="A2679" t="s">
        <v>61</v>
      </c>
      <c r="B2679" t="s">
        <v>54</v>
      </c>
      <c r="C2679">
        <v>13713</v>
      </c>
      <c r="D2679" t="s">
        <v>7</v>
      </c>
      <c r="E2679" t="s">
        <v>14</v>
      </c>
      <c r="F2679" t="s">
        <v>20</v>
      </c>
      <c r="U2679">
        <v>1</v>
      </c>
      <c r="AJ2679">
        <v>1</v>
      </c>
      <c r="BA2679">
        <f>SUM(Pre[[#This Row],[1]:[46]])</f>
        <v>2</v>
      </c>
    </row>
    <row r="2680" spans="1:53" x14ac:dyDescent="0.2">
      <c r="A2680" t="s">
        <v>61</v>
      </c>
      <c r="B2680" t="s">
        <v>54</v>
      </c>
      <c r="C2680">
        <v>14300</v>
      </c>
      <c r="D2680" t="s">
        <v>7</v>
      </c>
      <c r="E2680" t="s">
        <v>10</v>
      </c>
      <c r="F2680" t="s">
        <v>11</v>
      </c>
      <c r="BA2680">
        <f>SUM(Pre[[#This Row],[1]:[46]])</f>
        <v>0</v>
      </c>
    </row>
    <row r="2681" spans="1:53" x14ac:dyDescent="0.2">
      <c r="A2681" t="s">
        <v>61</v>
      </c>
      <c r="B2681" t="s">
        <v>54</v>
      </c>
      <c r="C2681">
        <v>14300</v>
      </c>
      <c r="D2681" t="s">
        <v>7</v>
      </c>
      <c r="E2681" t="s">
        <v>17</v>
      </c>
      <c r="F2681" t="s">
        <v>18</v>
      </c>
      <c r="J2681">
        <v>1</v>
      </c>
      <c r="V2681">
        <v>1</v>
      </c>
      <c r="W2681">
        <v>1</v>
      </c>
      <c r="AD2681">
        <v>1</v>
      </c>
      <c r="AN2681">
        <v>1</v>
      </c>
      <c r="AQ2681">
        <v>2</v>
      </c>
      <c r="BA2681">
        <f>SUM(Pre[[#This Row],[1]:[46]])</f>
        <v>7</v>
      </c>
    </row>
    <row r="2682" spans="1:53" x14ac:dyDescent="0.2">
      <c r="A2682" t="s">
        <v>61</v>
      </c>
      <c r="B2682" t="s">
        <v>54</v>
      </c>
      <c r="C2682">
        <v>14300</v>
      </c>
      <c r="D2682" t="s">
        <v>7</v>
      </c>
      <c r="E2682" t="s">
        <v>14</v>
      </c>
      <c r="F2682" t="s">
        <v>35</v>
      </c>
      <c r="AI2682">
        <v>1</v>
      </c>
      <c r="AQ2682">
        <v>1</v>
      </c>
      <c r="BA2682">
        <f>SUM(Pre[[#This Row],[1]:[46]])</f>
        <v>2</v>
      </c>
    </row>
    <row r="2683" spans="1:53" x14ac:dyDescent="0.2">
      <c r="A2683" t="s">
        <v>61</v>
      </c>
      <c r="B2683" t="s">
        <v>54</v>
      </c>
      <c r="C2683">
        <v>16313</v>
      </c>
      <c r="D2683" t="s">
        <v>7</v>
      </c>
      <c r="E2683" t="s">
        <v>8</v>
      </c>
      <c r="F2683" t="s">
        <v>23</v>
      </c>
      <c r="O2683">
        <v>1</v>
      </c>
      <c r="X2683">
        <v>1</v>
      </c>
      <c r="AM2683">
        <v>1</v>
      </c>
      <c r="AX2683">
        <v>1</v>
      </c>
      <c r="BA2683">
        <f>SUM(Pre[[#This Row],[1]:[46]])</f>
        <v>4</v>
      </c>
    </row>
    <row r="2684" spans="1:53" x14ac:dyDescent="0.2">
      <c r="A2684" t="s">
        <v>61</v>
      </c>
      <c r="B2684" t="s">
        <v>54</v>
      </c>
      <c r="C2684">
        <v>16570</v>
      </c>
      <c r="D2684" t="s">
        <v>7</v>
      </c>
      <c r="E2684" t="s">
        <v>14</v>
      </c>
      <c r="F2684" t="s">
        <v>35</v>
      </c>
      <c r="H2684">
        <v>1</v>
      </c>
      <c r="Q2684">
        <v>1</v>
      </c>
      <c r="T2684">
        <v>1</v>
      </c>
      <c r="AF2684">
        <v>1</v>
      </c>
      <c r="AN2684">
        <v>1</v>
      </c>
      <c r="AU2684">
        <v>2</v>
      </c>
      <c r="AW2684">
        <v>1</v>
      </c>
      <c r="AZ2684">
        <v>1</v>
      </c>
      <c r="BA2684">
        <f>SUM(Pre[[#This Row],[1]:[46]])</f>
        <v>9</v>
      </c>
    </row>
    <row r="2685" spans="1:53" x14ac:dyDescent="0.2">
      <c r="A2685" t="s">
        <v>61</v>
      </c>
      <c r="B2685" t="s">
        <v>54</v>
      </c>
      <c r="C2685">
        <v>16759</v>
      </c>
      <c r="D2685" t="s">
        <v>7</v>
      </c>
      <c r="E2685" t="s">
        <v>8</v>
      </c>
      <c r="F2685" t="s">
        <v>23</v>
      </c>
      <c r="P2685">
        <v>1</v>
      </c>
      <c r="W2685">
        <v>1</v>
      </c>
      <c r="AB2685">
        <v>1</v>
      </c>
      <c r="AG2685">
        <v>1</v>
      </c>
      <c r="AK2685">
        <v>1</v>
      </c>
      <c r="AQ2685">
        <v>1</v>
      </c>
      <c r="AV2685">
        <v>1</v>
      </c>
      <c r="BA2685">
        <f>SUM(Pre[[#This Row],[1]:[46]])</f>
        <v>7</v>
      </c>
    </row>
    <row r="2686" spans="1:53" x14ac:dyDescent="0.2">
      <c r="A2686" t="s">
        <v>61</v>
      </c>
      <c r="B2686" t="s">
        <v>54</v>
      </c>
      <c r="C2686">
        <v>16827</v>
      </c>
      <c r="D2686" t="s">
        <v>7</v>
      </c>
      <c r="E2686" t="s">
        <v>17</v>
      </c>
      <c r="F2686" t="s">
        <v>18</v>
      </c>
      <c r="BA2686">
        <f>SUM(Pre[[#This Row],[1]:[46]])</f>
        <v>0</v>
      </c>
    </row>
    <row r="2687" spans="1:53" x14ac:dyDescent="0.2">
      <c r="A2687" t="s">
        <v>61</v>
      </c>
      <c r="B2687" t="s">
        <v>54</v>
      </c>
      <c r="C2687">
        <v>16827</v>
      </c>
      <c r="D2687" t="s">
        <v>7</v>
      </c>
      <c r="E2687" t="s">
        <v>14</v>
      </c>
      <c r="F2687" t="s">
        <v>35</v>
      </c>
      <c r="AP2687">
        <v>1</v>
      </c>
      <c r="BA2687">
        <f>SUM(Pre[[#This Row],[1]:[46]])</f>
        <v>1</v>
      </c>
    </row>
    <row r="2688" spans="1:53" x14ac:dyDescent="0.2">
      <c r="A2688" t="s">
        <v>61</v>
      </c>
      <c r="B2688" t="s">
        <v>54</v>
      </c>
      <c r="C2688">
        <v>16924</v>
      </c>
      <c r="D2688" t="s">
        <v>7</v>
      </c>
      <c r="E2688" t="s">
        <v>14</v>
      </c>
      <c r="F2688" t="s">
        <v>20</v>
      </c>
      <c r="AM2688">
        <v>1</v>
      </c>
      <c r="BA2688">
        <f>SUM(Pre[[#This Row],[1]:[46]])</f>
        <v>1</v>
      </c>
    </row>
    <row r="2689" spans="1:53" x14ac:dyDescent="0.2">
      <c r="A2689" t="s">
        <v>61</v>
      </c>
      <c r="B2689" t="s">
        <v>54</v>
      </c>
      <c r="C2689">
        <v>17333</v>
      </c>
      <c r="D2689" t="s">
        <v>7</v>
      </c>
      <c r="E2689" t="s">
        <v>14</v>
      </c>
      <c r="F2689" t="s">
        <v>20</v>
      </c>
      <c r="BA2689">
        <f>SUM(Pre[[#This Row],[1]:[46]])</f>
        <v>0</v>
      </c>
    </row>
    <row r="2690" spans="1:53" x14ac:dyDescent="0.2">
      <c r="A2690" t="s">
        <v>61</v>
      </c>
      <c r="B2690" t="s">
        <v>54</v>
      </c>
      <c r="C2690">
        <v>18696</v>
      </c>
      <c r="D2690" t="s">
        <v>7</v>
      </c>
      <c r="E2690" t="s">
        <v>8</v>
      </c>
      <c r="F2690" t="s">
        <v>23</v>
      </c>
      <c r="AX2690">
        <v>1</v>
      </c>
      <c r="BA2690">
        <f>SUM(Pre[[#This Row],[1]:[46]])</f>
        <v>1</v>
      </c>
    </row>
    <row r="2691" spans="1:53" x14ac:dyDescent="0.2">
      <c r="A2691" t="s">
        <v>61</v>
      </c>
      <c r="B2691" t="s">
        <v>54</v>
      </c>
      <c r="C2691">
        <v>20038</v>
      </c>
      <c r="D2691" t="s">
        <v>7</v>
      </c>
      <c r="E2691" t="s">
        <v>8</v>
      </c>
      <c r="F2691" t="s">
        <v>23</v>
      </c>
      <c r="J2691">
        <v>1</v>
      </c>
      <c r="BA2691">
        <f>SUM(Pre[[#This Row],[1]:[46]])</f>
        <v>1</v>
      </c>
    </row>
    <row r="2692" spans="1:53" x14ac:dyDescent="0.2">
      <c r="A2692" t="s">
        <v>61</v>
      </c>
      <c r="B2692" t="s">
        <v>54</v>
      </c>
      <c r="C2692">
        <v>20038</v>
      </c>
      <c r="D2692" t="s">
        <v>7</v>
      </c>
      <c r="E2692" t="s">
        <v>8</v>
      </c>
      <c r="F2692" t="s">
        <v>9</v>
      </c>
      <c r="U2692">
        <v>1</v>
      </c>
      <c r="AN2692">
        <v>1</v>
      </c>
      <c r="BA2692">
        <f>SUM(Pre[[#This Row],[1]:[46]])</f>
        <v>2</v>
      </c>
    </row>
    <row r="2693" spans="1:53" x14ac:dyDescent="0.2">
      <c r="A2693" t="s">
        <v>61</v>
      </c>
      <c r="B2693" t="s">
        <v>54</v>
      </c>
      <c r="C2693">
        <v>20038</v>
      </c>
      <c r="D2693" t="s">
        <v>7</v>
      </c>
      <c r="E2693" t="s">
        <v>14</v>
      </c>
      <c r="F2693" t="s">
        <v>35</v>
      </c>
      <c r="AE2693">
        <v>1</v>
      </c>
      <c r="BA2693">
        <f>SUM(Pre[[#This Row],[1]:[46]])</f>
        <v>1</v>
      </c>
    </row>
    <row r="2694" spans="1:53" x14ac:dyDescent="0.2">
      <c r="A2694" t="s">
        <v>61</v>
      </c>
      <c r="B2694" t="s">
        <v>54</v>
      </c>
      <c r="C2694">
        <v>20038</v>
      </c>
      <c r="D2694" t="s">
        <v>7</v>
      </c>
      <c r="E2694" t="s">
        <v>14</v>
      </c>
      <c r="F2694" t="s">
        <v>20</v>
      </c>
      <c r="J2694">
        <v>1</v>
      </c>
      <c r="N2694">
        <v>1</v>
      </c>
      <c r="AN2694">
        <v>3</v>
      </c>
      <c r="BA2694">
        <f>SUM(Pre[[#This Row],[1]:[46]])</f>
        <v>5</v>
      </c>
    </row>
    <row r="2695" spans="1:53" x14ac:dyDescent="0.2">
      <c r="A2695" t="s">
        <v>61</v>
      </c>
      <c r="B2695" t="s">
        <v>54</v>
      </c>
      <c r="C2695">
        <v>22088</v>
      </c>
      <c r="D2695" t="s">
        <v>7</v>
      </c>
      <c r="E2695" t="s">
        <v>12</v>
      </c>
      <c r="F2695" t="s">
        <v>13</v>
      </c>
      <c r="BA2695">
        <f>SUM(Pre[[#This Row],[1]:[46]])</f>
        <v>0</v>
      </c>
    </row>
    <row r="2696" spans="1:53" x14ac:dyDescent="0.2">
      <c r="A2696" t="s">
        <v>61</v>
      </c>
      <c r="B2696" t="s">
        <v>54</v>
      </c>
      <c r="C2696">
        <v>29152</v>
      </c>
      <c r="D2696" t="s">
        <v>7</v>
      </c>
      <c r="E2696" t="s">
        <v>37</v>
      </c>
      <c r="F2696" t="s">
        <v>43</v>
      </c>
      <c r="AN2696">
        <v>1</v>
      </c>
      <c r="BA2696">
        <f>SUM(Pre[[#This Row],[1]:[46]])</f>
        <v>1</v>
      </c>
    </row>
    <row r="2697" spans="1:53" x14ac:dyDescent="0.2">
      <c r="A2697" t="s">
        <v>61</v>
      </c>
      <c r="B2697" t="s">
        <v>54</v>
      </c>
      <c r="C2697">
        <v>29152</v>
      </c>
      <c r="D2697" t="s">
        <v>7</v>
      </c>
      <c r="E2697" t="s">
        <v>10</v>
      </c>
      <c r="F2697" t="s">
        <v>11</v>
      </c>
      <c r="K2697">
        <v>1</v>
      </c>
      <c r="BA2697">
        <f>SUM(Pre[[#This Row],[1]:[46]])</f>
        <v>1</v>
      </c>
    </row>
    <row r="2698" spans="1:53" x14ac:dyDescent="0.2">
      <c r="A2698" t="s">
        <v>61</v>
      </c>
      <c r="B2698" t="s">
        <v>54</v>
      </c>
      <c r="C2698">
        <v>29152</v>
      </c>
      <c r="D2698" t="s">
        <v>7</v>
      </c>
      <c r="E2698" t="s">
        <v>8</v>
      </c>
      <c r="F2698" t="s">
        <v>9</v>
      </c>
      <c r="AN2698">
        <v>1</v>
      </c>
      <c r="BA2698">
        <f>SUM(Pre[[#This Row],[1]:[46]])</f>
        <v>1</v>
      </c>
    </row>
    <row r="2699" spans="1:53" x14ac:dyDescent="0.2">
      <c r="A2699" t="s">
        <v>61</v>
      </c>
      <c r="B2699" t="s">
        <v>54</v>
      </c>
      <c r="C2699">
        <v>29152</v>
      </c>
      <c r="D2699" t="s">
        <v>7</v>
      </c>
      <c r="E2699" t="s">
        <v>14</v>
      </c>
      <c r="F2699" t="s">
        <v>35</v>
      </c>
      <c r="AE2699">
        <v>1</v>
      </c>
      <c r="BA2699">
        <f>SUM(Pre[[#This Row],[1]:[46]])</f>
        <v>1</v>
      </c>
    </row>
    <row r="2700" spans="1:53" x14ac:dyDescent="0.2">
      <c r="A2700" t="s">
        <v>61</v>
      </c>
      <c r="B2700" t="s">
        <v>54</v>
      </c>
      <c r="C2700">
        <v>29746</v>
      </c>
      <c r="D2700" t="s">
        <v>7</v>
      </c>
      <c r="E2700" t="s">
        <v>14</v>
      </c>
      <c r="F2700" t="s">
        <v>20</v>
      </c>
      <c r="P2700">
        <v>1</v>
      </c>
      <c r="AK2700">
        <v>2</v>
      </c>
      <c r="BA2700">
        <f>SUM(Pre[[#This Row],[1]:[46]])</f>
        <v>3</v>
      </c>
    </row>
    <row r="2701" spans="1:53" x14ac:dyDescent="0.2">
      <c r="A2701" t="s">
        <v>61</v>
      </c>
      <c r="B2701" t="s">
        <v>54</v>
      </c>
      <c r="C2701">
        <v>263</v>
      </c>
      <c r="D2701" t="s">
        <v>22</v>
      </c>
      <c r="E2701" t="s">
        <v>14</v>
      </c>
      <c r="F2701" t="s">
        <v>20</v>
      </c>
      <c r="T2701">
        <v>1</v>
      </c>
      <c r="AI2701">
        <v>1</v>
      </c>
      <c r="AU2701">
        <v>1</v>
      </c>
      <c r="BA2701">
        <f>SUM(Pre[[#This Row],[1]:[46]])</f>
        <v>3</v>
      </c>
    </row>
    <row r="2702" spans="1:53" x14ac:dyDescent="0.2">
      <c r="A2702" t="s">
        <v>61</v>
      </c>
      <c r="B2702" t="s">
        <v>54</v>
      </c>
      <c r="C2702">
        <v>1022</v>
      </c>
      <c r="D2702" t="s">
        <v>22</v>
      </c>
      <c r="E2702" t="s">
        <v>10</v>
      </c>
      <c r="F2702" t="s">
        <v>11</v>
      </c>
      <c r="W2702">
        <v>1</v>
      </c>
      <c r="AD2702">
        <v>1</v>
      </c>
      <c r="AK2702">
        <v>1</v>
      </c>
      <c r="BA2702">
        <f>SUM(Pre[[#This Row],[1]:[46]])</f>
        <v>3</v>
      </c>
    </row>
    <row r="2703" spans="1:53" x14ac:dyDescent="0.2">
      <c r="A2703" t="s">
        <v>61</v>
      </c>
      <c r="B2703" t="s">
        <v>54</v>
      </c>
      <c r="C2703">
        <v>1924</v>
      </c>
      <c r="D2703" t="s">
        <v>22</v>
      </c>
      <c r="E2703" t="s">
        <v>10</v>
      </c>
      <c r="F2703" t="s">
        <v>11</v>
      </c>
      <c r="R2703">
        <v>1</v>
      </c>
      <c r="BA2703">
        <f>SUM(Pre[[#This Row],[1]:[46]])</f>
        <v>1</v>
      </c>
    </row>
    <row r="2704" spans="1:53" x14ac:dyDescent="0.2">
      <c r="A2704" t="s">
        <v>61</v>
      </c>
      <c r="B2704" t="s">
        <v>54</v>
      </c>
      <c r="C2704">
        <v>1924</v>
      </c>
      <c r="D2704" t="s">
        <v>22</v>
      </c>
      <c r="E2704" t="s">
        <v>14</v>
      </c>
      <c r="F2704" t="s">
        <v>21</v>
      </c>
      <c r="AC2704">
        <v>2</v>
      </c>
      <c r="AE2704">
        <v>1</v>
      </c>
      <c r="AI2704">
        <v>1</v>
      </c>
      <c r="AL2704">
        <v>1</v>
      </c>
      <c r="AP2704">
        <v>1</v>
      </c>
      <c r="AT2704">
        <v>1</v>
      </c>
      <c r="BA2704">
        <f>SUM(Pre[[#This Row],[1]:[46]])</f>
        <v>7</v>
      </c>
    </row>
    <row r="2705" spans="1:53" x14ac:dyDescent="0.2">
      <c r="A2705" t="s">
        <v>61</v>
      </c>
      <c r="B2705" t="s">
        <v>54</v>
      </c>
      <c r="C2705">
        <v>2160</v>
      </c>
      <c r="D2705" t="s">
        <v>22</v>
      </c>
      <c r="E2705" t="s">
        <v>37</v>
      </c>
      <c r="F2705" t="s">
        <v>38</v>
      </c>
      <c r="G2705">
        <v>1</v>
      </c>
      <c r="O2705">
        <v>1</v>
      </c>
      <c r="V2705">
        <v>1</v>
      </c>
      <c r="AA2705">
        <v>1</v>
      </c>
      <c r="AJ2705">
        <v>1</v>
      </c>
      <c r="AX2705">
        <v>1</v>
      </c>
      <c r="BA2705">
        <f>SUM(Pre[[#This Row],[1]:[46]])</f>
        <v>6</v>
      </c>
    </row>
    <row r="2706" spans="1:53" x14ac:dyDescent="0.2">
      <c r="A2706" t="s">
        <v>61</v>
      </c>
      <c r="B2706" t="s">
        <v>54</v>
      </c>
      <c r="C2706">
        <v>2989</v>
      </c>
      <c r="D2706" t="s">
        <v>22</v>
      </c>
      <c r="E2706" t="s">
        <v>14</v>
      </c>
      <c r="F2706" t="s">
        <v>20</v>
      </c>
      <c r="Q2706">
        <v>2</v>
      </c>
      <c r="U2706">
        <v>1</v>
      </c>
      <c r="AA2706">
        <v>1</v>
      </c>
      <c r="BA2706">
        <f>SUM(Pre[[#This Row],[1]:[46]])</f>
        <v>4</v>
      </c>
    </row>
    <row r="2707" spans="1:53" x14ac:dyDescent="0.2">
      <c r="A2707" t="s">
        <v>61</v>
      </c>
      <c r="B2707" t="s">
        <v>54</v>
      </c>
      <c r="C2707">
        <v>3345</v>
      </c>
      <c r="D2707" t="s">
        <v>22</v>
      </c>
      <c r="E2707" t="s">
        <v>14</v>
      </c>
      <c r="F2707" t="s">
        <v>20</v>
      </c>
      <c r="J2707">
        <v>1</v>
      </c>
      <c r="O2707">
        <v>1</v>
      </c>
      <c r="R2707">
        <v>1</v>
      </c>
      <c r="U2707">
        <v>1</v>
      </c>
      <c r="Y2707">
        <v>1</v>
      </c>
      <c r="AC2707">
        <v>2</v>
      </c>
      <c r="BA2707">
        <f>SUM(Pre[[#This Row],[1]:[46]])</f>
        <v>7</v>
      </c>
    </row>
    <row r="2708" spans="1:53" x14ac:dyDescent="0.2">
      <c r="A2708" t="s">
        <v>61</v>
      </c>
      <c r="B2708" t="s">
        <v>54</v>
      </c>
      <c r="C2708">
        <v>3683</v>
      </c>
      <c r="D2708" t="s">
        <v>22</v>
      </c>
      <c r="E2708" t="s">
        <v>8</v>
      </c>
      <c r="F2708" t="s">
        <v>23</v>
      </c>
      <c r="G2708">
        <v>1</v>
      </c>
      <c r="K2708">
        <v>1</v>
      </c>
      <c r="T2708">
        <v>1</v>
      </c>
      <c r="X2708">
        <v>1</v>
      </c>
      <c r="AB2708">
        <v>1</v>
      </c>
      <c r="AG2708">
        <v>1</v>
      </c>
      <c r="AK2708">
        <v>1</v>
      </c>
      <c r="AP2708">
        <v>1</v>
      </c>
      <c r="AT2708">
        <v>1</v>
      </c>
      <c r="AY2708">
        <v>1</v>
      </c>
      <c r="BA2708">
        <f>SUM(Pre[[#This Row],[1]:[46]])</f>
        <v>10</v>
      </c>
    </row>
    <row r="2709" spans="1:53" x14ac:dyDescent="0.2">
      <c r="A2709" t="s">
        <v>61</v>
      </c>
      <c r="B2709" t="s">
        <v>54</v>
      </c>
      <c r="C2709">
        <v>3859</v>
      </c>
      <c r="D2709" t="s">
        <v>22</v>
      </c>
      <c r="E2709" t="s">
        <v>8</v>
      </c>
      <c r="F2709" t="s">
        <v>9</v>
      </c>
      <c r="X2709">
        <v>1</v>
      </c>
      <c r="AQ2709">
        <v>1</v>
      </c>
      <c r="AR2709">
        <v>1</v>
      </c>
      <c r="BA2709">
        <f>SUM(Pre[[#This Row],[1]:[46]])</f>
        <v>3</v>
      </c>
    </row>
    <row r="2710" spans="1:53" x14ac:dyDescent="0.2">
      <c r="A2710" t="s">
        <v>61</v>
      </c>
      <c r="B2710" t="s">
        <v>54</v>
      </c>
      <c r="C2710">
        <v>3889</v>
      </c>
      <c r="D2710" t="s">
        <v>22</v>
      </c>
      <c r="E2710" t="s">
        <v>8</v>
      </c>
      <c r="F2710" t="s">
        <v>9</v>
      </c>
      <c r="G2710">
        <v>1</v>
      </c>
      <c r="K2710">
        <v>1</v>
      </c>
      <c r="P2710">
        <v>1</v>
      </c>
      <c r="T2710">
        <v>1</v>
      </c>
      <c r="W2710">
        <v>1</v>
      </c>
      <c r="AB2710">
        <v>1</v>
      </c>
      <c r="AG2710">
        <v>1</v>
      </c>
      <c r="AK2710">
        <v>1</v>
      </c>
      <c r="AO2710">
        <v>1</v>
      </c>
      <c r="AS2710">
        <v>1</v>
      </c>
      <c r="AX2710">
        <v>1</v>
      </c>
      <c r="BA2710">
        <f>SUM(Pre[[#This Row],[1]:[46]])</f>
        <v>11</v>
      </c>
    </row>
    <row r="2711" spans="1:53" x14ac:dyDescent="0.2">
      <c r="A2711" t="s">
        <v>61</v>
      </c>
      <c r="B2711" t="s">
        <v>54</v>
      </c>
      <c r="C2711">
        <v>4047</v>
      </c>
      <c r="D2711" t="s">
        <v>22</v>
      </c>
      <c r="E2711" t="s">
        <v>40</v>
      </c>
      <c r="F2711" t="s">
        <v>41</v>
      </c>
      <c r="Q2711">
        <v>1</v>
      </c>
      <c r="AQ2711">
        <v>1</v>
      </c>
      <c r="BA2711">
        <f>SUM(Pre[[#This Row],[1]:[46]])</f>
        <v>2</v>
      </c>
    </row>
    <row r="2712" spans="1:53" x14ac:dyDescent="0.2">
      <c r="A2712" t="s">
        <v>61</v>
      </c>
      <c r="B2712" t="s">
        <v>54</v>
      </c>
      <c r="C2712">
        <v>4214</v>
      </c>
      <c r="D2712" t="s">
        <v>22</v>
      </c>
      <c r="E2712" t="s">
        <v>8</v>
      </c>
      <c r="F2712" t="s">
        <v>29</v>
      </c>
      <c r="S2712">
        <v>1</v>
      </c>
      <c r="AF2712">
        <v>1</v>
      </c>
      <c r="AT2712">
        <v>1</v>
      </c>
      <c r="BA2712">
        <f>SUM(Pre[[#This Row],[1]:[46]])</f>
        <v>3</v>
      </c>
    </row>
    <row r="2713" spans="1:53" x14ac:dyDescent="0.2">
      <c r="A2713" t="s">
        <v>61</v>
      </c>
      <c r="B2713" t="s">
        <v>54</v>
      </c>
      <c r="C2713">
        <v>4584</v>
      </c>
      <c r="D2713" t="s">
        <v>22</v>
      </c>
      <c r="E2713" t="s">
        <v>8</v>
      </c>
      <c r="F2713" t="s">
        <v>23</v>
      </c>
      <c r="P2713">
        <v>1</v>
      </c>
      <c r="V2713">
        <v>1</v>
      </c>
      <c r="AJ2713">
        <v>1</v>
      </c>
      <c r="AW2713">
        <v>1</v>
      </c>
      <c r="BA2713">
        <f>SUM(Pre[[#This Row],[1]:[46]])</f>
        <v>4</v>
      </c>
    </row>
    <row r="2714" spans="1:53" x14ac:dyDescent="0.2">
      <c r="A2714" t="s">
        <v>61</v>
      </c>
      <c r="B2714" t="s">
        <v>54</v>
      </c>
      <c r="C2714">
        <v>4765</v>
      </c>
      <c r="D2714" t="s">
        <v>22</v>
      </c>
      <c r="E2714" t="s">
        <v>8</v>
      </c>
      <c r="F2714" t="s">
        <v>23</v>
      </c>
      <c r="BA2714">
        <f>SUM(Pre[[#This Row],[1]:[46]])</f>
        <v>0</v>
      </c>
    </row>
    <row r="2715" spans="1:53" x14ac:dyDescent="0.2">
      <c r="A2715" t="s">
        <v>61</v>
      </c>
      <c r="B2715" t="s">
        <v>54</v>
      </c>
      <c r="C2715">
        <v>4765</v>
      </c>
      <c r="D2715" t="s">
        <v>22</v>
      </c>
      <c r="E2715" t="s">
        <v>14</v>
      </c>
      <c r="F2715" t="s">
        <v>20</v>
      </c>
      <c r="K2715">
        <v>1</v>
      </c>
      <c r="P2715">
        <v>1</v>
      </c>
      <c r="X2715">
        <v>1</v>
      </c>
      <c r="AO2715">
        <v>1</v>
      </c>
      <c r="BA2715">
        <f>SUM(Pre[[#This Row],[1]:[46]])</f>
        <v>4</v>
      </c>
    </row>
    <row r="2716" spans="1:53" x14ac:dyDescent="0.2">
      <c r="A2716" t="s">
        <v>61</v>
      </c>
      <c r="B2716" t="s">
        <v>54</v>
      </c>
      <c r="C2716">
        <v>5083</v>
      </c>
      <c r="D2716" t="s">
        <v>22</v>
      </c>
      <c r="E2716" t="s">
        <v>14</v>
      </c>
      <c r="F2716" t="s">
        <v>20</v>
      </c>
      <c r="U2716">
        <v>1</v>
      </c>
      <c r="AH2716">
        <v>2</v>
      </c>
      <c r="AS2716">
        <v>1</v>
      </c>
      <c r="BA2716">
        <f>SUM(Pre[[#This Row],[1]:[46]])</f>
        <v>4</v>
      </c>
    </row>
    <row r="2717" spans="1:53" x14ac:dyDescent="0.2">
      <c r="A2717" t="s">
        <v>61</v>
      </c>
      <c r="B2717" t="s">
        <v>54</v>
      </c>
      <c r="C2717">
        <v>5307</v>
      </c>
      <c r="D2717" t="s">
        <v>22</v>
      </c>
      <c r="E2717" t="s">
        <v>14</v>
      </c>
      <c r="F2717" t="s">
        <v>31</v>
      </c>
      <c r="L2717">
        <v>1</v>
      </c>
      <c r="S2717">
        <v>1</v>
      </c>
      <c r="AC2717">
        <v>1</v>
      </c>
      <c r="AG2717">
        <v>1</v>
      </c>
      <c r="AP2717">
        <v>1</v>
      </c>
      <c r="AX2717">
        <v>1</v>
      </c>
      <c r="BA2717">
        <f>SUM(Pre[[#This Row],[1]:[46]])</f>
        <v>6</v>
      </c>
    </row>
    <row r="2718" spans="1:53" x14ac:dyDescent="0.2">
      <c r="A2718" t="s">
        <v>61</v>
      </c>
      <c r="B2718" t="s">
        <v>54</v>
      </c>
      <c r="C2718">
        <v>5376</v>
      </c>
      <c r="D2718" t="s">
        <v>22</v>
      </c>
      <c r="E2718" t="s">
        <v>8</v>
      </c>
      <c r="F2718" t="s">
        <v>9</v>
      </c>
      <c r="G2718">
        <v>1</v>
      </c>
      <c r="U2718">
        <v>1</v>
      </c>
      <c r="AH2718">
        <v>2</v>
      </c>
      <c r="AU2718">
        <v>1</v>
      </c>
      <c r="BA2718">
        <f>SUM(Pre[[#This Row],[1]:[46]])</f>
        <v>5</v>
      </c>
    </row>
    <row r="2719" spans="1:53" x14ac:dyDescent="0.2">
      <c r="A2719" t="s">
        <v>61</v>
      </c>
      <c r="B2719" t="s">
        <v>54</v>
      </c>
      <c r="C2719">
        <v>5454</v>
      </c>
      <c r="D2719" t="s">
        <v>22</v>
      </c>
      <c r="E2719" t="s">
        <v>14</v>
      </c>
      <c r="F2719" t="s">
        <v>35</v>
      </c>
      <c r="BA2719">
        <f>SUM(Pre[[#This Row],[1]:[46]])</f>
        <v>0</v>
      </c>
    </row>
    <row r="2720" spans="1:53" x14ac:dyDescent="0.2">
      <c r="A2720" t="s">
        <v>61</v>
      </c>
      <c r="B2720" t="s">
        <v>54</v>
      </c>
      <c r="C2720">
        <v>6041</v>
      </c>
      <c r="D2720" t="s">
        <v>22</v>
      </c>
      <c r="E2720" t="s">
        <v>14</v>
      </c>
      <c r="F2720" t="s">
        <v>20</v>
      </c>
      <c r="G2720">
        <v>1</v>
      </c>
      <c r="K2720">
        <v>1</v>
      </c>
      <c r="P2720">
        <v>1</v>
      </c>
      <c r="T2720">
        <v>1</v>
      </c>
      <c r="X2720">
        <v>1</v>
      </c>
      <c r="AC2720">
        <v>1</v>
      </c>
      <c r="AG2720">
        <v>1</v>
      </c>
      <c r="AJ2720">
        <v>1</v>
      </c>
      <c r="AP2720">
        <v>1</v>
      </c>
      <c r="AT2720">
        <v>1</v>
      </c>
      <c r="AW2720">
        <v>1</v>
      </c>
      <c r="BA2720">
        <f>SUM(Pre[[#This Row],[1]:[46]])</f>
        <v>11</v>
      </c>
    </row>
    <row r="2721" spans="1:53" x14ac:dyDescent="0.2">
      <c r="A2721" t="s">
        <v>61</v>
      </c>
      <c r="B2721" t="s">
        <v>54</v>
      </c>
      <c r="C2721">
        <v>6313</v>
      </c>
      <c r="D2721" t="s">
        <v>22</v>
      </c>
      <c r="E2721" t="s">
        <v>8</v>
      </c>
      <c r="F2721" t="s">
        <v>30</v>
      </c>
      <c r="G2721">
        <v>1</v>
      </c>
      <c r="T2721">
        <v>1</v>
      </c>
      <c r="AG2721">
        <v>1</v>
      </c>
      <c r="AT2721">
        <v>1</v>
      </c>
      <c r="BA2721">
        <f>SUM(Pre[[#This Row],[1]:[46]])</f>
        <v>4</v>
      </c>
    </row>
    <row r="2722" spans="1:53" x14ac:dyDescent="0.2">
      <c r="A2722" t="s">
        <v>61</v>
      </c>
      <c r="B2722" t="s">
        <v>54</v>
      </c>
      <c r="C2722">
        <v>6850</v>
      </c>
      <c r="D2722" t="s">
        <v>22</v>
      </c>
      <c r="E2722" t="s">
        <v>8</v>
      </c>
      <c r="F2722" t="s">
        <v>29</v>
      </c>
      <c r="X2722">
        <v>1</v>
      </c>
      <c r="AN2722">
        <v>1</v>
      </c>
      <c r="AZ2722">
        <v>1</v>
      </c>
      <c r="BA2722">
        <f>SUM(Pre[[#This Row],[1]:[46]])</f>
        <v>3</v>
      </c>
    </row>
    <row r="2723" spans="1:53" x14ac:dyDescent="0.2">
      <c r="A2723" t="s">
        <v>61</v>
      </c>
      <c r="B2723" t="s">
        <v>54</v>
      </c>
      <c r="C2723">
        <v>7463</v>
      </c>
      <c r="D2723" t="s">
        <v>22</v>
      </c>
      <c r="E2723" t="s">
        <v>8</v>
      </c>
      <c r="F2723" t="s">
        <v>23</v>
      </c>
      <c r="S2723">
        <v>1</v>
      </c>
      <c r="W2723">
        <v>1</v>
      </c>
      <c r="AE2723">
        <v>1</v>
      </c>
      <c r="AR2723">
        <v>1</v>
      </c>
      <c r="BA2723">
        <f>SUM(Pre[[#This Row],[1]:[46]])</f>
        <v>4</v>
      </c>
    </row>
    <row r="2724" spans="1:53" x14ac:dyDescent="0.2">
      <c r="A2724" t="s">
        <v>61</v>
      </c>
      <c r="B2724" t="s">
        <v>54</v>
      </c>
      <c r="C2724">
        <v>7723</v>
      </c>
      <c r="D2724" t="s">
        <v>22</v>
      </c>
      <c r="E2724" t="s">
        <v>8</v>
      </c>
      <c r="F2724" t="s">
        <v>9</v>
      </c>
      <c r="H2724">
        <v>1</v>
      </c>
      <c r="X2724">
        <v>1</v>
      </c>
      <c r="AP2724">
        <v>2</v>
      </c>
      <c r="BA2724">
        <f>SUM(Pre[[#This Row],[1]:[46]])</f>
        <v>4</v>
      </c>
    </row>
    <row r="2725" spans="1:53" x14ac:dyDescent="0.2">
      <c r="A2725" t="s">
        <v>61</v>
      </c>
      <c r="B2725" t="s">
        <v>54</v>
      </c>
      <c r="C2725">
        <v>7723</v>
      </c>
      <c r="D2725" t="s">
        <v>22</v>
      </c>
      <c r="E2725" t="s">
        <v>14</v>
      </c>
      <c r="F2725" t="s">
        <v>35</v>
      </c>
      <c r="AP2725">
        <v>1</v>
      </c>
      <c r="BA2725">
        <f>SUM(Pre[[#This Row],[1]:[46]])</f>
        <v>1</v>
      </c>
    </row>
    <row r="2726" spans="1:53" x14ac:dyDescent="0.2">
      <c r="A2726" t="s">
        <v>61</v>
      </c>
      <c r="B2726" t="s">
        <v>54</v>
      </c>
      <c r="C2726">
        <v>7815</v>
      </c>
      <c r="D2726" t="s">
        <v>22</v>
      </c>
      <c r="E2726" t="s">
        <v>14</v>
      </c>
      <c r="F2726" t="s">
        <v>35</v>
      </c>
      <c r="L2726">
        <v>1</v>
      </c>
      <c r="BA2726">
        <f>SUM(Pre[[#This Row],[1]:[46]])</f>
        <v>1</v>
      </c>
    </row>
    <row r="2727" spans="1:53" x14ac:dyDescent="0.2">
      <c r="A2727" t="s">
        <v>61</v>
      </c>
      <c r="B2727" t="s">
        <v>54</v>
      </c>
      <c r="C2727">
        <v>8053</v>
      </c>
      <c r="D2727" t="s">
        <v>22</v>
      </c>
      <c r="E2727" t="s">
        <v>8</v>
      </c>
      <c r="F2727" t="s">
        <v>23</v>
      </c>
      <c r="AM2727">
        <v>1</v>
      </c>
      <c r="AQ2727">
        <v>1</v>
      </c>
      <c r="AW2727">
        <v>1</v>
      </c>
      <c r="AZ2727">
        <v>2</v>
      </c>
      <c r="BA2727">
        <f>SUM(Pre[[#This Row],[1]:[46]])</f>
        <v>5</v>
      </c>
    </row>
    <row r="2728" spans="1:53" x14ac:dyDescent="0.2">
      <c r="A2728" t="s">
        <v>61</v>
      </c>
      <c r="B2728" t="s">
        <v>54</v>
      </c>
      <c r="C2728">
        <v>8184</v>
      </c>
      <c r="D2728" t="s">
        <v>22</v>
      </c>
      <c r="E2728" t="s">
        <v>10</v>
      </c>
      <c r="F2728" t="s">
        <v>11</v>
      </c>
      <c r="BA2728">
        <f>SUM(Pre[[#This Row],[1]:[46]])</f>
        <v>0</v>
      </c>
    </row>
    <row r="2729" spans="1:53" x14ac:dyDescent="0.2">
      <c r="A2729" t="s">
        <v>61</v>
      </c>
      <c r="B2729" t="s">
        <v>54</v>
      </c>
      <c r="C2729">
        <v>8536</v>
      </c>
      <c r="D2729" t="s">
        <v>22</v>
      </c>
      <c r="E2729" t="s">
        <v>8</v>
      </c>
      <c r="F2729" t="s">
        <v>29</v>
      </c>
      <c r="I2729">
        <v>1</v>
      </c>
      <c r="X2729">
        <v>1</v>
      </c>
      <c r="AC2729">
        <v>1</v>
      </c>
      <c r="AH2729">
        <v>2</v>
      </c>
      <c r="AL2729">
        <v>1</v>
      </c>
      <c r="AQ2729">
        <v>1</v>
      </c>
      <c r="AU2729">
        <v>1</v>
      </c>
      <c r="BA2729">
        <f>SUM(Pre[[#This Row],[1]:[46]])</f>
        <v>8</v>
      </c>
    </row>
    <row r="2730" spans="1:53" x14ac:dyDescent="0.2">
      <c r="A2730" t="s">
        <v>61</v>
      </c>
      <c r="B2730" t="s">
        <v>54</v>
      </c>
      <c r="C2730">
        <v>10208</v>
      </c>
      <c r="D2730" t="s">
        <v>22</v>
      </c>
      <c r="E2730" t="s">
        <v>14</v>
      </c>
      <c r="F2730" t="s">
        <v>35</v>
      </c>
      <c r="I2730">
        <v>1</v>
      </c>
      <c r="J2730">
        <v>1</v>
      </c>
      <c r="BA2730">
        <f>SUM(Pre[[#This Row],[1]:[46]])</f>
        <v>2</v>
      </c>
    </row>
    <row r="2731" spans="1:53" x14ac:dyDescent="0.2">
      <c r="A2731" t="s">
        <v>61</v>
      </c>
      <c r="B2731" t="s">
        <v>54</v>
      </c>
      <c r="C2731">
        <v>10208</v>
      </c>
      <c r="D2731" t="s">
        <v>22</v>
      </c>
      <c r="E2731" t="s">
        <v>14</v>
      </c>
      <c r="F2731" t="s">
        <v>20</v>
      </c>
      <c r="BA2731">
        <f>SUM(Pre[[#This Row],[1]:[46]])</f>
        <v>0</v>
      </c>
    </row>
    <row r="2732" spans="1:53" x14ac:dyDescent="0.2">
      <c r="A2732" t="s">
        <v>61</v>
      </c>
      <c r="B2732" t="s">
        <v>54</v>
      </c>
      <c r="C2732">
        <v>11279</v>
      </c>
      <c r="D2732" t="s">
        <v>22</v>
      </c>
      <c r="E2732" t="s">
        <v>8</v>
      </c>
      <c r="F2732" t="s">
        <v>23</v>
      </c>
      <c r="I2732">
        <v>1</v>
      </c>
      <c r="M2732">
        <v>1</v>
      </c>
      <c r="Q2732">
        <v>1</v>
      </c>
      <c r="V2732">
        <v>1</v>
      </c>
      <c r="Z2732">
        <v>1</v>
      </c>
      <c r="AD2732">
        <v>1</v>
      </c>
      <c r="AI2732">
        <v>1</v>
      </c>
      <c r="AM2732">
        <v>1</v>
      </c>
      <c r="AR2732">
        <v>1</v>
      </c>
      <c r="AV2732">
        <v>1</v>
      </c>
      <c r="AZ2732">
        <v>1</v>
      </c>
      <c r="BA2732">
        <f>SUM(Pre[[#This Row],[1]:[46]])</f>
        <v>11</v>
      </c>
    </row>
    <row r="2733" spans="1:53" x14ac:dyDescent="0.2">
      <c r="A2733" t="s">
        <v>61</v>
      </c>
      <c r="B2733" t="s">
        <v>54</v>
      </c>
      <c r="C2733">
        <v>12061</v>
      </c>
      <c r="D2733" t="s">
        <v>22</v>
      </c>
      <c r="E2733" t="s">
        <v>8</v>
      </c>
      <c r="F2733" t="s">
        <v>23</v>
      </c>
      <c r="I2733">
        <v>1</v>
      </c>
      <c r="S2733">
        <v>1</v>
      </c>
      <c r="Z2733">
        <v>1</v>
      </c>
      <c r="AF2733">
        <v>1</v>
      </c>
      <c r="AN2733">
        <v>1</v>
      </c>
      <c r="AU2733">
        <v>1</v>
      </c>
      <c r="AZ2733">
        <v>1</v>
      </c>
      <c r="BA2733">
        <f>SUM(Pre[[#This Row],[1]:[46]])</f>
        <v>7</v>
      </c>
    </row>
    <row r="2734" spans="1:53" x14ac:dyDescent="0.2">
      <c r="A2734" t="s">
        <v>61</v>
      </c>
      <c r="B2734" t="s">
        <v>54</v>
      </c>
      <c r="C2734">
        <v>12720</v>
      </c>
      <c r="D2734" t="s">
        <v>22</v>
      </c>
      <c r="E2734" t="s">
        <v>14</v>
      </c>
      <c r="F2734" t="s">
        <v>35</v>
      </c>
      <c r="W2734">
        <v>1</v>
      </c>
      <c r="X2734">
        <v>1</v>
      </c>
      <c r="Y2734">
        <v>1</v>
      </c>
      <c r="Z2734">
        <v>1</v>
      </c>
      <c r="AB2734">
        <v>1</v>
      </c>
      <c r="AG2734">
        <v>1</v>
      </c>
      <c r="AL2734">
        <v>1</v>
      </c>
      <c r="AX2734">
        <v>1</v>
      </c>
      <c r="BA2734">
        <f>SUM(Pre[[#This Row],[1]:[46]])</f>
        <v>8</v>
      </c>
    </row>
    <row r="2735" spans="1:53" x14ac:dyDescent="0.2">
      <c r="A2735" t="s">
        <v>61</v>
      </c>
      <c r="B2735" t="s">
        <v>54</v>
      </c>
      <c r="C2735">
        <v>12796</v>
      </c>
      <c r="D2735" t="s">
        <v>22</v>
      </c>
      <c r="E2735" t="s">
        <v>8</v>
      </c>
      <c r="F2735" t="s">
        <v>23</v>
      </c>
      <c r="J2735">
        <v>1</v>
      </c>
      <c r="K2735">
        <v>1</v>
      </c>
      <c r="W2735">
        <v>1</v>
      </c>
      <c r="AJ2735">
        <v>1</v>
      </c>
      <c r="AX2735">
        <v>1</v>
      </c>
      <c r="BA2735">
        <f>SUM(Pre[[#This Row],[1]:[46]])</f>
        <v>5</v>
      </c>
    </row>
    <row r="2736" spans="1:53" x14ac:dyDescent="0.2">
      <c r="A2736" t="s">
        <v>61</v>
      </c>
      <c r="B2736" t="s">
        <v>54</v>
      </c>
      <c r="C2736">
        <v>13117</v>
      </c>
      <c r="D2736" t="s">
        <v>22</v>
      </c>
      <c r="E2736" t="s">
        <v>10</v>
      </c>
      <c r="F2736" t="s">
        <v>11</v>
      </c>
      <c r="BA2736">
        <f>SUM(Pre[[#This Row],[1]:[46]])</f>
        <v>0</v>
      </c>
    </row>
    <row r="2737" spans="1:53" x14ac:dyDescent="0.2">
      <c r="A2737" t="s">
        <v>61</v>
      </c>
      <c r="B2737" t="s">
        <v>54</v>
      </c>
      <c r="C2737">
        <v>13619</v>
      </c>
      <c r="D2737" t="s">
        <v>22</v>
      </c>
      <c r="E2737" t="s">
        <v>14</v>
      </c>
      <c r="F2737" t="s">
        <v>20</v>
      </c>
      <c r="S2737">
        <v>1</v>
      </c>
      <c r="AE2737">
        <v>1</v>
      </c>
      <c r="AR2737">
        <v>1</v>
      </c>
      <c r="BA2737">
        <f>SUM(Pre[[#This Row],[1]:[46]])</f>
        <v>3</v>
      </c>
    </row>
    <row r="2738" spans="1:53" x14ac:dyDescent="0.2">
      <c r="A2738" t="s">
        <v>61</v>
      </c>
      <c r="B2738" t="s">
        <v>54</v>
      </c>
      <c r="C2738">
        <v>13622</v>
      </c>
      <c r="D2738" t="s">
        <v>22</v>
      </c>
      <c r="E2738" t="s">
        <v>8</v>
      </c>
      <c r="F2738" t="s">
        <v>23</v>
      </c>
      <c r="N2738">
        <v>1</v>
      </c>
      <c r="AK2738">
        <v>1</v>
      </c>
      <c r="BA2738">
        <f>SUM(Pre[[#This Row],[1]:[46]])</f>
        <v>2</v>
      </c>
    </row>
    <row r="2739" spans="1:53" x14ac:dyDescent="0.2">
      <c r="A2739" t="s">
        <v>61</v>
      </c>
      <c r="B2739" t="s">
        <v>54</v>
      </c>
      <c r="C2739">
        <v>13622</v>
      </c>
      <c r="D2739" t="s">
        <v>22</v>
      </c>
      <c r="E2739" t="s">
        <v>14</v>
      </c>
      <c r="F2739" t="s">
        <v>35</v>
      </c>
      <c r="X2739">
        <v>1</v>
      </c>
      <c r="BA2739">
        <f>SUM(Pre[[#This Row],[1]:[46]])</f>
        <v>1</v>
      </c>
    </row>
    <row r="2740" spans="1:53" x14ac:dyDescent="0.2">
      <c r="A2740" t="s">
        <v>61</v>
      </c>
      <c r="B2740" t="s">
        <v>54</v>
      </c>
      <c r="C2740">
        <v>13979</v>
      </c>
      <c r="D2740" t="s">
        <v>22</v>
      </c>
      <c r="E2740" t="s">
        <v>8</v>
      </c>
      <c r="F2740" t="s">
        <v>9</v>
      </c>
      <c r="V2740">
        <v>1</v>
      </c>
      <c r="AG2740">
        <v>1</v>
      </c>
      <c r="AL2740">
        <v>1</v>
      </c>
      <c r="AS2740">
        <v>1</v>
      </c>
      <c r="BA2740">
        <f>SUM(Pre[[#This Row],[1]:[46]])</f>
        <v>4</v>
      </c>
    </row>
    <row r="2741" spans="1:53" x14ac:dyDescent="0.2">
      <c r="A2741" t="s">
        <v>61</v>
      </c>
      <c r="B2741" t="s">
        <v>54</v>
      </c>
      <c r="C2741">
        <v>13979</v>
      </c>
      <c r="D2741" t="s">
        <v>22</v>
      </c>
      <c r="E2741" t="s">
        <v>14</v>
      </c>
      <c r="F2741" t="s">
        <v>20</v>
      </c>
      <c r="T2741">
        <v>1</v>
      </c>
      <c r="V2741">
        <v>1</v>
      </c>
      <c r="AG2741">
        <v>1</v>
      </c>
      <c r="AL2741">
        <v>2</v>
      </c>
      <c r="AS2741">
        <v>1</v>
      </c>
      <c r="BA2741">
        <f>SUM(Pre[[#This Row],[1]:[46]])</f>
        <v>6</v>
      </c>
    </row>
    <row r="2742" spans="1:53" x14ac:dyDescent="0.2">
      <c r="A2742" t="s">
        <v>61</v>
      </c>
      <c r="B2742" t="s">
        <v>54</v>
      </c>
      <c r="C2742">
        <v>14172</v>
      </c>
      <c r="D2742" t="s">
        <v>22</v>
      </c>
      <c r="E2742" t="s">
        <v>10</v>
      </c>
      <c r="F2742" t="s">
        <v>11</v>
      </c>
      <c r="I2742">
        <v>1</v>
      </c>
      <c r="W2742">
        <v>1</v>
      </c>
      <c r="AR2742">
        <v>1</v>
      </c>
      <c r="AW2742">
        <v>1</v>
      </c>
      <c r="BA2742">
        <f>SUM(Pre[[#This Row],[1]:[46]])</f>
        <v>4</v>
      </c>
    </row>
    <row r="2743" spans="1:53" x14ac:dyDescent="0.2">
      <c r="A2743" t="s">
        <v>61</v>
      </c>
      <c r="B2743" t="s">
        <v>54</v>
      </c>
      <c r="C2743">
        <v>14256</v>
      </c>
      <c r="D2743" t="s">
        <v>22</v>
      </c>
      <c r="E2743" t="s">
        <v>14</v>
      </c>
      <c r="F2743" t="s">
        <v>21</v>
      </c>
      <c r="U2743">
        <v>1</v>
      </c>
      <c r="AS2743">
        <v>1</v>
      </c>
      <c r="BA2743">
        <f>SUM(Pre[[#This Row],[1]:[46]])</f>
        <v>2</v>
      </c>
    </row>
    <row r="2744" spans="1:53" x14ac:dyDescent="0.2">
      <c r="A2744" t="s">
        <v>61</v>
      </c>
      <c r="B2744" t="s">
        <v>54</v>
      </c>
      <c r="C2744">
        <v>14330</v>
      </c>
      <c r="D2744" t="s">
        <v>22</v>
      </c>
      <c r="E2744" t="s">
        <v>14</v>
      </c>
      <c r="F2744" t="s">
        <v>19</v>
      </c>
      <c r="BA2744">
        <f>SUM(Pre[[#This Row],[1]:[46]])</f>
        <v>0</v>
      </c>
    </row>
    <row r="2745" spans="1:53" x14ac:dyDescent="0.2">
      <c r="A2745" t="s">
        <v>61</v>
      </c>
      <c r="B2745" t="s">
        <v>54</v>
      </c>
      <c r="C2745">
        <v>14344</v>
      </c>
      <c r="D2745" t="s">
        <v>22</v>
      </c>
      <c r="E2745" t="s">
        <v>14</v>
      </c>
      <c r="F2745" t="s">
        <v>35</v>
      </c>
      <c r="G2745">
        <v>1</v>
      </c>
      <c r="Q2745">
        <v>1</v>
      </c>
      <c r="AL2745">
        <v>1</v>
      </c>
      <c r="BA2745">
        <f>SUM(Pre[[#This Row],[1]:[46]])</f>
        <v>3</v>
      </c>
    </row>
    <row r="2746" spans="1:53" x14ac:dyDescent="0.2">
      <c r="A2746" t="s">
        <v>61</v>
      </c>
      <c r="B2746" t="s">
        <v>54</v>
      </c>
      <c r="C2746">
        <v>15013</v>
      </c>
      <c r="D2746" t="s">
        <v>22</v>
      </c>
      <c r="E2746" t="s">
        <v>8</v>
      </c>
      <c r="F2746" t="s">
        <v>23</v>
      </c>
      <c r="Q2746">
        <v>1</v>
      </c>
      <c r="U2746">
        <v>1</v>
      </c>
      <c r="Z2746">
        <v>1</v>
      </c>
      <c r="AD2746">
        <v>1</v>
      </c>
      <c r="AH2746">
        <v>1</v>
      </c>
      <c r="AM2746">
        <v>1</v>
      </c>
      <c r="AQ2746">
        <v>1</v>
      </c>
      <c r="AU2746">
        <v>1</v>
      </c>
      <c r="AY2746">
        <v>1</v>
      </c>
      <c r="BA2746">
        <f>SUM(Pre[[#This Row],[1]:[46]])</f>
        <v>9</v>
      </c>
    </row>
    <row r="2747" spans="1:53" x14ac:dyDescent="0.2">
      <c r="A2747" t="s">
        <v>61</v>
      </c>
      <c r="B2747" t="s">
        <v>54</v>
      </c>
      <c r="C2747">
        <v>15617</v>
      </c>
      <c r="D2747" t="s">
        <v>22</v>
      </c>
      <c r="E2747" t="s">
        <v>14</v>
      </c>
      <c r="F2747" t="s">
        <v>21</v>
      </c>
      <c r="N2747">
        <v>1</v>
      </c>
      <c r="AM2747">
        <v>1</v>
      </c>
      <c r="BA2747">
        <f>SUM(Pre[[#This Row],[1]:[46]])</f>
        <v>2</v>
      </c>
    </row>
    <row r="2748" spans="1:53" x14ac:dyDescent="0.2">
      <c r="A2748" t="s">
        <v>61</v>
      </c>
      <c r="B2748" t="s">
        <v>54</v>
      </c>
      <c r="C2748">
        <v>15619</v>
      </c>
      <c r="D2748" t="s">
        <v>22</v>
      </c>
      <c r="E2748" t="s">
        <v>8</v>
      </c>
      <c r="F2748" t="s">
        <v>23</v>
      </c>
      <c r="P2748">
        <v>1</v>
      </c>
      <c r="AE2748">
        <v>1</v>
      </c>
      <c r="AR2748">
        <v>2</v>
      </c>
      <c r="AY2748">
        <v>1</v>
      </c>
      <c r="BA2748">
        <f>SUM(Pre[[#This Row],[1]:[46]])</f>
        <v>5</v>
      </c>
    </row>
    <row r="2749" spans="1:53" x14ac:dyDescent="0.2">
      <c r="A2749" t="s">
        <v>61</v>
      </c>
      <c r="B2749" t="s">
        <v>54</v>
      </c>
      <c r="C2749">
        <v>17006</v>
      </c>
      <c r="D2749" t="s">
        <v>22</v>
      </c>
      <c r="E2749" t="s">
        <v>14</v>
      </c>
      <c r="F2749" t="s">
        <v>35</v>
      </c>
      <c r="AF2749">
        <v>1</v>
      </c>
      <c r="AG2749">
        <v>2</v>
      </c>
      <c r="BA2749">
        <f>SUM(Pre[[#This Row],[1]:[46]])</f>
        <v>3</v>
      </c>
    </row>
    <row r="2750" spans="1:53" x14ac:dyDescent="0.2">
      <c r="A2750" t="s">
        <v>61</v>
      </c>
      <c r="B2750" t="s">
        <v>54</v>
      </c>
      <c r="C2750">
        <v>17454</v>
      </c>
      <c r="D2750" t="s">
        <v>22</v>
      </c>
      <c r="E2750" t="s">
        <v>8</v>
      </c>
      <c r="F2750" t="s">
        <v>23</v>
      </c>
      <c r="K2750">
        <v>1</v>
      </c>
      <c r="Q2750">
        <v>1</v>
      </c>
      <c r="V2750">
        <v>1</v>
      </c>
      <c r="AA2750">
        <v>1</v>
      </c>
      <c r="AF2750">
        <v>1</v>
      </c>
      <c r="AK2750">
        <v>1</v>
      </c>
      <c r="AU2750">
        <v>1</v>
      </c>
      <c r="BA2750">
        <f>SUM(Pre[[#This Row],[1]:[46]])</f>
        <v>7</v>
      </c>
    </row>
    <row r="2751" spans="1:53" x14ac:dyDescent="0.2">
      <c r="A2751" t="s">
        <v>61</v>
      </c>
      <c r="B2751" t="s">
        <v>54</v>
      </c>
      <c r="C2751">
        <v>20538</v>
      </c>
      <c r="D2751" t="s">
        <v>22</v>
      </c>
      <c r="E2751" t="s">
        <v>40</v>
      </c>
      <c r="F2751" t="s">
        <v>41</v>
      </c>
      <c r="BA2751">
        <f>SUM(Pre[[#This Row],[1]:[46]])</f>
        <v>0</v>
      </c>
    </row>
    <row r="2752" spans="1:53" x14ac:dyDescent="0.2">
      <c r="A2752" t="s">
        <v>61</v>
      </c>
      <c r="B2752" t="s">
        <v>54</v>
      </c>
      <c r="C2752">
        <v>22649</v>
      </c>
      <c r="D2752" t="s">
        <v>22</v>
      </c>
      <c r="E2752" t="s">
        <v>14</v>
      </c>
      <c r="F2752" t="s">
        <v>21</v>
      </c>
      <c r="BA2752">
        <f>SUM(Pre[[#This Row],[1]:[46]])</f>
        <v>0</v>
      </c>
    </row>
    <row r="2753" spans="1:53" x14ac:dyDescent="0.2">
      <c r="A2753" t="s">
        <v>61</v>
      </c>
      <c r="B2753" t="s">
        <v>54</v>
      </c>
      <c r="C2753">
        <v>22817</v>
      </c>
      <c r="D2753" t="s">
        <v>22</v>
      </c>
      <c r="E2753" t="s">
        <v>8</v>
      </c>
      <c r="F2753" t="s">
        <v>9</v>
      </c>
      <c r="AF2753">
        <v>1</v>
      </c>
      <c r="AP2753">
        <v>1</v>
      </c>
      <c r="AQ2753">
        <v>1</v>
      </c>
      <c r="BA2753">
        <f>SUM(Pre[[#This Row],[1]:[46]])</f>
        <v>3</v>
      </c>
    </row>
    <row r="2754" spans="1:53" x14ac:dyDescent="0.2">
      <c r="A2754" t="s">
        <v>61</v>
      </c>
      <c r="B2754" t="s">
        <v>54</v>
      </c>
      <c r="C2754">
        <v>23548</v>
      </c>
      <c r="D2754" t="s">
        <v>22</v>
      </c>
      <c r="E2754" t="s">
        <v>14</v>
      </c>
      <c r="F2754" t="s">
        <v>35</v>
      </c>
      <c r="BA2754">
        <f>SUM(Pre[[#This Row],[1]:[46]])</f>
        <v>0</v>
      </c>
    </row>
    <row r="2755" spans="1:53" x14ac:dyDescent="0.2">
      <c r="A2755" t="s">
        <v>61</v>
      </c>
      <c r="B2755" t="s">
        <v>54</v>
      </c>
      <c r="C2755">
        <v>23548</v>
      </c>
      <c r="D2755" t="s">
        <v>22</v>
      </c>
      <c r="E2755" t="s">
        <v>14</v>
      </c>
      <c r="F2755" t="s">
        <v>21</v>
      </c>
      <c r="BA2755">
        <f>SUM(Pre[[#This Row],[1]:[46]])</f>
        <v>0</v>
      </c>
    </row>
    <row r="2756" spans="1:53" x14ac:dyDescent="0.2">
      <c r="A2756" t="s">
        <v>61</v>
      </c>
      <c r="B2756" t="s">
        <v>54</v>
      </c>
      <c r="C2756">
        <v>25801</v>
      </c>
      <c r="D2756" t="s">
        <v>22</v>
      </c>
      <c r="E2756" t="s">
        <v>10</v>
      </c>
      <c r="F2756" t="s">
        <v>11</v>
      </c>
      <c r="U2756">
        <v>2</v>
      </c>
      <c r="BA2756">
        <f>SUM(Pre[[#This Row],[1]:[46]])</f>
        <v>2</v>
      </c>
    </row>
    <row r="2757" spans="1:53" x14ac:dyDescent="0.2">
      <c r="A2757" t="s">
        <v>61</v>
      </c>
      <c r="B2757" t="s">
        <v>54</v>
      </c>
      <c r="C2757">
        <v>25801</v>
      </c>
      <c r="D2757" t="s">
        <v>22</v>
      </c>
      <c r="E2757" t="s">
        <v>14</v>
      </c>
      <c r="F2757" t="s">
        <v>20</v>
      </c>
      <c r="K2757">
        <v>1</v>
      </c>
      <c r="U2757">
        <v>1</v>
      </c>
      <c r="AS2757">
        <v>2</v>
      </c>
      <c r="BA2757">
        <f>SUM(Pre[[#This Row],[1]:[46]])</f>
        <v>4</v>
      </c>
    </row>
    <row r="2758" spans="1:53" x14ac:dyDescent="0.2">
      <c r="A2758" t="s">
        <v>61</v>
      </c>
      <c r="B2758" t="s">
        <v>54</v>
      </c>
      <c r="C2758">
        <v>26555</v>
      </c>
      <c r="D2758" t="s">
        <v>22</v>
      </c>
      <c r="E2758" t="s">
        <v>10</v>
      </c>
      <c r="F2758" t="s">
        <v>11</v>
      </c>
      <c r="J2758">
        <v>2</v>
      </c>
      <c r="BA2758">
        <f>SUM(Pre[[#This Row],[1]:[46]])</f>
        <v>2</v>
      </c>
    </row>
    <row r="2759" spans="1:53" x14ac:dyDescent="0.2">
      <c r="A2759" t="s">
        <v>61</v>
      </c>
      <c r="B2759" t="s">
        <v>54</v>
      </c>
      <c r="C2759">
        <v>27544</v>
      </c>
      <c r="D2759" t="s">
        <v>22</v>
      </c>
      <c r="E2759" t="s">
        <v>10</v>
      </c>
      <c r="F2759" t="s">
        <v>11</v>
      </c>
      <c r="T2759">
        <v>1</v>
      </c>
      <c r="X2759">
        <v>1</v>
      </c>
      <c r="BA2759">
        <f>SUM(Pre[[#This Row],[1]:[46]])</f>
        <v>2</v>
      </c>
    </row>
    <row r="2760" spans="1:53" x14ac:dyDescent="0.2">
      <c r="A2760" t="s">
        <v>61</v>
      </c>
      <c r="B2760" t="s">
        <v>54</v>
      </c>
      <c r="C2760">
        <v>27684</v>
      </c>
      <c r="D2760" t="s">
        <v>22</v>
      </c>
      <c r="E2760" t="s">
        <v>14</v>
      </c>
      <c r="F2760" t="s">
        <v>35</v>
      </c>
      <c r="G2760">
        <v>3</v>
      </c>
      <c r="O2760">
        <v>1</v>
      </c>
      <c r="Y2760">
        <v>1</v>
      </c>
      <c r="AP2760">
        <v>1</v>
      </c>
      <c r="BA2760">
        <f>SUM(Pre[[#This Row],[1]:[46]])</f>
        <v>6</v>
      </c>
    </row>
    <row r="2761" spans="1:53" x14ac:dyDescent="0.2">
      <c r="A2761" t="s">
        <v>61</v>
      </c>
      <c r="B2761" t="s">
        <v>54</v>
      </c>
      <c r="C2761">
        <v>31644</v>
      </c>
      <c r="D2761" t="s">
        <v>22</v>
      </c>
      <c r="E2761" t="s">
        <v>14</v>
      </c>
      <c r="F2761" t="s">
        <v>20</v>
      </c>
      <c r="J2761">
        <v>1</v>
      </c>
      <c r="BA2761">
        <f>SUM(Pre[[#This Row],[1]:[46]])</f>
        <v>1</v>
      </c>
    </row>
    <row r="2762" spans="1:53" x14ac:dyDescent="0.2">
      <c r="A2762" t="s">
        <v>61</v>
      </c>
      <c r="B2762" t="s">
        <v>54</v>
      </c>
      <c r="C2762">
        <v>31797</v>
      </c>
      <c r="D2762" t="s">
        <v>22</v>
      </c>
      <c r="E2762" t="s">
        <v>10</v>
      </c>
      <c r="F2762" t="s">
        <v>11</v>
      </c>
      <c r="BA2762">
        <f>SUM(Pre[[#This Row],[1]:[46]])</f>
        <v>0</v>
      </c>
    </row>
    <row r="2763" spans="1:53" x14ac:dyDescent="0.2">
      <c r="A2763" t="s">
        <v>61</v>
      </c>
      <c r="B2763" t="s">
        <v>54</v>
      </c>
      <c r="C2763">
        <v>31797</v>
      </c>
      <c r="D2763" t="s">
        <v>22</v>
      </c>
      <c r="E2763" t="s">
        <v>14</v>
      </c>
      <c r="F2763" t="s">
        <v>20</v>
      </c>
      <c r="M2763">
        <v>1</v>
      </c>
      <c r="AA2763">
        <v>1</v>
      </c>
      <c r="AO2763">
        <v>1</v>
      </c>
      <c r="BA2763">
        <f>SUM(Pre[[#This Row],[1]:[46]])</f>
        <v>3</v>
      </c>
    </row>
    <row r="2764" spans="1:53" x14ac:dyDescent="0.2">
      <c r="A2764" t="s">
        <v>61</v>
      </c>
      <c r="B2764" t="s">
        <v>54</v>
      </c>
      <c r="C2764">
        <v>33475</v>
      </c>
      <c r="D2764" t="s">
        <v>22</v>
      </c>
      <c r="E2764" t="s">
        <v>14</v>
      </c>
      <c r="F2764" t="s">
        <v>35</v>
      </c>
      <c r="P2764">
        <v>1</v>
      </c>
      <c r="S2764">
        <v>1</v>
      </c>
      <c r="AP2764">
        <v>1</v>
      </c>
      <c r="BA2764">
        <f>SUM(Pre[[#This Row],[1]:[46]])</f>
        <v>3</v>
      </c>
    </row>
    <row r="2765" spans="1:53" x14ac:dyDescent="0.2">
      <c r="A2765" t="s">
        <v>61</v>
      </c>
      <c r="B2765" t="s">
        <v>54</v>
      </c>
      <c r="C2765">
        <v>33880</v>
      </c>
      <c r="D2765" t="s">
        <v>22</v>
      </c>
      <c r="E2765" t="s">
        <v>14</v>
      </c>
      <c r="F2765" t="s">
        <v>19</v>
      </c>
      <c r="AO2765">
        <v>1</v>
      </c>
      <c r="BA2765">
        <f>SUM(Pre[[#This Row],[1]:[46]])</f>
        <v>1</v>
      </c>
    </row>
    <row r="2766" spans="1:53" x14ac:dyDescent="0.2">
      <c r="A2766" t="s">
        <v>61</v>
      </c>
      <c r="B2766" t="s">
        <v>54</v>
      </c>
      <c r="C2766">
        <v>2776</v>
      </c>
      <c r="D2766" t="s">
        <v>7</v>
      </c>
      <c r="E2766" t="s">
        <v>10</v>
      </c>
      <c r="F2766" t="s">
        <v>11</v>
      </c>
      <c r="BA2766">
        <f>SUM(Pre[[#This Row],[1]:[46]])</f>
        <v>0</v>
      </c>
    </row>
    <row r="2767" spans="1:53" x14ac:dyDescent="0.2">
      <c r="A2767" t="s">
        <v>61</v>
      </c>
      <c r="B2767" t="s">
        <v>54</v>
      </c>
      <c r="C2767">
        <v>2776</v>
      </c>
      <c r="D2767" t="s">
        <v>7</v>
      </c>
      <c r="E2767" t="s">
        <v>14</v>
      </c>
      <c r="F2767" t="s">
        <v>20</v>
      </c>
      <c r="M2767">
        <v>1</v>
      </c>
      <c r="AC2767">
        <v>1</v>
      </c>
      <c r="BA2767">
        <f>SUM(Pre[[#This Row],[1]:[46]])</f>
        <v>2</v>
      </c>
    </row>
    <row r="2768" spans="1:53" x14ac:dyDescent="0.2">
      <c r="A2768" t="s">
        <v>61</v>
      </c>
      <c r="B2768" t="s">
        <v>54</v>
      </c>
      <c r="C2768">
        <v>5453</v>
      </c>
      <c r="D2768" t="s">
        <v>7</v>
      </c>
      <c r="E2768" t="s">
        <v>14</v>
      </c>
      <c r="F2768" t="s">
        <v>35</v>
      </c>
      <c r="Z2768">
        <v>1</v>
      </c>
      <c r="AM2768">
        <v>1</v>
      </c>
      <c r="BA2768">
        <f>SUM(Pre[[#This Row],[1]:[46]])</f>
        <v>2</v>
      </c>
    </row>
    <row r="2769" spans="1:53" x14ac:dyDescent="0.2">
      <c r="A2769" t="s">
        <v>61</v>
      </c>
      <c r="B2769" t="s">
        <v>54</v>
      </c>
      <c r="C2769">
        <v>9362</v>
      </c>
      <c r="D2769" t="s">
        <v>7</v>
      </c>
      <c r="E2769" t="s">
        <v>14</v>
      </c>
      <c r="F2769" t="s">
        <v>35</v>
      </c>
      <c r="AG2769">
        <v>1</v>
      </c>
      <c r="AQ2769">
        <v>1</v>
      </c>
      <c r="AU2769">
        <v>1</v>
      </c>
      <c r="BA2769">
        <f>SUM(Pre[[#This Row],[1]:[46]])</f>
        <v>3</v>
      </c>
    </row>
    <row r="2770" spans="1:53" x14ac:dyDescent="0.2">
      <c r="A2770" t="s">
        <v>61</v>
      </c>
      <c r="B2770" t="s">
        <v>54</v>
      </c>
      <c r="C2770">
        <v>9726</v>
      </c>
      <c r="D2770" t="s">
        <v>7</v>
      </c>
      <c r="E2770" t="s">
        <v>14</v>
      </c>
      <c r="F2770" t="s">
        <v>35</v>
      </c>
      <c r="I2770">
        <v>1</v>
      </c>
      <c r="N2770">
        <v>1</v>
      </c>
      <c r="S2770">
        <v>1</v>
      </c>
      <c r="W2770">
        <v>1</v>
      </c>
      <c r="AD2770">
        <v>1</v>
      </c>
      <c r="AK2770">
        <v>1</v>
      </c>
      <c r="AP2770">
        <v>1</v>
      </c>
      <c r="AV2770">
        <v>1</v>
      </c>
      <c r="AW2770">
        <v>1</v>
      </c>
      <c r="BA2770">
        <f>SUM(Pre[[#This Row],[1]:[46]])</f>
        <v>9</v>
      </c>
    </row>
    <row r="2771" spans="1:53" x14ac:dyDescent="0.2">
      <c r="A2771" t="s">
        <v>61</v>
      </c>
      <c r="B2771" t="s">
        <v>54</v>
      </c>
      <c r="C2771">
        <v>10806</v>
      </c>
      <c r="D2771" t="s">
        <v>7</v>
      </c>
      <c r="E2771" t="s">
        <v>10</v>
      </c>
      <c r="F2771" t="s">
        <v>11</v>
      </c>
      <c r="AW2771">
        <v>1</v>
      </c>
      <c r="BA2771">
        <f>SUM(Pre[[#This Row],[1]:[46]])</f>
        <v>1</v>
      </c>
    </row>
    <row r="2772" spans="1:53" x14ac:dyDescent="0.2">
      <c r="A2772" t="s">
        <v>61</v>
      </c>
      <c r="B2772" t="s">
        <v>54</v>
      </c>
      <c r="C2772">
        <v>16759</v>
      </c>
      <c r="D2772" t="s">
        <v>7</v>
      </c>
      <c r="E2772" t="s">
        <v>10</v>
      </c>
      <c r="F2772" t="s">
        <v>11</v>
      </c>
      <c r="BA2772">
        <f>SUM(Pre[[#This Row],[1]:[46]])</f>
        <v>0</v>
      </c>
    </row>
    <row r="2773" spans="1:53" x14ac:dyDescent="0.2">
      <c r="A2773" t="s">
        <v>61</v>
      </c>
      <c r="B2773" t="s">
        <v>54</v>
      </c>
      <c r="C2773">
        <v>16759</v>
      </c>
      <c r="D2773" t="s">
        <v>7</v>
      </c>
      <c r="E2773" t="s">
        <v>14</v>
      </c>
      <c r="F2773" t="s">
        <v>20</v>
      </c>
      <c r="P2773">
        <v>1</v>
      </c>
      <c r="W2773">
        <v>1</v>
      </c>
      <c r="AB2773">
        <v>1</v>
      </c>
      <c r="AG2773">
        <v>1</v>
      </c>
      <c r="AK2773">
        <v>1</v>
      </c>
      <c r="AQ2773">
        <v>1</v>
      </c>
      <c r="AV2773">
        <v>1</v>
      </c>
      <c r="BA2773">
        <f>SUM(Pre[[#This Row],[1]:[46]])</f>
        <v>7</v>
      </c>
    </row>
    <row r="2774" spans="1:53" x14ac:dyDescent="0.2">
      <c r="A2774" t="s">
        <v>61</v>
      </c>
      <c r="B2774" t="s">
        <v>54</v>
      </c>
      <c r="C2774">
        <v>21131</v>
      </c>
      <c r="D2774" t="s">
        <v>7</v>
      </c>
      <c r="E2774" t="s">
        <v>10</v>
      </c>
      <c r="F2774" t="s">
        <v>11</v>
      </c>
      <c r="P2774">
        <v>1</v>
      </c>
      <c r="AB2774">
        <v>1</v>
      </c>
      <c r="AO2774">
        <v>1</v>
      </c>
      <c r="BA2774">
        <f>SUM(Pre[[#This Row],[1]:[46]])</f>
        <v>3</v>
      </c>
    </row>
    <row r="2775" spans="1:53" x14ac:dyDescent="0.2">
      <c r="A2775" t="s">
        <v>61</v>
      </c>
      <c r="B2775" t="s">
        <v>54</v>
      </c>
      <c r="C2775">
        <v>4184</v>
      </c>
      <c r="D2775" t="s">
        <v>22</v>
      </c>
      <c r="E2775" t="s">
        <v>14</v>
      </c>
      <c r="F2775" t="s">
        <v>35</v>
      </c>
      <c r="G2775">
        <v>1</v>
      </c>
      <c r="L2775">
        <v>1</v>
      </c>
      <c r="U2775">
        <v>1</v>
      </c>
      <c r="Z2775">
        <v>1</v>
      </c>
      <c r="AE2775">
        <v>1</v>
      </c>
      <c r="AH2775">
        <v>1</v>
      </c>
      <c r="AN2775">
        <v>1</v>
      </c>
      <c r="AP2775">
        <v>1</v>
      </c>
      <c r="AV2775">
        <v>1</v>
      </c>
      <c r="BA2775">
        <f>SUM(Pre[[#This Row],[1]:[46]])</f>
        <v>9</v>
      </c>
    </row>
    <row r="2776" spans="1:53" x14ac:dyDescent="0.2">
      <c r="A2776" t="s">
        <v>61</v>
      </c>
      <c r="B2776" t="s">
        <v>54</v>
      </c>
      <c r="C2776">
        <v>5102</v>
      </c>
      <c r="D2776" t="s">
        <v>22</v>
      </c>
      <c r="E2776" t="s">
        <v>14</v>
      </c>
      <c r="F2776" t="s">
        <v>20</v>
      </c>
      <c r="W2776">
        <v>2</v>
      </c>
      <c r="AW2776">
        <v>2</v>
      </c>
      <c r="BA2776">
        <f>SUM(Pre[[#This Row],[1]:[46]])</f>
        <v>4</v>
      </c>
    </row>
    <row r="2777" spans="1:53" x14ac:dyDescent="0.2">
      <c r="A2777" t="s">
        <v>61</v>
      </c>
      <c r="B2777" t="s">
        <v>54</v>
      </c>
      <c r="C2777">
        <v>6850</v>
      </c>
      <c r="D2777" t="s">
        <v>22</v>
      </c>
      <c r="E2777" t="s">
        <v>14</v>
      </c>
      <c r="F2777" t="s">
        <v>20</v>
      </c>
      <c r="X2777">
        <v>1</v>
      </c>
      <c r="AN2777">
        <v>1</v>
      </c>
      <c r="AZ2777">
        <v>1</v>
      </c>
      <c r="BA2777">
        <f>SUM(Pre[[#This Row],[1]:[46]])</f>
        <v>3</v>
      </c>
    </row>
    <row r="2778" spans="1:53" x14ac:dyDescent="0.2">
      <c r="A2778" t="s">
        <v>61</v>
      </c>
      <c r="B2778" t="s">
        <v>54</v>
      </c>
      <c r="C2778">
        <v>11021</v>
      </c>
      <c r="D2778" t="s">
        <v>22</v>
      </c>
      <c r="E2778" t="s">
        <v>14</v>
      </c>
      <c r="F2778" t="s">
        <v>20</v>
      </c>
      <c r="O2778">
        <v>1</v>
      </c>
      <c r="BA2778">
        <f>SUM(Pre[[#This Row],[1]:[46]])</f>
        <v>1</v>
      </c>
    </row>
    <row r="2779" spans="1:53" x14ac:dyDescent="0.2">
      <c r="A2779" t="s">
        <v>61</v>
      </c>
      <c r="B2779" t="s">
        <v>54</v>
      </c>
      <c r="C2779">
        <v>29618</v>
      </c>
      <c r="D2779" t="s">
        <v>22</v>
      </c>
      <c r="E2779" t="s">
        <v>14</v>
      </c>
      <c r="F2779" t="s">
        <v>20</v>
      </c>
      <c r="I2779">
        <v>1</v>
      </c>
      <c r="M2779">
        <v>1</v>
      </c>
      <c r="N2779">
        <v>1</v>
      </c>
      <c r="S2779">
        <v>1</v>
      </c>
      <c r="W2779">
        <v>1</v>
      </c>
      <c r="AB2779">
        <v>1</v>
      </c>
      <c r="AF2779">
        <v>1</v>
      </c>
      <c r="AJ2779">
        <v>1</v>
      </c>
      <c r="AM2779">
        <v>1</v>
      </c>
      <c r="AQ2779">
        <v>1</v>
      </c>
      <c r="AU2779">
        <v>1</v>
      </c>
      <c r="AW2779">
        <v>1</v>
      </c>
      <c r="AY2779">
        <v>1</v>
      </c>
      <c r="BA2779">
        <f>SUM(Pre[[#This Row],[1]:[46]])</f>
        <v>13</v>
      </c>
    </row>
    <row r="2780" spans="1:53" x14ac:dyDescent="0.2">
      <c r="A2780" t="s">
        <v>61</v>
      </c>
      <c r="B2780" t="s">
        <v>54</v>
      </c>
      <c r="C2780">
        <v>9357</v>
      </c>
      <c r="D2780" t="s">
        <v>22</v>
      </c>
      <c r="E2780" t="s">
        <v>14</v>
      </c>
      <c r="F2780" t="s">
        <v>20</v>
      </c>
      <c r="H2780">
        <v>1</v>
      </c>
      <c r="M2780">
        <v>1</v>
      </c>
      <c r="Q2780">
        <v>1</v>
      </c>
      <c r="R2780">
        <v>1</v>
      </c>
      <c r="W2780">
        <v>1</v>
      </c>
      <c r="AB2780">
        <v>1</v>
      </c>
      <c r="AF2780">
        <v>1</v>
      </c>
      <c r="AU2780">
        <v>1</v>
      </c>
      <c r="AY2780">
        <v>1</v>
      </c>
      <c r="BA2780">
        <f>SUM(Pre[[#This Row],[1]:[46]])</f>
        <v>9</v>
      </c>
    </row>
    <row r="2781" spans="1:53" x14ac:dyDescent="0.2">
      <c r="A2781" t="s">
        <v>61</v>
      </c>
      <c r="B2781" t="s">
        <v>54</v>
      </c>
      <c r="C2781">
        <v>13823</v>
      </c>
      <c r="D2781" t="s">
        <v>22</v>
      </c>
      <c r="E2781" t="s">
        <v>10</v>
      </c>
      <c r="F2781" t="s">
        <v>11</v>
      </c>
      <c r="AW2781">
        <v>1</v>
      </c>
      <c r="AX2781">
        <v>2</v>
      </c>
      <c r="BA2781">
        <f>SUM(Pre[[#This Row],[1]:[46]])</f>
        <v>3</v>
      </c>
    </row>
    <row r="2782" spans="1:53" x14ac:dyDescent="0.2">
      <c r="A2782" t="s">
        <v>61</v>
      </c>
      <c r="B2782" t="s">
        <v>54</v>
      </c>
      <c r="C2782">
        <v>2566</v>
      </c>
      <c r="D2782" t="s">
        <v>7</v>
      </c>
      <c r="E2782" t="s">
        <v>32</v>
      </c>
      <c r="F2782" t="s">
        <v>33</v>
      </c>
      <c r="BA2782">
        <f>SUM(Pre[[#This Row],[1]:[46]])</f>
        <v>0</v>
      </c>
    </row>
    <row r="2783" spans="1:53" x14ac:dyDescent="0.2">
      <c r="A2783" t="s">
        <v>61</v>
      </c>
      <c r="B2783" t="s">
        <v>54</v>
      </c>
      <c r="C2783">
        <v>3278</v>
      </c>
      <c r="D2783" t="s">
        <v>7</v>
      </c>
      <c r="E2783" t="s">
        <v>14</v>
      </c>
      <c r="F2783" t="s">
        <v>35</v>
      </c>
      <c r="I2783">
        <v>1</v>
      </c>
      <c r="P2783">
        <v>1</v>
      </c>
      <c r="U2783">
        <v>1</v>
      </c>
      <c r="Y2783">
        <v>1</v>
      </c>
      <c r="AC2783">
        <v>1</v>
      </c>
      <c r="AH2783">
        <v>1</v>
      </c>
      <c r="AN2783">
        <v>1</v>
      </c>
      <c r="AR2783">
        <v>1</v>
      </c>
      <c r="AW2783">
        <v>1</v>
      </c>
      <c r="BA2783">
        <f>SUM(Pre[[#This Row],[1]:[46]])</f>
        <v>9</v>
      </c>
    </row>
    <row r="2784" spans="1:53" x14ac:dyDescent="0.2">
      <c r="A2784" t="s">
        <v>61</v>
      </c>
      <c r="B2784" t="s">
        <v>54</v>
      </c>
      <c r="C2784">
        <v>6164</v>
      </c>
      <c r="D2784" t="s">
        <v>7</v>
      </c>
      <c r="E2784" t="s">
        <v>14</v>
      </c>
      <c r="F2784" t="s">
        <v>20</v>
      </c>
      <c r="L2784">
        <v>1</v>
      </c>
      <c r="Z2784">
        <v>1</v>
      </c>
      <c r="AN2784">
        <v>1</v>
      </c>
      <c r="BA2784">
        <f>SUM(Pre[[#This Row],[1]:[46]])</f>
        <v>3</v>
      </c>
    </row>
    <row r="2785" spans="1:53" x14ac:dyDescent="0.2">
      <c r="A2785" t="s">
        <v>61</v>
      </c>
      <c r="B2785" t="s">
        <v>54</v>
      </c>
      <c r="C2785">
        <v>13030</v>
      </c>
      <c r="D2785" t="s">
        <v>7</v>
      </c>
      <c r="E2785" t="s">
        <v>14</v>
      </c>
      <c r="F2785" t="s">
        <v>35</v>
      </c>
      <c r="K2785">
        <v>1</v>
      </c>
      <c r="X2785">
        <v>1</v>
      </c>
      <c r="AJ2785">
        <v>1</v>
      </c>
      <c r="AW2785">
        <v>1</v>
      </c>
      <c r="BA2785">
        <f>SUM(Pre[[#This Row],[1]:[46]])</f>
        <v>4</v>
      </c>
    </row>
    <row r="2786" spans="1:53" x14ac:dyDescent="0.2">
      <c r="A2786" t="s">
        <v>61</v>
      </c>
      <c r="B2786" t="s">
        <v>54</v>
      </c>
      <c r="C2786">
        <v>16313</v>
      </c>
      <c r="D2786" t="s">
        <v>7</v>
      </c>
      <c r="E2786" t="s">
        <v>14</v>
      </c>
      <c r="F2786" t="s">
        <v>20</v>
      </c>
      <c r="AF2786">
        <v>1</v>
      </c>
      <c r="BA2786">
        <f>SUM(Pre[[#This Row],[1]:[46]])</f>
        <v>1</v>
      </c>
    </row>
    <row r="2787" spans="1:53" x14ac:dyDescent="0.2">
      <c r="A2787" t="s">
        <v>61</v>
      </c>
      <c r="B2787" t="s">
        <v>54</v>
      </c>
      <c r="C2787">
        <v>16442</v>
      </c>
      <c r="D2787" t="s">
        <v>7</v>
      </c>
      <c r="E2787" t="s">
        <v>14</v>
      </c>
      <c r="F2787" t="s">
        <v>20</v>
      </c>
      <c r="I2787">
        <v>1</v>
      </c>
      <c r="J2787">
        <v>1</v>
      </c>
      <c r="Q2787">
        <v>1</v>
      </c>
      <c r="R2787">
        <v>1</v>
      </c>
      <c r="AA2787">
        <v>2</v>
      </c>
      <c r="AD2787">
        <v>1</v>
      </c>
      <c r="AI2787">
        <v>1</v>
      </c>
      <c r="AT2787">
        <v>1</v>
      </c>
      <c r="BA2787">
        <f>SUM(Pre[[#This Row],[1]:[46]])</f>
        <v>9</v>
      </c>
    </row>
    <row r="2788" spans="1:53" x14ac:dyDescent="0.2">
      <c r="A2788" t="s">
        <v>61</v>
      </c>
      <c r="B2788" t="s">
        <v>54</v>
      </c>
      <c r="C2788">
        <v>1171</v>
      </c>
      <c r="D2788" t="s">
        <v>22</v>
      </c>
      <c r="E2788" t="s">
        <v>14</v>
      </c>
      <c r="F2788" t="s">
        <v>35</v>
      </c>
      <c r="K2788">
        <v>1</v>
      </c>
      <c r="AB2788">
        <v>1</v>
      </c>
      <c r="AP2788">
        <v>1</v>
      </c>
      <c r="BA2788">
        <f>SUM(Pre[[#This Row],[1]:[46]])</f>
        <v>3</v>
      </c>
    </row>
    <row r="2789" spans="1:53" x14ac:dyDescent="0.2">
      <c r="A2789" t="s">
        <v>61</v>
      </c>
      <c r="B2789" t="s">
        <v>54</v>
      </c>
      <c r="C2789">
        <v>3683</v>
      </c>
      <c r="D2789" t="s">
        <v>22</v>
      </c>
      <c r="E2789" t="s">
        <v>14</v>
      </c>
      <c r="F2789" t="s">
        <v>35</v>
      </c>
      <c r="G2789">
        <v>1</v>
      </c>
      <c r="J2789">
        <v>1</v>
      </c>
      <c r="R2789">
        <v>1</v>
      </c>
      <c r="V2789">
        <v>1</v>
      </c>
      <c r="AA2789">
        <v>1</v>
      </c>
      <c r="AE2789">
        <v>1</v>
      </c>
      <c r="AI2789">
        <v>1</v>
      </c>
      <c r="AN2789">
        <v>1</v>
      </c>
      <c r="AR2789">
        <v>1</v>
      </c>
      <c r="AV2789">
        <v>1</v>
      </c>
      <c r="AZ2789">
        <v>1</v>
      </c>
      <c r="BA2789">
        <f>SUM(Pre[[#This Row],[1]:[46]])</f>
        <v>11</v>
      </c>
    </row>
    <row r="2790" spans="1:53" x14ac:dyDescent="0.2">
      <c r="A2790" t="s">
        <v>61</v>
      </c>
      <c r="B2790" t="s">
        <v>54</v>
      </c>
      <c r="C2790">
        <v>3889</v>
      </c>
      <c r="D2790" t="s">
        <v>22</v>
      </c>
      <c r="E2790" t="s">
        <v>14</v>
      </c>
      <c r="F2790" t="s">
        <v>21</v>
      </c>
      <c r="G2790">
        <v>1</v>
      </c>
      <c r="K2790">
        <v>1</v>
      </c>
      <c r="P2790">
        <v>1</v>
      </c>
      <c r="T2790">
        <v>1</v>
      </c>
      <c r="W2790">
        <v>1</v>
      </c>
      <c r="AB2790">
        <v>1</v>
      </c>
      <c r="AG2790">
        <v>1</v>
      </c>
      <c r="AK2790">
        <v>1</v>
      </c>
      <c r="AO2790">
        <v>1</v>
      </c>
      <c r="AS2790">
        <v>1</v>
      </c>
      <c r="AX2790">
        <v>1</v>
      </c>
      <c r="BA2790">
        <f>SUM(Pre[[#This Row],[1]:[46]])</f>
        <v>11</v>
      </c>
    </row>
    <row r="2791" spans="1:53" x14ac:dyDescent="0.2">
      <c r="A2791" t="s">
        <v>61</v>
      </c>
      <c r="B2791" t="s">
        <v>54</v>
      </c>
      <c r="C2791">
        <v>4214</v>
      </c>
      <c r="D2791" t="s">
        <v>22</v>
      </c>
      <c r="E2791" t="s">
        <v>14</v>
      </c>
      <c r="F2791" t="s">
        <v>21</v>
      </c>
      <c r="Y2791">
        <v>1</v>
      </c>
      <c r="AK2791">
        <v>1</v>
      </c>
      <c r="AY2791">
        <v>1</v>
      </c>
      <c r="BA2791">
        <f>SUM(Pre[[#This Row],[1]:[46]])</f>
        <v>3</v>
      </c>
    </row>
    <row r="2792" spans="1:53" x14ac:dyDescent="0.2">
      <c r="A2792" t="s">
        <v>61</v>
      </c>
      <c r="B2792" t="s">
        <v>54</v>
      </c>
      <c r="C2792">
        <v>8053</v>
      </c>
      <c r="D2792" t="s">
        <v>22</v>
      </c>
      <c r="E2792" t="s">
        <v>14</v>
      </c>
      <c r="F2792" t="s">
        <v>20</v>
      </c>
      <c r="L2792">
        <v>1</v>
      </c>
      <c r="O2792">
        <v>1</v>
      </c>
      <c r="U2792">
        <v>1</v>
      </c>
      <c r="Y2792">
        <v>1</v>
      </c>
      <c r="AD2792">
        <v>1</v>
      </c>
      <c r="AH2792">
        <v>1</v>
      </c>
      <c r="AM2792">
        <v>1</v>
      </c>
      <c r="AQ2792">
        <v>1</v>
      </c>
      <c r="AV2792">
        <v>1</v>
      </c>
      <c r="AZ2792">
        <v>2</v>
      </c>
      <c r="BA2792">
        <f>SUM(Pre[[#This Row],[1]:[46]])</f>
        <v>11</v>
      </c>
    </row>
    <row r="2793" spans="1:53" x14ac:dyDescent="0.2">
      <c r="A2793" t="s">
        <v>61</v>
      </c>
      <c r="B2793" t="s">
        <v>54</v>
      </c>
      <c r="C2793">
        <v>15013</v>
      </c>
      <c r="D2793" t="s">
        <v>22</v>
      </c>
      <c r="E2793" t="s">
        <v>10</v>
      </c>
      <c r="F2793" t="s">
        <v>11</v>
      </c>
      <c r="BA2793">
        <f>SUM(Pre[[#This Row],[1]:[46]])</f>
        <v>0</v>
      </c>
    </row>
    <row r="2794" spans="1:53" x14ac:dyDescent="0.2">
      <c r="A2794" t="s">
        <v>61</v>
      </c>
      <c r="B2794" t="s">
        <v>54</v>
      </c>
      <c r="C2794">
        <v>4584</v>
      </c>
      <c r="D2794" t="s">
        <v>22</v>
      </c>
      <c r="E2794" t="s">
        <v>14</v>
      </c>
      <c r="F2794" t="s">
        <v>35</v>
      </c>
      <c r="V2794">
        <v>1</v>
      </c>
      <c r="AW2794">
        <v>2</v>
      </c>
      <c r="BA2794">
        <f>SUM(Pre[[#This Row],[1]:[46]])</f>
        <v>3</v>
      </c>
    </row>
    <row r="2795" spans="1:53" x14ac:dyDescent="0.2">
      <c r="A2795" t="s">
        <v>61</v>
      </c>
      <c r="B2795" t="s">
        <v>54</v>
      </c>
      <c r="C2795">
        <v>5376</v>
      </c>
      <c r="D2795" t="s">
        <v>22</v>
      </c>
      <c r="E2795" t="s">
        <v>14</v>
      </c>
      <c r="F2795" t="s">
        <v>35</v>
      </c>
      <c r="G2795">
        <v>1</v>
      </c>
      <c r="BA2795">
        <f>SUM(Pre[[#This Row],[1]:[46]])</f>
        <v>1</v>
      </c>
    </row>
    <row r="2796" spans="1:53" x14ac:dyDescent="0.2">
      <c r="A2796" t="s">
        <v>61</v>
      </c>
      <c r="B2796" t="s">
        <v>54</v>
      </c>
      <c r="C2796">
        <v>4503</v>
      </c>
      <c r="D2796" t="s">
        <v>7</v>
      </c>
      <c r="E2796" t="s">
        <v>8</v>
      </c>
      <c r="F2796" t="s">
        <v>23</v>
      </c>
      <c r="AI2796">
        <v>1</v>
      </c>
      <c r="BA2796">
        <f>SUM(Pre[[#This Row],[1]:[46]])</f>
        <v>1</v>
      </c>
    </row>
    <row r="2797" spans="1:53" x14ac:dyDescent="0.2">
      <c r="A2797" t="s">
        <v>61</v>
      </c>
      <c r="B2797" t="s">
        <v>54</v>
      </c>
      <c r="C2797">
        <v>6963</v>
      </c>
      <c r="D2797" t="s">
        <v>7</v>
      </c>
      <c r="E2797" t="s">
        <v>8</v>
      </c>
      <c r="F2797" t="s">
        <v>9</v>
      </c>
      <c r="K2797">
        <v>1</v>
      </c>
      <c r="O2797">
        <v>1</v>
      </c>
      <c r="Z2797">
        <v>1</v>
      </c>
      <c r="AK2797">
        <v>1</v>
      </c>
      <c r="AL2797">
        <v>1</v>
      </c>
      <c r="BA2797">
        <f>SUM(Pre[[#This Row],[1]:[46]])</f>
        <v>5</v>
      </c>
    </row>
    <row r="2798" spans="1:53" x14ac:dyDescent="0.2">
      <c r="A2798" t="s">
        <v>61</v>
      </c>
      <c r="B2798" t="s">
        <v>54</v>
      </c>
      <c r="C2798">
        <v>8800</v>
      </c>
      <c r="D2798" t="s">
        <v>7</v>
      </c>
      <c r="E2798" t="s">
        <v>8</v>
      </c>
      <c r="F2798" t="s">
        <v>23</v>
      </c>
      <c r="H2798">
        <v>1</v>
      </c>
      <c r="BA2798">
        <f>SUM(Pre[[#This Row],[1]:[46]])</f>
        <v>1</v>
      </c>
    </row>
    <row r="2799" spans="1:53" x14ac:dyDescent="0.2">
      <c r="A2799" t="s">
        <v>61</v>
      </c>
      <c r="B2799" t="s">
        <v>54</v>
      </c>
      <c r="C2799">
        <v>8800</v>
      </c>
      <c r="D2799" t="s">
        <v>7</v>
      </c>
      <c r="E2799" t="s">
        <v>8</v>
      </c>
      <c r="F2799" t="s">
        <v>9</v>
      </c>
      <c r="N2799">
        <v>1</v>
      </c>
      <c r="AA2799">
        <v>2</v>
      </c>
      <c r="AO2799">
        <v>1</v>
      </c>
      <c r="AP2799">
        <v>1</v>
      </c>
      <c r="BA2799">
        <f>SUM(Pre[[#This Row],[1]:[46]])</f>
        <v>5</v>
      </c>
    </row>
    <row r="2800" spans="1:53" x14ac:dyDescent="0.2">
      <c r="A2800" t="s">
        <v>61</v>
      </c>
      <c r="B2800" t="s">
        <v>54</v>
      </c>
      <c r="C2800">
        <v>9727</v>
      </c>
      <c r="D2800" t="s">
        <v>7</v>
      </c>
      <c r="E2800" t="s">
        <v>8</v>
      </c>
      <c r="F2800" t="s">
        <v>23</v>
      </c>
      <c r="Q2800">
        <v>2</v>
      </c>
      <c r="U2800">
        <v>1</v>
      </c>
      <c r="AA2800">
        <v>1</v>
      </c>
      <c r="AB2800">
        <v>1</v>
      </c>
      <c r="AG2800">
        <v>1</v>
      </c>
      <c r="AP2800">
        <v>1</v>
      </c>
      <c r="AQ2800">
        <v>1</v>
      </c>
      <c r="AW2800">
        <v>1</v>
      </c>
      <c r="BA2800">
        <f>SUM(Pre[[#This Row],[1]:[46]])</f>
        <v>9</v>
      </c>
    </row>
    <row r="2801" spans="1:53" x14ac:dyDescent="0.2">
      <c r="A2801" t="s">
        <v>61</v>
      </c>
      <c r="B2801" t="s">
        <v>54</v>
      </c>
      <c r="C2801">
        <v>16923</v>
      </c>
      <c r="D2801" t="s">
        <v>7</v>
      </c>
      <c r="E2801" t="s">
        <v>8</v>
      </c>
      <c r="F2801" t="s">
        <v>23</v>
      </c>
      <c r="Q2801">
        <v>1</v>
      </c>
      <c r="AE2801">
        <v>1</v>
      </c>
      <c r="AS2801">
        <v>1</v>
      </c>
      <c r="BA2801">
        <f>SUM(Pre[[#This Row],[1]:[46]])</f>
        <v>3</v>
      </c>
    </row>
    <row r="2802" spans="1:53" x14ac:dyDescent="0.2">
      <c r="A2802" t="s">
        <v>61</v>
      </c>
      <c r="B2802" t="s">
        <v>54</v>
      </c>
      <c r="C2802">
        <v>29048</v>
      </c>
      <c r="D2802" t="s">
        <v>7</v>
      </c>
      <c r="E2802" t="s">
        <v>8</v>
      </c>
      <c r="F2802" t="s">
        <v>9</v>
      </c>
      <c r="I2802">
        <v>1</v>
      </c>
      <c r="M2802">
        <v>1</v>
      </c>
      <c r="Q2802">
        <v>1</v>
      </c>
      <c r="S2802">
        <v>1</v>
      </c>
      <c r="X2802">
        <v>1</v>
      </c>
      <c r="AA2802">
        <v>1</v>
      </c>
      <c r="AE2802">
        <v>1</v>
      </c>
      <c r="AG2802">
        <v>1</v>
      </c>
      <c r="AH2802">
        <v>1</v>
      </c>
      <c r="AK2802">
        <v>1</v>
      </c>
      <c r="AM2802">
        <v>1</v>
      </c>
      <c r="AO2802">
        <v>1</v>
      </c>
      <c r="AR2802">
        <v>1</v>
      </c>
      <c r="AT2802">
        <v>1</v>
      </c>
      <c r="AW2802">
        <v>1</v>
      </c>
      <c r="BA2802">
        <f>SUM(Pre[[#This Row],[1]:[46]])</f>
        <v>15</v>
      </c>
    </row>
    <row r="2803" spans="1:53" x14ac:dyDescent="0.2">
      <c r="A2803" t="s">
        <v>61</v>
      </c>
      <c r="B2803" t="s">
        <v>54</v>
      </c>
      <c r="C2803">
        <v>30336</v>
      </c>
      <c r="D2803" t="s">
        <v>7</v>
      </c>
      <c r="E2803" t="s">
        <v>8</v>
      </c>
      <c r="F2803" t="s">
        <v>23</v>
      </c>
      <c r="BA2803">
        <f>SUM(Pre[[#This Row],[1]:[46]])</f>
        <v>0</v>
      </c>
    </row>
    <row r="2804" spans="1:53" x14ac:dyDescent="0.2">
      <c r="A2804" t="s">
        <v>61</v>
      </c>
      <c r="B2804" t="s">
        <v>54</v>
      </c>
      <c r="C2804">
        <v>33420</v>
      </c>
      <c r="D2804" t="s">
        <v>7</v>
      </c>
      <c r="E2804" t="s">
        <v>8</v>
      </c>
      <c r="F2804" t="s">
        <v>23</v>
      </c>
      <c r="U2804">
        <v>1</v>
      </c>
      <c r="AH2804">
        <v>1</v>
      </c>
      <c r="AU2804">
        <v>1</v>
      </c>
      <c r="AV2804">
        <v>1</v>
      </c>
      <c r="BA2804">
        <f>SUM(Pre[[#This Row],[1]:[46]])</f>
        <v>4</v>
      </c>
    </row>
    <row r="2805" spans="1:53" x14ac:dyDescent="0.2">
      <c r="A2805" t="s">
        <v>61</v>
      </c>
      <c r="B2805" t="s">
        <v>54</v>
      </c>
      <c r="C2805">
        <v>506</v>
      </c>
      <c r="D2805" t="s">
        <v>22</v>
      </c>
      <c r="E2805" t="s">
        <v>8</v>
      </c>
      <c r="F2805" t="s">
        <v>9</v>
      </c>
      <c r="J2805">
        <v>1</v>
      </c>
      <c r="V2805">
        <v>1</v>
      </c>
      <c r="AM2805">
        <v>1</v>
      </c>
      <c r="BA2805">
        <f>SUM(Pre[[#This Row],[1]:[46]])</f>
        <v>3</v>
      </c>
    </row>
    <row r="2806" spans="1:53" x14ac:dyDescent="0.2">
      <c r="A2806" t="s">
        <v>61</v>
      </c>
      <c r="B2806" t="s">
        <v>54</v>
      </c>
      <c r="C2806">
        <v>3627</v>
      </c>
      <c r="D2806" t="s">
        <v>22</v>
      </c>
      <c r="E2806" t="s">
        <v>8</v>
      </c>
      <c r="F2806" t="s">
        <v>23</v>
      </c>
      <c r="N2806">
        <v>1</v>
      </c>
      <c r="AA2806">
        <v>1</v>
      </c>
      <c r="AM2806">
        <v>1</v>
      </c>
      <c r="AZ2806">
        <v>1</v>
      </c>
      <c r="BA2806">
        <f>SUM(Pre[[#This Row],[1]:[46]])</f>
        <v>4</v>
      </c>
    </row>
    <row r="2807" spans="1:53" x14ac:dyDescent="0.2">
      <c r="A2807" t="s">
        <v>61</v>
      </c>
      <c r="B2807" t="s">
        <v>54</v>
      </c>
      <c r="C2807">
        <v>5362</v>
      </c>
      <c r="D2807" t="s">
        <v>22</v>
      </c>
      <c r="E2807" t="s">
        <v>8</v>
      </c>
      <c r="F2807" t="s">
        <v>9</v>
      </c>
      <c r="H2807">
        <v>1</v>
      </c>
      <c r="V2807">
        <v>1</v>
      </c>
      <c r="AQ2807">
        <v>1</v>
      </c>
      <c r="BA2807">
        <f>SUM(Pre[[#This Row],[1]:[46]])</f>
        <v>3</v>
      </c>
    </row>
    <row r="2808" spans="1:53" x14ac:dyDescent="0.2">
      <c r="A2808" t="s">
        <v>61</v>
      </c>
      <c r="B2808" t="s">
        <v>54</v>
      </c>
      <c r="C2808">
        <v>5736</v>
      </c>
      <c r="D2808" t="s">
        <v>22</v>
      </c>
      <c r="E2808" t="s">
        <v>8</v>
      </c>
      <c r="F2808" t="s">
        <v>9</v>
      </c>
      <c r="M2808">
        <v>1</v>
      </c>
      <c r="Q2808">
        <v>1</v>
      </c>
      <c r="U2808">
        <v>1</v>
      </c>
      <c r="Y2808">
        <v>1</v>
      </c>
      <c r="AC2808">
        <v>1</v>
      </c>
      <c r="AH2808">
        <v>1</v>
      </c>
      <c r="AL2808">
        <v>1</v>
      </c>
      <c r="AQ2808">
        <v>1</v>
      </c>
      <c r="AU2808">
        <v>1</v>
      </c>
      <c r="AY2808">
        <v>1</v>
      </c>
      <c r="BA2808">
        <f>SUM(Pre[[#This Row],[1]:[46]])</f>
        <v>10</v>
      </c>
    </row>
    <row r="2809" spans="1:53" x14ac:dyDescent="0.2">
      <c r="A2809" t="s">
        <v>61</v>
      </c>
      <c r="B2809" t="s">
        <v>54</v>
      </c>
      <c r="C2809">
        <v>10830</v>
      </c>
      <c r="D2809" t="s">
        <v>22</v>
      </c>
      <c r="E2809" t="s">
        <v>8</v>
      </c>
      <c r="F2809" t="s">
        <v>23</v>
      </c>
      <c r="G2809">
        <v>1</v>
      </c>
      <c r="L2809">
        <v>1</v>
      </c>
      <c r="R2809">
        <v>1</v>
      </c>
      <c r="V2809">
        <v>1</v>
      </c>
      <c r="AA2809">
        <v>1</v>
      </c>
      <c r="AE2809">
        <v>1</v>
      </c>
      <c r="AJ2809">
        <v>1</v>
      </c>
      <c r="AO2809">
        <v>1</v>
      </c>
      <c r="AS2809">
        <v>1</v>
      </c>
      <c r="AX2809">
        <v>1</v>
      </c>
      <c r="BA2809">
        <f>SUM(Pre[[#This Row],[1]:[46]])</f>
        <v>10</v>
      </c>
    </row>
    <row r="2810" spans="1:53" x14ac:dyDescent="0.2">
      <c r="A2810" t="s">
        <v>61</v>
      </c>
      <c r="B2810" t="s">
        <v>54</v>
      </c>
      <c r="C2810">
        <v>14654</v>
      </c>
      <c r="D2810" t="s">
        <v>22</v>
      </c>
      <c r="E2810" t="s">
        <v>8</v>
      </c>
      <c r="F2810" t="s">
        <v>9</v>
      </c>
      <c r="T2810">
        <v>1</v>
      </c>
      <c r="BA2810">
        <f>SUM(Pre[[#This Row],[1]:[46]])</f>
        <v>1</v>
      </c>
    </row>
    <row r="2811" spans="1:53" x14ac:dyDescent="0.2">
      <c r="A2811" t="s">
        <v>61</v>
      </c>
      <c r="B2811" t="s">
        <v>54</v>
      </c>
      <c r="C2811">
        <v>15115</v>
      </c>
      <c r="D2811" t="s">
        <v>22</v>
      </c>
      <c r="E2811" t="s">
        <v>8</v>
      </c>
      <c r="F2811" t="s">
        <v>23</v>
      </c>
      <c r="L2811">
        <v>1</v>
      </c>
      <c r="Y2811">
        <v>1</v>
      </c>
      <c r="AL2811">
        <v>1</v>
      </c>
      <c r="AY2811">
        <v>1</v>
      </c>
      <c r="BA2811">
        <f>SUM(Pre[[#This Row],[1]:[46]])</f>
        <v>4</v>
      </c>
    </row>
    <row r="2812" spans="1:53" x14ac:dyDescent="0.2">
      <c r="A2812" t="s">
        <v>61</v>
      </c>
      <c r="B2812" t="s">
        <v>54</v>
      </c>
      <c r="C2812">
        <v>17082</v>
      </c>
      <c r="D2812" t="s">
        <v>22</v>
      </c>
      <c r="E2812" t="s">
        <v>8</v>
      </c>
      <c r="F2812" t="s">
        <v>23</v>
      </c>
      <c r="AQ2812">
        <v>2</v>
      </c>
      <c r="BA2812">
        <f>SUM(Pre[[#This Row],[1]:[46]])</f>
        <v>2</v>
      </c>
    </row>
    <row r="2813" spans="1:53" x14ac:dyDescent="0.2">
      <c r="A2813" t="s">
        <v>61</v>
      </c>
      <c r="B2813" t="s">
        <v>54</v>
      </c>
      <c r="C2813">
        <v>29026</v>
      </c>
      <c r="D2813" t="s">
        <v>22</v>
      </c>
      <c r="E2813" t="s">
        <v>8</v>
      </c>
      <c r="F2813" t="s">
        <v>9</v>
      </c>
      <c r="O2813">
        <v>1</v>
      </c>
      <c r="P2813">
        <v>1</v>
      </c>
      <c r="AA2813">
        <v>1</v>
      </c>
      <c r="AL2813">
        <v>1</v>
      </c>
      <c r="BA2813">
        <f>SUM(Pre[[#This Row],[1]:[46]])</f>
        <v>4</v>
      </c>
    </row>
    <row r="2814" spans="1:53" x14ac:dyDescent="0.2">
      <c r="A2814" t="s">
        <v>61</v>
      </c>
      <c r="B2814" t="s">
        <v>54</v>
      </c>
      <c r="C2814">
        <v>32005</v>
      </c>
      <c r="D2814" t="s">
        <v>22</v>
      </c>
      <c r="E2814" t="s">
        <v>8</v>
      </c>
      <c r="F2814" t="s">
        <v>23</v>
      </c>
      <c r="J2814">
        <v>1</v>
      </c>
      <c r="BA2814">
        <f>SUM(Pre[[#This Row],[1]:[46]])</f>
        <v>1</v>
      </c>
    </row>
    <row r="2815" spans="1:53" x14ac:dyDescent="0.2">
      <c r="A2815" t="s">
        <v>61</v>
      </c>
      <c r="B2815" t="s">
        <v>54</v>
      </c>
      <c r="C2815">
        <v>2399</v>
      </c>
      <c r="D2815" t="s">
        <v>7</v>
      </c>
      <c r="E2815" t="s">
        <v>8</v>
      </c>
      <c r="F2815" t="s">
        <v>9</v>
      </c>
      <c r="Y2815">
        <v>1</v>
      </c>
      <c r="AO2815">
        <v>1</v>
      </c>
      <c r="BA2815">
        <f>SUM(Pre[[#This Row],[1]:[46]])</f>
        <v>2</v>
      </c>
    </row>
    <row r="2816" spans="1:53" x14ac:dyDescent="0.2">
      <c r="A2816" t="s">
        <v>61</v>
      </c>
      <c r="B2816" t="s">
        <v>54</v>
      </c>
      <c r="C2816">
        <v>3149</v>
      </c>
      <c r="D2816" t="s">
        <v>7</v>
      </c>
      <c r="E2816" t="s">
        <v>8</v>
      </c>
      <c r="F2816" t="s">
        <v>9</v>
      </c>
      <c r="I2816">
        <v>1</v>
      </c>
      <c r="P2816">
        <v>1</v>
      </c>
      <c r="S2816">
        <v>2</v>
      </c>
      <c r="AD2816">
        <v>1</v>
      </c>
      <c r="AK2816">
        <v>2</v>
      </c>
      <c r="AO2816">
        <v>1</v>
      </c>
      <c r="BA2816">
        <f>SUM(Pre[[#This Row],[1]:[46]])</f>
        <v>8</v>
      </c>
    </row>
    <row r="2817" spans="1:53" x14ac:dyDescent="0.2">
      <c r="A2817" t="s">
        <v>61</v>
      </c>
      <c r="B2817" t="s">
        <v>54</v>
      </c>
      <c r="C2817">
        <v>4124</v>
      </c>
      <c r="D2817" t="s">
        <v>7</v>
      </c>
      <c r="E2817" t="s">
        <v>8</v>
      </c>
      <c r="F2817" t="s">
        <v>9</v>
      </c>
      <c r="L2817">
        <v>2</v>
      </c>
      <c r="S2817">
        <v>1</v>
      </c>
      <c r="AB2817">
        <v>1</v>
      </c>
      <c r="AO2817">
        <v>1</v>
      </c>
      <c r="BA2817">
        <f>SUM(Pre[[#This Row],[1]:[46]])</f>
        <v>5</v>
      </c>
    </row>
    <row r="2818" spans="1:53" x14ac:dyDescent="0.2">
      <c r="A2818" t="s">
        <v>61</v>
      </c>
      <c r="B2818" t="s">
        <v>54</v>
      </c>
      <c r="C2818">
        <v>6353</v>
      </c>
      <c r="D2818" t="s">
        <v>7</v>
      </c>
      <c r="E2818" t="s">
        <v>8</v>
      </c>
      <c r="F2818" t="s">
        <v>23</v>
      </c>
      <c r="L2818">
        <v>1</v>
      </c>
      <c r="AA2818">
        <v>1</v>
      </c>
      <c r="AO2818">
        <v>1</v>
      </c>
      <c r="BA2818">
        <f>SUM(Pre[[#This Row],[1]:[46]])</f>
        <v>3</v>
      </c>
    </row>
    <row r="2819" spans="1:53" x14ac:dyDescent="0.2">
      <c r="A2819" t="s">
        <v>61</v>
      </c>
      <c r="B2819" t="s">
        <v>54</v>
      </c>
      <c r="C2819">
        <v>8431</v>
      </c>
      <c r="D2819" t="s">
        <v>7</v>
      </c>
      <c r="E2819" t="s">
        <v>8</v>
      </c>
      <c r="F2819" t="s">
        <v>23</v>
      </c>
      <c r="S2819">
        <v>1</v>
      </c>
      <c r="W2819">
        <v>1</v>
      </c>
      <c r="AA2819">
        <v>1</v>
      </c>
      <c r="AF2819">
        <v>1</v>
      </c>
      <c r="AJ2819">
        <v>1</v>
      </c>
      <c r="AN2819">
        <v>1</v>
      </c>
      <c r="AT2819">
        <v>1</v>
      </c>
      <c r="AX2819">
        <v>1</v>
      </c>
      <c r="BA2819">
        <f>SUM(Pre[[#This Row],[1]:[46]])</f>
        <v>8</v>
      </c>
    </row>
    <row r="2820" spans="1:53" x14ac:dyDescent="0.2">
      <c r="A2820" t="s">
        <v>61</v>
      </c>
      <c r="B2820" t="s">
        <v>54</v>
      </c>
      <c r="C2820">
        <v>13280</v>
      </c>
      <c r="D2820" t="s">
        <v>7</v>
      </c>
      <c r="E2820" t="s">
        <v>8</v>
      </c>
      <c r="F2820" t="s">
        <v>23</v>
      </c>
      <c r="G2820">
        <v>1</v>
      </c>
      <c r="T2820">
        <v>1</v>
      </c>
      <c r="AF2820">
        <v>1</v>
      </c>
      <c r="AS2820">
        <v>1</v>
      </c>
      <c r="BA2820">
        <f>SUM(Pre[[#This Row],[1]:[46]])</f>
        <v>4</v>
      </c>
    </row>
    <row r="2821" spans="1:53" x14ac:dyDescent="0.2">
      <c r="A2821" t="s">
        <v>61</v>
      </c>
      <c r="B2821" t="s">
        <v>54</v>
      </c>
      <c r="C2821">
        <v>25918</v>
      </c>
      <c r="D2821" t="s">
        <v>7</v>
      </c>
      <c r="E2821" t="s">
        <v>8</v>
      </c>
      <c r="F2821" t="s">
        <v>23</v>
      </c>
      <c r="O2821">
        <v>1</v>
      </c>
      <c r="AA2821">
        <v>1</v>
      </c>
      <c r="AJ2821">
        <v>2</v>
      </c>
      <c r="AW2821">
        <v>1</v>
      </c>
      <c r="BA2821">
        <f>SUM(Pre[[#This Row],[1]:[46]])</f>
        <v>5</v>
      </c>
    </row>
    <row r="2822" spans="1:53" x14ac:dyDescent="0.2">
      <c r="A2822" t="s">
        <v>61</v>
      </c>
      <c r="B2822" t="s">
        <v>54</v>
      </c>
      <c r="C2822">
        <v>263</v>
      </c>
      <c r="D2822" t="s">
        <v>22</v>
      </c>
      <c r="E2822" t="s">
        <v>8</v>
      </c>
      <c r="F2822" t="s">
        <v>29</v>
      </c>
      <c r="Q2822">
        <v>1</v>
      </c>
      <c r="AS2822">
        <v>1</v>
      </c>
      <c r="BA2822">
        <f>SUM(Pre[[#This Row],[1]:[46]])</f>
        <v>2</v>
      </c>
    </row>
    <row r="2823" spans="1:53" x14ac:dyDescent="0.2">
      <c r="A2823" t="s">
        <v>61</v>
      </c>
      <c r="B2823" t="s">
        <v>54</v>
      </c>
      <c r="C2823">
        <v>3480</v>
      </c>
      <c r="D2823" t="s">
        <v>22</v>
      </c>
      <c r="E2823" t="s">
        <v>8</v>
      </c>
      <c r="F2823" t="s">
        <v>9</v>
      </c>
      <c r="I2823">
        <v>2</v>
      </c>
      <c r="U2823">
        <v>1</v>
      </c>
      <c r="BA2823">
        <f>SUM(Pre[[#This Row],[1]:[46]])</f>
        <v>3</v>
      </c>
    </row>
    <row r="2824" spans="1:53" x14ac:dyDescent="0.2">
      <c r="A2824" t="s">
        <v>61</v>
      </c>
      <c r="B2824" t="s">
        <v>54</v>
      </c>
      <c r="C2824">
        <v>5307</v>
      </c>
      <c r="D2824" t="s">
        <v>22</v>
      </c>
      <c r="E2824" t="s">
        <v>8</v>
      </c>
      <c r="F2824" t="s">
        <v>9</v>
      </c>
      <c r="N2824">
        <v>1</v>
      </c>
      <c r="V2824">
        <v>1</v>
      </c>
      <c r="AF2824">
        <v>1</v>
      </c>
      <c r="AP2824">
        <v>1</v>
      </c>
      <c r="AX2824">
        <v>1</v>
      </c>
      <c r="BA2824">
        <f>SUM(Pre[[#This Row],[1]:[46]])</f>
        <v>5</v>
      </c>
    </row>
    <row r="2825" spans="1:53" x14ac:dyDescent="0.2">
      <c r="A2825" t="s">
        <v>61</v>
      </c>
      <c r="B2825" t="s">
        <v>54</v>
      </c>
      <c r="C2825">
        <v>6041</v>
      </c>
      <c r="D2825" t="s">
        <v>22</v>
      </c>
      <c r="E2825" t="s">
        <v>8</v>
      </c>
      <c r="F2825" t="s">
        <v>9</v>
      </c>
      <c r="G2825">
        <v>1</v>
      </c>
      <c r="K2825">
        <v>1</v>
      </c>
      <c r="P2825">
        <v>1</v>
      </c>
      <c r="T2825">
        <v>1</v>
      </c>
      <c r="X2825">
        <v>1</v>
      </c>
      <c r="AC2825">
        <v>1</v>
      </c>
      <c r="AG2825">
        <v>1</v>
      </c>
      <c r="AJ2825">
        <v>1</v>
      </c>
      <c r="AP2825">
        <v>1</v>
      </c>
      <c r="AT2825">
        <v>1</v>
      </c>
      <c r="AW2825">
        <v>1</v>
      </c>
      <c r="BA2825">
        <f>SUM(Pre[[#This Row],[1]:[46]])</f>
        <v>11</v>
      </c>
    </row>
    <row r="2826" spans="1:53" x14ac:dyDescent="0.2">
      <c r="A2826" t="s">
        <v>61</v>
      </c>
      <c r="B2826" t="s">
        <v>54</v>
      </c>
      <c r="C2826">
        <v>6354</v>
      </c>
      <c r="D2826" t="s">
        <v>22</v>
      </c>
      <c r="E2826" t="s">
        <v>8</v>
      </c>
      <c r="F2826" t="s">
        <v>23</v>
      </c>
      <c r="BA2826">
        <f>SUM(Pre[[#This Row],[1]:[46]])</f>
        <v>0</v>
      </c>
    </row>
    <row r="2827" spans="1:53" x14ac:dyDescent="0.2">
      <c r="A2827" t="s">
        <v>61</v>
      </c>
      <c r="B2827" t="s">
        <v>54</v>
      </c>
      <c r="C2827">
        <v>6429</v>
      </c>
      <c r="D2827" t="s">
        <v>22</v>
      </c>
      <c r="E2827" t="s">
        <v>8</v>
      </c>
      <c r="F2827" t="s">
        <v>23</v>
      </c>
      <c r="H2827">
        <v>3</v>
      </c>
      <c r="S2827">
        <v>1</v>
      </c>
      <c r="AE2827">
        <v>1</v>
      </c>
      <c r="AF2827">
        <v>1</v>
      </c>
      <c r="AG2827">
        <v>1</v>
      </c>
      <c r="AR2827">
        <v>1</v>
      </c>
      <c r="BA2827">
        <f>SUM(Pre[[#This Row],[1]:[46]])</f>
        <v>8</v>
      </c>
    </row>
    <row r="2828" spans="1:53" x14ac:dyDescent="0.2">
      <c r="A2828" t="s">
        <v>61</v>
      </c>
      <c r="B2828" t="s">
        <v>54</v>
      </c>
      <c r="C2828">
        <v>6759</v>
      </c>
      <c r="D2828" t="s">
        <v>22</v>
      </c>
      <c r="E2828" t="s">
        <v>8</v>
      </c>
      <c r="F2828" t="s">
        <v>23</v>
      </c>
      <c r="P2828">
        <v>1</v>
      </c>
      <c r="AC2828">
        <v>1</v>
      </c>
      <c r="AP2828">
        <v>1</v>
      </c>
      <c r="AZ2828">
        <v>1</v>
      </c>
      <c r="BA2828">
        <f>SUM(Pre[[#This Row],[1]:[46]])</f>
        <v>4</v>
      </c>
    </row>
    <row r="2829" spans="1:53" x14ac:dyDescent="0.2">
      <c r="A2829" t="s">
        <v>61</v>
      </c>
      <c r="B2829" t="s">
        <v>54</v>
      </c>
      <c r="C2829">
        <v>7616</v>
      </c>
      <c r="D2829" t="s">
        <v>22</v>
      </c>
      <c r="E2829" t="s">
        <v>8</v>
      </c>
      <c r="F2829" t="s">
        <v>23</v>
      </c>
      <c r="L2829">
        <v>1</v>
      </c>
      <c r="AL2829">
        <v>1</v>
      </c>
      <c r="AW2829">
        <v>1</v>
      </c>
      <c r="BA2829">
        <f>SUM(Pre[[#This Row],[1]:[46]])</f>
        <v>3</v>
      </c>
    </row>
    <row r="2830" spans="1:53" x14ac:dyDescent="0.2">
      <c r="A2830" t="s">
        <v>61</v>
      </c>
      <c r="B2830" t="s">
        <v>54</v>
      </c>
      <c r="C2830">
        <v>8650</v>
      </c>
      <c r="D2830" t="s">
        <v>22</v>
      </c>
      <c r="E2830" t="s">
        <v>8</v>
      </c>
      <c r="F2830" t="s">
        <v>23</v>
      </c>
      <c r="P2830">
        <v>1</v>
      </c>
      <c r="AE2830">
        <v>1</v>
      </c>
      <c r="AZ2830">
        <v>1</v>
      </c>
      <c r="BA2830">
        <f>SUM(Pre[[#This Row],[1]:[46]])</f>
        <v>3</v>
      </c>
    </row>
    <row r="2831" spans="1:53" x14ac:dyDescent="0.2">
      <c r="A2831" t="s">
        <v>61</v>
      </c>
      <c r="B2831" t="s">
        <v>54</v>
      </c>
      <c r="C2831">
        <v>12111</v>
      </c>
      <c r="D2831" t="s">
        <v>22</v>
      </c>
      <c r="E2831" t="s">
        <v>8</v>
      </c>
      <c r="F2831" t="s">
        <v>9</v>
      </c>
      <c r="G2831">
        <v>1</v>
      </c>
      <c r="S2831">
        <v>1</v>
      </c>
      <c r="AH2831">
        <v>1</v>
      </c>
      <c r="BA2831">
        <f>SUM(Pre[[#This Row],[1]:[46]])</f>
        <v>3</v>
      </c>
    </row>
    <row r="2832" spans="1:53" x14ac:dyDescent="0.2">
      <c r="A2832" t="s">
        <v>61</v>
      </c>
      <c r="B2832" t="s">
        <v>54</v>
      </c>
      <c r="C2832">
        <v>12313</v>
      </c>
      <c r="D2832" t="s">
        <v>22</v>
      </c>
      <c r="E2832" t="s">
        <v>8</v>
      </c>
      <c r="F2832" t="s">
        <v>23</v>
      </c>
      <c r="BA2832">
        <f>SUM(Pre[[#This Row],[1]:[46]])</f>
        <v>0</v>
      </c>
    </row>
    <row r="2833" spans="1:53" x14ac:dyDescent="0.2">
      <c r="A2833" t="s">
        <v>61</v>
      </c>
      <c r="B2833" t="s">
        <v>54</v>
      </c>
      <c r="C2833">
        <v>13619</v>
      </c>
      <c r="D2833" t="s">
        <v>22</v>
      </c>
      <c r="E2833" t="s">
        <v>8</v>
      </c>
      <c r="F2833" t="s">
        <v>9</v>
      </c>
      <c r="S2833">
        <v>1</v>
      </c>
      <c r="AE2833">
        <v>1</v>
      </c>
      <c r="AR2833">
        <v>1</v>
      </c>
      <c r="BA2833">
        <f>SUM(Pre[[#This Row],[1]:[46]])</f>
        <v>3</v>
      </c>
    </row>
    <row r="2834" spans="1:53" x14ac:dyDescent="0.2">
      <c r="A2834" t="s">
        <v>61</v>
      </c>
      <c r="B2834" t="s">
        <v>54</v>
      </c>
      <c r="C2834">
        <v>14172</v>
      </c>
      <c r="D2834" t="s">
        <v>22</v>
      </c>
      <c r="E2834" t="s">
        <v>8</v>
      </c>
      <c r="F2834" t="s">
        <v>23</v>
      </c>
      <c r="I2834">
        <v>1</v>
      </c>
      <c r="W2834">
        <v>2</v>
      </c>
      <c r="AJ2834">
        <v>1</v>
      </c>
      <c r="AW2834">
        <v>1</v>
      </c>
      <c r="BA2834">
        <f>SUM(Pre[[#This Row],[1]:[46]])</f>
        <v>5</v>
      </c>
    </row>
    <row r="2835" spans="1:53" x14ac:dyDescent="0.2">
      <c r="A2835" t="s">
        <v>61</v>
      </c>
      <c r="B2835" t="s">
        <v>54</v>
      </c>
      <c r="C2835">
        <v>14330</v>
      </c>
      <c r="D2835" t="s">
        <v>22</v>
      </c>
      <c r="E2835" t="s">
        <v>8</v>
      </c>
      <c r="F2835" t="s">
        <v>23</v>
      </c>
      <c r="J2835">
        <v>1</v>
      </c>
      <c r="L2835">
        <v>1</v>
      </c>
      <c r="P2835">
        <v>1</v>
      </c>
      <c r="R2835">
        <v>1</v>
      </c>
      <c r="X2835">
        <v>1</v>
      </c>
      <c r="AA2835">
        <v>1</v>
      </c>
      <c r="AD2835">
        <v>1</v>
      </c>
      <c r="AK2835">
        <v>1</v>
      </c>
      <c r="AM2835">
        <v>1</v>
      </c>
      <c r="AO2835">
        <v>1</v>
      </c>
      <c r="AQ2835">
        <v>1</v>
      </c>
      <c r="AR2835">
        <v>1</v>
      </c>
      <c r="AT2835">
        <v>1</v>
      </c>
      <c r="AX2835">
        <v>1</v>
      </c>
      <c r="BA2835">
        <f>SUM(Pre[[#This Row],[1]:[46]])</f>
        <v>14</v>
      </c>
    </row>
    <row r="2836" spans="1:53" x14ac:dyDescent="0.2">
      <c r="A2836" t="s">
        <v>61</v>
      </c>
      <c r="B2836" t="s">
        <v>54</v>
      </c>
      <c r="C2836">
        <v>14590</v>
      </c>
      <c r="D2836" t="s">
        <v>22</v>
      </c>
      <c r="E2836" t="s">
        <v>8</v>
      </c>
      <c r="F2836" t="s">
        <v>9</v>
      </c>
      <c r="AX2836">
        <v>2</v>
      </c>
      <c r="BA2836">
        <f>SUM(Pre[[#This Row],[1]:[46]])</f>
        <v>2</v>
      </c>
    </row>
    <row r="2837" spans="1:53" x14ac:dyDescent="0.2">
      <c r="A2837" t="s">
        <v>61</v>
      </c>
      <c r="B2837" t="s">
        <v>54</v>
      </c>
      <c r="C2837">
        <v>21758</v>
      </c>
      <c r="D2837" t="s">
        <v>22</v>
      </c>
      <c r="E2837" t="s">
        <v>8</v>
      </c>
      <c r="F2837" t="s">
        <v>23</v>
      </c>
      <c r="X2837">
        <v>1</v>
      </c>
      <c r="AA2837">
        <v>1</v>
      </c>
      <c r="AE2837">
        <v>2</v>
      </c>
      <c r="AJ2837">
        <v>1</v>
      </c>
      <c r="AP2837">
        <v>1</v>
      </c>
      <c r="AS2837">
        <v>1</v>
      </c>
      <c r="AW2837">
        <v>1</v>
      </c>
      <c r="BA2837">
        <f>SUM(Pre[[#This Row],[1]:[46]])</f>
        <v>8</v>
      </c>
    </row>
    <row r="2838" spans="1:53" x14ac:dyDescent="0.2">
      <c r="A2838" t="s">
        <v>61</v>
      </c>
      <c r="B2838" t="s">
        <v>54</v>
      </c>
      <c r="C2838">
        <v>23089</v>
      </c>
      <c r="D2838" t="s">
        <v>22</v>
      </c>
      <c r="E2838" t="s">
        <v>8</v>
      </c>
      <c r="F2838" t="s">
        <v>23</v>
      </c>
      <c r="L2838">
        <v>1</v>
      </c>
      <c r="Q2838">
        <v>1</v>
      </c>
      <c r="V2838">
        <v>1</v>
      </c>
      <c r="AB2838">
        <v>1</v>
      </c>
      <c r="AG2838">
        <v>1</v>
      </c>
      <c r="AM2838">
        <v>1</v>
      </c>
      <c r="AR2838">
        <v>1</v>
      </c>
      <c r="AW2838">
        <v>1</v>
      </c>
      <c r="BA2838">
        <f>SUM(Pre[[#This Row],[1]:[46]])</f>
        <v>8</v>
      </c>
    </row>
    <row r="2839" spans="1:53" x14ac:dyDescent="0.2">
      <c r="A2839" t="s">
        <v>62</v>
      </c>
      <c r="B2839" t="s">
        <v>54</v>
      </c>
      <c r="C2839">
        <v>375</v>
      </c>
      <c r="D2839" t="s">
        <v>7</v>
      </c>
      <c r="E2839" t="s">
        <v>8</v>
      </c>
      <c r="F2839" t="s">
        <v>23</v>
      </c>
      <c r="G2839">
        <v>1</v>
      </c>
      <c r="K2839">
        <v>1</v>
      </c>
      <c r="O2839">
        <v>1</v>
      </c>
      <c r="S2839">
        <v>1</v>
      </c>
      <c r="W2839">
        <v>1</v>
      </c>
      <c r="AA2839">
        <v>1</v>
      </c>
      <c r="AE2839">
        <v>1</v>
      </c>
      <c r="AI2839">
        <v>1</v>
      </c>
      <c r="AM2839">
        <v>1</v>
      </c>
      <c r="AQ2839">
        <v>1</v>
      </c>
      <c r="AU2839">
        <v>1</v>
      </c>
      <c r="AY2839">
        <v>1</v>
      </c>
      <c r="BA2839">
        <f>SUM(Pre[[#This Row],[1]:[46]])</f>
        <v>12</v>
      </c>
    </row>
    <row r="2840" spans="1:53" x14ac:dyDescent="0.2">
      <c r="A2840" t="s">
        <v>62</v>
      </c>
      <c r="B2840" t="s">
        <v>54</v>
      </c>
      <c r="C2840">
        <v>839</v>
      </c>
      <c r="D2840" t="s">
        <v>7</v>
      </c>
      <c r="E2840" t="s">
        <v>10</v>
      </c>
      <c r="F2840" t="s">
        <v>11</v>
      </c>
      <c r="AG2840">
        <v>1</v>
      </c>
      <c r="BA2840">
        <f>SUM(Pre[[#This Row],[1]:[46]])</f>
        <v>1</v>
      </c>
    </row>
    <row r="2841" spans="1:53" x14ac:dyDescent="0.2">
      <c r="A2841" t="s">
        <v>62</v>
      </c>
      <c r="B2841" t="s">
        <v>54</v>
      </c>
      <c r="C2841">
        <v>839</v>
      </c>
      <c r="D2841" t="s">
        <v>7</v>
      </c>
      <c r="E2841" t="s">
        <v>14</v>
      </c>
      <c r="F2841" t="s">
        <v>20</v>
      </c>
      <c r="AJ2841">
        <v>2</v>
      </c>
      <c r="BA2841">
        <f>SUM(Pre[[#This Row],[1]:[46]])</f>
        <v>2</v>
      </c>
    </row>
    <row r="2842" spans="1:53" x14ac:dyDescent="0.2">
      <c r="A2842" t="s">
        <v>62</v>
      </c>
      <c r="B2842" t="s">
        <v>54</v>
      </c>
      <c r="C2842">
        <v>3573</v>
      </c>
      <c r="D2842" t="s">
        <v>7</v>
      </c>
      <c r="E2842" t="s">
        <v>8</v>
      </c>
      <c r="F2842" t="s">
        <v>29</v>
      </c>
      <c r="N2842">
        <v>1</v>
      </c>
      <c r="AC2842">
        <v>1</v>
      </c>
      <c r="AL2842">
        <v>1</v>
      </c>
      <c r="AY2842">
        <v>1</v>
      </c>
      <c r="BA2842">
        <f>SUM(Pre[[#This Row],[1]:[46]])</f>
        <v>4</v>
      </c>
    </row>
    <row r="2843" spans="1:53" x14ac:dyDescent="0.2">
      <c r="A2843" t="s">
        <v>62</v>
      </c>
      <c r="B2843" t="s">
        <v>54</v>
      </c>
      <c r="C2843">
        <v>4349</v>
      </c>
      <c r="D2843" t="s">
        <v>7</v>
      </c>
      <c r="E2843" t="s">
        <v>32</v>
      </c>
      <c r="F2843" t="s">
        <v>33</v>
      </c>
      <c r="BA2843">
        <f>SUM(Pre[[#This Row],[1]:[46]])</f>
        <v>0</v>
      </c>
    </row>
    <row r="2844" spans="1:53" x14ac:dyDescent="0.2">
      <c r="A2844" t="s">
        <v>62</v>
      </c>
      <c r="B2844" t="s">
        <v>54</v>
      </c>
      <c r="C2844">
        <v>4349</v>
      </c>
      <c r="D2844" t="s">
        <v>7</v>
      </c>
      <c r="E2844" t="s">
        <v>14</v>
      </c>
      <c r="F2844" t="s">
        <v>19</v>
      </c>
      <c r="Y2844">
        <v>1</v>
      </c>
      <c r="BA2844">
        <f>SUM(Pre[[#This Row],[1]:[46]])</f>
        <v>1</v>
      </c>
    </row>
    <row r="2845" spans="1:53" x14ac:dyDescent="0.2">
      <c r="A2845" t="s">
        <v>62</v>
      </c>
      <c r="B2845" t="s">
        <v>54</v>
      </c>
      <c r="C2845">
        <v>5578</v>
      </c>
      <c r="D2845" t="s">
        <v>7</v>
      </c>
      <c r="E2845" t="s">
        <v>14</v>
      </c>
      <c r="F2845" t="s">
        <v>20</v>
      </c>
      <c r="S2845">
        <v>1</v>
      </c>
      <c r="BA2845">
        <f>SUM(Pre[[#This Row],[1]:[46]])</f>
        <v>1</v>
      </c>
    </row>
    <row r="2846" spans="1:53" x14ac:dyDescent="0.2">
      <c r="A2846" t="s">
        <v>62</v>
      </c>
      <c r="B2846" t="s">
        <v>54</v>
      </c>
      <c r="C2846">
        <v>7634</v>
      </c>
      <c r="D2846" t="s">
        <v>7</v>
      </c>
      <c r="E2846" t="s">
        <v>14</v>
      </c>
      <c r="F2846" t="s">
        <v>31</v>
      </c>
      <c r="BA2846">
        <f>SUM(Pre[[#This Row],[1]:[46]])</f>
        <v>0</v>
      </c>
    </row>
    <row r="2847" spans="1:53" x14ac:dyDescent="0.2">
      <c r="A2847" t="s">
        <v>62</v>
      </c>
      <c r="B2847" t="s">
        <v>54</v>
      </c>
      <c r="C2847">
        <v>8006</v>
      </c>
      <c r="D2847" t="s">
        <v>7</v>
      </c>
      <c r="E2847" t="s">
        <v>8</v>
      </c>
      <c r="F2847" t="s">
        <v>29</v>
      </c>
      <c r="Z2847">
        <v>2</v>
      </c>
      <c r="BA2847">
        <f>SUM(Pre[[#This Row],[1]:[46]])</f>
        <v>2</v>
      </c>
    </row>
    <row r="2848" spans="1:53" x14ac:dyDescent="0.2">
      <c r="A2848" t="s">
        <v>62</v>
      </c>
      <c r="B2848" t="s">
        <v>54</v>
      </c>
      <c r="C2848">
        <v>8417</v>
      </c>
      <c r="D2848" t="s">
        <v>7</v>
      </c>
      <c r="E2848" t="s">
        <v>8</v>
      </c>
      <c r="F2848" t="s">
        <v>23</v>
      </c>
      <c r="K2848">
        <v>1</v>
      </c>
      <c r="BA2848">
        <f>SUM(Pre[[#This Row],[1]:[46]])</f>
        <v>1</v>
      </c>
    </row>
    <row r="2849" spans="1:53" x14ac:dyDescent="0.2">
      <c r="A2849" t="s">
        <v>62</v>
      </c>
      <c r="B2849" t="s">
        <v>54</v>
      </c>
      <c r="C2849">
        <v>8417</v>
      </c>
      <c r="D2849" t="s">
        <v>7</v>
      </c>
      <c r="E2849" t="s">
        <v>8</v>
      </c>
      <c r="F2849" t="s">
        <v>29</v>
      </c>
      <c r="P2849">
        <v>1</v>
      </c>
      <c r="AD2849">
        <v>1</v>
      </c>
      <c r="AP2849">
        <v>1</v>
      </c>
      <c r="BA2849">
        <f>SUM(Pre[[#This Row],[1]:[46]])</f>
        <v>3</v>
      </c>
    </row>
    <row r="2850" spans="1:53" x14ac:dyDescent="0.2">
      <c r="A2850" t="s">
        <v>62</v>
      </c>
      <c r="B2850" t="s">
        <v>54</v>
      </c>
      <c r="C2850">
        <v>8572</v>
      </c>
      <c r="D2850" t="s">
        <v>7</v>
      </c>
      <c r="E2850" t="s">
        <v>8</v>
      </c>
      <c r="F2850" t="s">
        <v>29</v>
      </c>
      <c r="X2850">
        <v>1</v>
      </c>
      <c r="AB2850">
        <v>1</v>
      </c>
      <c r="AJ2850">
        <v>1</v>
      </c>
      <c r="AV2850">
        <v>1</v>
      </c>
      <c r="BA2850">
        <f>SUM(Pre[[#This Row],[1]:[46]])</f>
        <v>4</v>
      </c>
    </row>
    <row r="2851" spans="1:53" x14ac:dyDescent="0.2">
      <c r="A2851" t="s">
        <v>62</v>
      </c>
      <c r="B2851" t="s">
        <v>54</v>
      </c>
      <c r="C2851">
        <v>8897</v>
      </c>
      <c r="D2851" t="s">
        <v>7</v>
      </c>
      <c r="E2851" t="s">
        <v>14</v>
      </c>
      <c r="F2851" t="s">
        <v>20</v>
      </c>
      <c r="BA2851">
        <f>SUM(Pre[[#This Row],[1]:[46]])</f>
        <v>0</v>
      </c>
    </row>
    <row r="2852" spans="1:53" x14ac:dyDescent="0.2">
      <c r="A2852" t="s">
        <v>62</v>
      </c>
      <c r="B2852" t="s">
        <v>54</v>
      </c>
      <c r="C2852">
        <v>9660</v>
      </c>
      <c r="D2852" t="s">
        <v>7</v>
      </c>
      <c r="E2852" t="s">
        <v>8</v>
      </c>
      <c r="F2852" t="s">
        <v>23</v>
      </c>
      <c r="S2852">
        <v>1</v>
      </c>
      <c r="AH2852">
        <v>1</v>
      </c>
      <c r="AV2852">
        <v>1</v>
      </c>
      <c r="BA2852">
        <f>SUM(Pre[[#This Row],[1]:[46]])</f>
        <v>3</v>
      </c>
    </row>
    <row r="2853" spans="1:53" x14ac:dyDescent="0.2">
      <c r="A2853" t="s">
        <v>62</v>
      </c>
      <c r="B2853" t="s">
        <v>54</v>
      </c>
      <c r="C2853">
        <v>10589</v>
      </c>
      <c r="D2853" t="s">
        <v>7</v>
      </c>
      <c r="E2853" t="s">
        <v>8</v>
      </c>
      <c r="F2853" t="s">
        <v>45</v>
      </c>
      <c r="M2853">
        <v>1</v>
      </c>
      <c r="Z2853">
        <v>1</v>
      </c>
      <c r="AN2853">
        <v>1</v>
      </c>
      <c r="BA2853">
        <f>SUM(Pre[[#This Row],[1]:[46]])</f>
        <v>3</v>
      </c>
    </row>
    <row r="2854" spans="1:53" x14ac:dyDescent="0.2">
      <c r="A2854" t="s">
        <v>62</v>
      </c>
      <c r="B2854" t="s">
        <v>54</v>
      </c>
      <c r="C2854">
        <v>11623</v>
      </c>
      <c r="D2854" t="s">
        <v>7</v>
      </c>
      <c r="E2854" t="s">
        <v>8</v>
      </c>
      <c r="F2854" t="s">
        <v>23</v>
      </c>
      <c r="K2854">
        <v>1</v>
      </c>
      <c r="X2854">
        <v>1</v>
      </c>
      <c r="AK2854">
        <v>1</v>
      </c>
      <c r="AY2854">
        <v>1</v>
      </c>
      <c r="BA2854">
        <f>SUM(Pre[[#This Row],[1]:[46]])</f>
        <v>4</v>
      </c>
    </row>
    <row r="2855" spans="1:53" x14ac:dyDescent="0.2">
      <c r="A2855" t="s">
        <v>62</v>
      </c>
      <c r="B2855" t="s">
        <v>54</v>
      </c>
      <c r="C2855">
        <v>13611</v>
      </c>
      <c r="D2855" t="s">
        <v>7</v>
      </c>
      <c r="E2855" t="s">
        <v>14</v>
      </c>
      <c r="F2855" t="s">
        <v>20</v>
      </c>
      <c r="H2855">
        <v>1</v>
      </c>
      <c r="V2855">
        <v>1</v>
      </c>
      <c r="BA2855">
        <f>SUM(Pre[[#This Row],[1]:[46]])</f>
        <v>2</v>
      </c>
    </row>
    <row r="2856" spans="1:53" x14ac:dyDescent="0.2">
      <c r="A2856" t="s">
        <v>62</v>
      </c>
      <c r="B2856" t="s">
        <v>54</v>
      </c>
      <c r="C2856">
        <v>16663</v>
      </c>
      <c r="D2856" t="s">
        <v>7</v>
      </c>
      <c r="E2856" t="s">
        <v>12</v>
      </c>
      <c r="F2856" t="s">
        <v>13</v>
      </c>
      <c r="AR2856">
        <v>1</v>
      </c>
      <c r="BA2856">
        <f>SUM(Pre[[#This Row],[1]:[46]])</f>
        <v>1</v>
      </c>
    </row>
    <row r="2857" spans="1:53" x14ac:dyDescent="0.2">
      <c r="A2857" t="s">
        <v>62</v>
      </c>
      <c r="B2857" t="s">
        <v>54</v>
      </c>
      <c r="C2857">
        <v>17188</v>
      </c>
      <c r="D2857" t="s">
        <v>7</v>
      </c>
      <c r="E2857" t="s">
        <v>8</v>
      </c>
      <c r="F2857" t="s">
        <v>23</v>
      </c>
      <c r="I2857">
        <v>1</v>
      </c>
      <c r="AE2857">
        <v>1</v>
      </c>
      <c r="BA2857">
        <f>SUM(Pre[[#This Row],[1]:[46]])</f>
        <v>2</v>
      </c>
    </row>
    <row r="2858" spans="1:53" x14ac:dyDescent="0.2">
      <c r="A2858" t="s">
        <v>62</v>
      </c>
      <c r="B2858" t="s">
        <v>54</v>
      </c>
      <c r="C2858">
        <v>23118</v>
      </c>
      <c r="D2858" t="s">
        <v>7</v>
      </c>
      <c r="E2858" t="s">
        <v>17</v>
      </c>
      <c r="F2858" t="s">
        <v>18</v>
      </c>
      <c r="P2858">
        <v>1</v>
      </c>
      <c r="BA2858">
        <f>SUM(Pre[[#This Row],[1]:[46]])</f>
        <v>1</v>
      </c>
    </row>
    <row r="2859" spans="1:53" x14ac:dyDescent="0.2">
      <c r="A2859" t="s">
        <v>62</v>
      </c>
      <c r="B2859" t="s">
        <v>54</v>
      </c>
      <c r="C2859">
        <v>25104</v>
      </c>
      <c r="D2859" t="s">
        <v>7</v>
      </c>
      <c r="E2859" t="s">
        <v>10</v>
      </c>
      <c r="F2859" t="s">
        <v>11</v>
      </c>
      <c r="AG2859">
        <v>1</v>
      </c>
      <c r="BA2859">
        <f>SUM(Pre[[#This Row],[1]:[46]])</f>
        <v>1</v>
      </c>
    </row>
    <row r="2860" spans="1:53" x14ac:dyDescent="0.2">
      <c r="A2860" t="s">
        <v>62</v>
      </c>
      <c r="B2860" t="s">
        <v>54</v>
      </c>
      <c r="C2860">
        <v>25500</v>
      </c>
      <c r="D2860" t="s">
        <v>7</v>
      </c>
      <c r="E2860" t="s">
        <v>12</v>
      </c>
      <c r="F2860" t="s">
        <v>13</v>
      </c>
      <c r="AV2860">
        <v>1</v>
      </c>
      <c r="BA2860">
        <f>SUM(Pre[[#This Row],[1]:[46]])</f>
        <v>1</v>
      </c>
    </row>
    <row r="2861" spans="1:53" x14ac:dyDescent="0.2">
      <c r="A2861" t="s">
        <v>62</v>
      </c>
      <c r="B2861" t="s">
        <v>54</v>
      </c>
      <c r="C2861">
        <v>183</v>
      </c>
      <c r="D2861" t="s">
        <v>22</v>
      </c>
      <c r="E2861" t="s">
        <v>10</v>
      </c>
      <c r="F2861" t="s">
        <v>11</v>
      </c>
      <c r="BA2861">
        <f>SUM(Pre[[#This Row],[1]:[46]])</f>
        <v>0</v>
      </c>
    </row>
    <row r="2862" spans="1:53" x14ac:dyDescent="0.2">
      <c r="A2862" t="s">
        <v>62</v>
      </c>
      <c r="B2862" t="s">
        <v>54</v>
      </c>
      <c r="C2862">
        <v>183</v>
      </c>
      <c r="D2862" t="s">
        <v>22</v>
      </c>
      <c r="E2862" t="s">
        <v>14</v>
      </c>
      <c r="F2862" t="s">
        <v>20</v>
      </c>
      <c r="BA2862">
        <f>SUM(Pre[[#This Row],[1]:[46]])</f>
        <v>0</v>
      </c>
    </row>
    <row r="2863" spans="1:53" x14ac:dyDescent="0.2">
      <c r="A2863" t="s">
        <v>62</v>
      </c>
      <c r="B2863" t="s">
        <v>54</v>
      </c>
      <c r="C2863">
        <v>528</v>
      </c>
      <c r="D2863" t="s">
        <v>22</v>
      </c>
      <c r="E2863" t="s">
        <v>8</v>
      </c>
      <c r="F2863" t="s">
        <v>23</v>
      </c>
      <c r="H2863">
        <v>2</v>
      </c>
      <c r="T2863">
        <v>1</v>
      </c>
      <c r="AD2863">
        <v>2</v>
      </c>
      <c r="AT2863">
        <v>1</v>
      </c>
      <c r="BA2863">
        <f>SUM(Pre[[#This Row],[1]:[46]])</f>
        <v>6</v>
      </c>
    </row>
    <row r="2864" spans="1:53" x14ac:dyDescent="0.2">
      <c r="A2864" t="s">
        <v>62</v>
      </c>
      <c r="B2864" t="s">
        <v>54</v>
      </c>
      <c r="C2864">
        <v>806</v>
      </c>
      <c r="D2864" t="s">
        <v>22</v>
      </c>
      <c r="E2864" t="s">
        <v>14</v>
      </c>
      <c r="F2864" t="s">
        <v>20</v>
      </c>
      <c r="BA2864">
        <f>SUM(Pre[[#This Row],[1]:[46]])</f>
        <v>0</v>
      </c>
    </row>
    <row r="2865" spans="1:53" x14ac:dyDescent="0.2">
      <c r="A2865" t="s">
        <v>62</v>
      </c>
      <c r="B2865" t="s">
        <v>54</v>
      </c>
      <c r="C2865">
        <v>851</v>
      </c>
      <c r="D2865" t="s">
        <v>22</v>
      </c>
      <c r="E2865" t="s">
        <v>10</v>
      </c>
      <c r="F2865" t="s">
        <v>11</v>
      </c>
      <c r="K2865">
        <v>2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1</v>
      </c>
      <c r="AP2865">
        <v>1</v>
      </c>
      <c r="AQ2865">
        <v>1</v>
      </c>
      <c r="AR2865">
        <v>1</v>
      </c>
      <c r="AS2865">
        <v>1</v>
      </c>
      <c r="AT2865">
        <v>1</v>
      </c>
      <c r="BA2865">
        <f>SUM(Pre[[#This Row],[1]:[46]])</f>
        <v>34</v>
      </c>
    </row>
    <row r="2866" spans="1:53" x14ac:dyDescent="0.2">
      <c r="A2866" t="s">
        <v>62</v>
      </c>
      <c r="B2866" t="s">
        <v>54</v>
      </c>
      <c r="C2866">
        <v>851</v>
      </c>
      <c r="D2866" t="s">
        <v>22</v>
      </c>
      <c r="E2866" t="s">
        <v>14</v>
      </c>
      <c r="F2866" t="s">
        <v>20</v>
      </c>
      <c r="AT2866">
        <v>2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  <c r="BA2866">
        <f>SUM(Pre[[#This Row],[1]:[46]])</f>
        <v>8</v>
      </c>
    </row>
    <row r="2867" spans="1:53" x14ac:dyDescent="0.2">
      <c r="A2867" t="s">
        <v>62</v>
      </c>
      <c r="B2867" t="s">
        <v>54</v>
      </c>
      <c r="C2867">
        <v>873</v>
      </c>
      <c r="D2867" t="s">
        <v>22</v>
      </c>
      <c r="E2867" t="s">
        <v>8</v>
      </c>
      <c r="F2867" t="s">
        <v>29</v>
      </c>
      <c r="I2867">
        <v>1</v>
      </c>
      <c r="U2867">
        <v>2</v>
      </c>
      <c r="AM2867">
        <v>1</v>
      </c>
      <c r="BA2867">
        <f>SUM(Pre[[#This Row],[1]:[46]])</f>
        <v>4</v>
      </c>
    </row>
    <row r="2868" spans="1:53" x14ac:dyDescent="0.2">
      <c r="A2868" t="s">
        <v>62</v>
      </c>
      <c r="B2868" t="s">
        <v>54</v>
      </c>
      <c r="C2868">
        <v>1348</v>
      </c>
      <c r="D2868" t="s">
        <v>22</v>
      </c>
      <c r="E2868" t="s">
        <v>8</v>
      </c>
      <c r="F2868" t="s">
        <v>23</v>
      </c>
      <c r="K2868">
        <v>1</v>
      </c>
      <c r="BA2868">
        <f>SUM(Pre[[#This Row],[1]:[46]])</f>
        <v>1</v>
      </c>
    </row>
    <row r="2869" spans="1:53" x14ac:dyDescent="0.2">
      <c r="A2869" t="s">
        <v>62</v>
      </c>
      <c r="B2869" t="s">
        <v>54</v>
      </c>
      <c r="C2869">
        <v>1998</v>
      </c>
      <c r="D2869" t="s">
        <v>22</v>
      </c>
      <c r="E2869" t="s">
        <v>8</v>
      </c>
      <c r="F2869" t="s">
        <v>23</v>
      </c>
      <c r="L2869">
        <v>1</v>
      </c>
      <c r="AA2869">
        <v>1</v>
      </c>
      <c r="AN2869">
        <v>1</v>
      </c>
      <c r="BA2869">
        <f>SUM(Pre[[#This Row],[1]:[46]])</f>
        <v>3</v>
      </c>
    </row>
    <row r="2870" spans="1:53" x14ac:dyDescent="0.2">
      <c r="A2870" t="s">
        <v>62</v>
      </c>
      <c r="B2870" t="s">
        <v>54</v>
      </c>
      <c r="C2870">
        <v>2194</v>
      </c>
      <c r="D2870" t="s">
        <v>22</v>
      </c>
      <c r="E2870" t="s">
        <v>8</v>
      </c>
      <c r="F2870" t="s">
        <v>23</v>
      </c>
      <c r="H2870">
        <v>1</v>
      </c>
      <c r="L2870">
        <v>1</v>
      </c>
      <c r="Q2870">
        <v>1</v>
      </c>
      <c r="T2870">
        <v>1</v>
      </c>
      <c r="X2870">
        <v>1</v>
      </c>
      <c r="AB2870">
        <v>1</v>
      </c>
      <c r="AF2870">
        <v>1</v>
      </c>
      <c r="AJ2870">
        <v>1</v>
      </c>
      <c r="AN2870">
        <v>1</v>
      </c>
      <c r="AR2870">
        <v>1</v>
      </c>
      <c r="AV2870">
        <v>1</v>
      </c>
      <c r="AZ2870">
        <v>1</v>
      </c>
      <c r="BA2870">
        <f>SUM(Pre[[#This Row],[1]:[46]])</f>
        <v>12</v>
      </c>
    </row>
    <row r="2871" spans="1:53" x14ac:dyDescent="0.2">
      <c r="A2871" t="s">
        <v>62</v>
      </c>
      <c r="B2871" t="s">
        <v>54</v>
      </c>
      <c r="C2871">
        <v>3746</v>
      </c>
      <c r="D2871" t="s">
        <v>22</v>
      </c>
      <c r="E2871" t="s">
        <v>8</v>
      </c>
      <c r="F2871" t="s">
        <v>23</v>
      </c>
      <c r="S2871">
        <v>1</v>
      </c>
      <c r="AG2871">
        <v>1</v>
      </c>
      <c r="AV2871">
        <v>1</v>
      </c>
      <c r="BA2871">
        <f>SUM(Pre[[#This Row],[1]:[46]])</f>
        <v>3</v>
      </c>
    </row>
    <row r="2872" spans="1:53" x14ac:dyDescent="0.2">
      <c r="A2872" t="s">
        <v>62</v>
      </c>
      <c r="B2872" t="s">
        <v>54</v>
      </c>
      <c r="C2872">
        <v>4414</v>
      </c>
      <c r="D2872" t="s">
        <v>22</v>
      </c>
      <c r="E2872" t="s">
        <v>8</v>
      </c>
      <c r="F2872" t="s">
        <v>29</v>
      </c>
      <c r="J2872">
        <v>1</v>
      </c>
      <c r="Z2872">
        <v>1</v>
      </c>
      <c r="AM2872">
        <v>1</v>
      </c>
      <c r="BA2872">
        <f>SUM(Pre[[#This Row],[1]:[46]])</f>
        <v>3</v>
      </c>
    </row>
    <row r="2873" spans="1:53" x14ac:dyDescent="0.2">
      <c r="A2873" t="s">
        <v>62</v>
      </c>
      <c r="B2873" t="s">
        <v>54</v>
      </c>
      <c r="C2873">
        <v>4723</v>
      </c>
      <c r="D2873" t="s">
        <v>22</v>
      </c>
      <c r="E2873" t="s">
        <v>8</v>
      </c>
      <c r="F2873" t="s">
        <v>29</v>
      </c>
      <c r="H2873">
        <v>1</v>
      </c>
      <c r="W2873">
        <v>1</v>
      </c>
      <c r="BA2873">
        <f>SUM(Pre[[#This Row],[1]:[46]])</f>
        <v>2</v>
      </c>
    </row>
    <row r="2874" spans="1:53" x14ac:dyDescent="0.2">
      <c r="A2874" t="s">
        <v>62</v>
      </c>
      <c r="B2874" t="s">
        <v>54</v>
      </c>
      <c r="C2874">
        <v>4813</v>
      </c>
      <c r="D2874" t="s">
        <v>22</v>
      </c>
      <c r="E2874" t="s">
        <v>8</v>
      </c>
      <c r="F2874" t="s">
        <v>23</v>
      </c>
      <c r="Y2874">
        <v>1</v>
      </c>
      <c r="AV2874">
        <v>1</v>
      </c>
      <c r="BA2874">
        <f>SUM(Pre[[#This Row],[1]:[46]])</f>
        <v>2</v>
      </c>
    </row>
    <row r="2875" spans="1:53" x14ac:dyDescent="0.2">
      <c r="A2875" t="s">
        <v>62</v>
      </c>
      <c r="B2875" t="s">
        <v>54</v>
      </c>
      <c r="C2875">
        <v>5247</v>
      </c>
      <c r="D2875" t="s">
        <v>22</v>
      </c>
      <c r="E2875" t="s">
        <v>8</v>
      </c>
      <c r="F2875" t="s">
        <v>23</v>
      </c>
      <c r="M2875">
        <v>1</v>
      </c>
      <c r="BA2875">
        <f>SUM(Pre[[#This Row],[1]:[46]])</f>
        <v>1</v>
      </c>
    </row>
    <row r="2876" spans="1:53" x14ac:dyDescent="0.2">
      <c r="A2876" t="s">
        <v>62</v>
      </c>
      <c r="B2876" t="s">
        <v>54</v>
      </c>
      <c r="C2876">
        <v>5999</v>
      </c>
      <c r="D2876" t="s">
        <v>22</v>
      </c>
      <c r="E2876" t="s">
        <v>8</v>
      </c>
      <c r="F2876" t="s">
        <v>23</v>
      </c>
      <c r="P2876">
        <v>1</v>
      </c>
      <c r="AE2876">
        <v>1</v>
      </c>
      <c r="AS2876">
        <v>1</v>
      </c>
      <c r="BA2876">
        <f>SUM(Pre[[#This Row],[1]:[46]])</f>
        <v>3</v>
      </c>
    </row>
    <row r="2877" spans="1:53" x14ac:dyDescent="0.2">
      <c r="A2877" t="s">
        <v>62</v>
      </c>
      <c r="B2877" t="s">
        <v>54</v>
      </c>
      <c r="C2877">
        <v>6181</v>
      </c>
      <c r="D2877" t="s">
        <v>22</v>
      </c>
      <c r="E2877" t="s">
        <v>14</v>
      </c>
      <c r="F2877" t="s">
        <v>20</v>
      </c>
      <c r="K2877">
        <v>1</v>
      </c>
      <c r="W2877">
        <v>1</v>
      </c>
      <c r="BA2877">
        <f>SUM(Pre[[#This Row],[1]:[46]])</f>
        <v>2</v>
      </c>
    </row>
    <row r="2878" spans="1:53" x14ac:dyDescent="0.2">
      <c r="A2878" t="s">
        <v>62</v>
      </c>
      <c r="B2878" t="s">
        <v>54</v>
      </c>
      <c r="C2878">
        <v>6226</v>
      </c>
      <c r="D2878" t="s">
        <v>22</v>
      </c>
      <c r="E2878" t="s">
        <v>8</v>
      </c>
      <c r="F2878" t="s">
        <v>23</v>
      </c>
      <c r="S2878">
        <v>1</v>
      </c>
      <c r="AG2878">
        <v>1</v>
      </c>
      <c r="AR2878">
        <v>1</v>
      </c>
      <c r="AU2878">
        <v>1</v>
      </c>
      <c r="BA2878">
        <f>SUM(Pre[[#This Row],[1]:[46]])</f>
        <v>4</v>
      </c>
    </row>
    <row r="2879" spans="1:53" x14ac:dyDescent="0.2">
      <c r="A2879" t="s">
        <v>62</v>
      </c>
      <c r="B2879" t="s">
        <v>54</v>
      </c>
      <c r="C2879">
        <v>6303</v>
      </c>
      <c r="D2879" t="s">
        <v>22</v>
      </c>
      <c r="E2879" t="s">
        <v>8</v>
      </c>
      <c r="F2879" t="s">
        <v>29</v>
      </c>
      <c r="Q2879">
        <v>1</v>
      </c>
      <c r="AF2879">
        <v>1</v>
      </c>
      <c r="AU2879">
        <v>1</v>
      </c>
      <c r="BA2879">
        <f>SUM(Pre[[#This Row],[1]:[46]])</f>
        <v>3</v>
      </c>
    </row>
    <row r="2880" spans="1:53" x14ac:dyDescent="0.2">
      <c r="A2880" t="s">
        <v>62</v>
      </c>
      <c r="B2880" t="s">
        <v>54</v>
      </c>
      <c r="C2880">
        <v>6549</v>
      </c>
      <c r="D2880" t="s">
        <v>22</v>
      </c>
      <c r="E2880" t="s">
        <v>8</v>
      </c>
      <c r="F2880" t="s">
        <v>23</v>
      </c>
      <c r="Q2880">
        <v>1</v>
      </c>
      <c r="AD2880">
        <v>1</v>
      </c>
      <c r="AF2880">
        <v>1</v>
      </c>
      <c r="AT2880">
        <v>1</v>
      </c>
      <c r="BA2880">
        <f>SUM(Pre[[#This Row],[1]:[46]])</f>
        <v>4</v>
      </c>
    </row>
    <row r="2881" spans="1:53" x14ac:dyDescent="0.2">
      <c r="A2881" t="s">
        <v>62</v>
      </c>
      <c r="B2881" t="s">
        <v>54</v>
      </c>
      <c r="C2881">
        <v>7346</v>
      </c>
      <c r="D2881" t="s">
        <v>22</v>
      </c>
      <c r="E2881" t="s">
        <v>10</v>
      </c>
      <c r="F2881" t="s">
        <v>36</v>
      </c>
      <c r="P2881">
        <v>1</v>
      </c>
      <c r="AB2881">
        <v>1</v>
      </c>
      <c r="AO2881">
        <v>1</v>
      </c>
      <c r="BA2881">
        <f>SUM(Pre[[#This Row],[1]:[46]])</f>
        <v>3</v>
      </c>
    </row>
    <row r="2882" spans="1:53" x14ac:dyDescent="0.2">
      <c r="A2882" t="s">
        <v>62</v>
      </c>
      <c r="B2882" t="s">
        <v>54</v>
      </c>
      <c r="C2882">
        <v>7415</v>
      </c>
      <c r="D2882" t="s">
        <v>22</v>
      </c>
      <c r="E2882" t="s">
        <v>8</v>
      </c>
      <c r="F2882" t="s">
        <v>29</v>
      </c>
      <c r="P2882">
        <v>1</v>
      </c>
      <c r="AD2882">
        <v>1</v>
      </c>
      <c r="AS2882">
        <v>1</v>
      </c>
      <c r="BA2882">
        <f>SUM(Pre[[#This Row],[1]:[46]])</f>
        <v>3</v>
      </c>
    </row>
    <row r="2883" spans="1:53" x14ac:dyDescent="0.2">
      <c r="A2883" t="s">
        <v>62</v>
      </c>
      <c r="B2883" t="s">
        <v>54</v>
      </c>
      <c r="C2883">
        <v>7442</v>
      </c>
      <c r="D2883" t="s">
        <v>22</v>
      </c>
      <c r="E2883" t="s">
        <v>14</v>
      </c>
      <c r="F2883" t="s">
        <v>35</v>
      </c>
      <c r="AQ2883">
        <v>1</v>
      </c>
      <c r="AY2883">
        <v>1</v>
      </c>
      <c r="BA2883">
        <f>SUM(Pre[[#This Row],[1]:[46]])</f>
        <v>2</v>
      </c>
    </row>
    <row r="2884" spans="1:53" x14ac:dyDescent="0.2">
      <c r="A2884" t="s">
        <v>62</v>
      </c>
      <c r="B2884" t="s">
        <v>54</v>
      </c>
      <c r="C2884">
        <v>7603</v>
      </c>
      <c r="D2884" t="s">
        <v>22</v>
      </c>
      <c r="E2884" t="s">
        <v>8</v>
      </c>
      <c r="F2884" t="s">
        <v>23</v>
      </c>
      <c r="L2884">
        <v>1</v>
      </c>
      <c r="BA2884">
        <f>SUM(Pre[[#This Row],[1]:[46]])</f>
        <v>1</v>
      </c>
    </row>
    <row r="2885" spans="1:53" x14ac:dyDescent="0.2">
      <c r="A2885" t="s">
        <v>62</v>
      </c>
      <c r="B2885" t="s">
        <v>54</v>
      </c>
      <c r="C2885">
        <v>7623</v>
      </c>
      <c r="D2885" t="s">
        <v>22</v>
      </c>
      <c r="E2885" t="s">
        <v>8</v>
      </c>
      <c r="F2885" t="s">
        <v>23</v>
      </c>
      <c r="Q2885">
        <v>1</v>
      </c>
      <c r="AE2885">
        <v>1</v>
      </c>
      <c r="AR2885">
        <v>1</v>
      </c>
      <c r="BA2885">
        <f>SUM(Pre[[#This Row],[1]:[46]])</f>
        <v>3</v>
      </c>
    </row>
    <row r="2886" spans="1:53" x14ac:dyDescent="0.2">
      <c r="A2886" t="s">
        <v>62</v>
      </c>
      <c r="B2886" t="s">
        <v>54</v>
      </c>
      <c r="C2886">
        <v>7633</v>
      </c>
      <c r="D2886" t="s">
        <v>22</v>
      </c>
      <c r="E2886" t="s">
        <v>8</v>
      </c>
      <c r="F2886" t="s">
        <v>9</v>
      </c>
      <c r="P2886">
        <v>1</v>
      </c>
      <c r="Q2886">
        <v>1</v>
      </c>
      <c r="AG2886">
        <v>1</v>
      </c>
      <c r="AT2886">
        <v>1</v>
      </c>
      <c r="BA2886">
        <f>SUM(Pre[[#This Row],[1]:[46]])</f>
        <v>4</v>
      </c>
    </row>
    <row r="2887" spans="1:53" x14ac:dyDescent="0.2">
      <c r="A2887" t="s">
        <v>62</v>
      </c>
      <c r="B2887" t="s">
        <v>54</v>
      </c>
      <c r="C2887">
        <v>7771</v>
      </c>
      <c r="D2887" t="s">
        <v>22</v>
      </c>
      <c r="E2887" t="s">
        <v>8</v>
      </c>
      <c r="F2887" t="s">
        <v>23</v>
      </c>
      <c r="T2887">
        <v>1</v>
      </c>
      <c r="AG2887">
        <v>1</v>
      </c>
      <c r="AT2887">
        <v>1</v>
      </c>
      <c r="BA2887">
        <f>SUM(Pre[[#This Row],[1]:[46]])</f>
        <v>3</v>
      </c>
    </row>
    <row r="2888" spans="1:53" x14ac:dyDescent="0.2">
      <c r="A2888" t="s">
        <v>62</v>
      </c>
      <c r="B2888" t="s">
        <v>54</v>
      </c>
      <c r="C2888">
        <v>7827</v>
      </c>
      <c r="D2888" t="s">
        <v>22</v>
      </c>
      <c r="E2888" t="s">
        <v>8</v>
      </c>
      <c r="F2888" t="s">
        <v>23</v>
      </c>
      <c r="J2888">
        <v>1</v>
      </c>
      <c r="N2888">
        <v>1</v>
      </c>
      <c r="R2888">
        <v>1</v>
      </c>
      <c r="V2888">
        <v>1</v>
      </c>
      <c r="Z2888">
        <v>1</v>
      </c>
      <c r="AD2888">
        <v>1</v>
      </c>
      <c r="AH2888">
        <v>1</v>
      </c>
      <c r="AK2888">
        <v>1</v>
      </c>
      <c r="AP2888">
        <v>1</v>
      </c>
      <c r="AT2888">
        <v>1</v>
      </c>
      <c r="AX2888">
        <v>1</v>
      </c>
      <c r="BA2888">
        <f>SUM(Pre[[#This Row],[1]:[46]])</f>
        <v>11</v>
      </c>
    </row>
    <row r="2889" spans="1:53" x14ac:dyDescent="0.2">
      <c r="A2889" t="s">
        <v>62</v>
      </c>
      <c r="B2889" t="s">
        <v>54</v>
      </c>
      <c r="C2889">
        <v>7852</v>
      </c>
      <c r="D2889" t="s">
        <v>22</v>
      </c>
      <c r="E2889" t="s">
        <v>8</v>
      </c>
      <c r="F2889" t="s">
        <v>23</v>
      </c>
      <c r="J2889">
        <v>1</v>
      </c>
      <c r="M2889">
        <v>1</v>
      </c>
      <c r="AB2889">
        <v>1</v>
      </c>
      <c r="AQ2889">
        <v>1</v>
      </c>
      <c r="BA2889">
        <f>SUM(Pre[[#This Row],[1]:[46]])</f>
        <v>4</v>
      </c>
    </row>
    <row r="2890" spans="1:53" x14ac:dyDescent="0.2">
      <c r="A2890" t="s">
        <v>62</v>
      </c>
      <c r="B2890" t="s">
        <v>54</v>
      </c>
      <c r="C2890">
        <v>8041</v>
      </c>
      <c r="D2890" t="s">
        <v>22</v>
      </c>
      <c r="E2890" t="s">
        <v>8</v>
      </c>
      <c r="F2890" t="s">
        <v>29</v>
      </c>
      <c r="P2890">
        <v>1</v>
      </c>
      <c r="AD2890">
        <v>1</v>
      </c>
      <c r="AR2890">
        <v>1</v>
      </c>
      <c r="BA2890">
        <f>SUM(Pre[[#This Row],[1]:[46]])</f>
        <v>3</v>
      </c>
    </row>
    <row r="2891" spans="1:53" x14ac:dyDescent="0.2">
      <c r="A2891" t="s">
        <v>62</v>
      </c>
      <c r="B2891" t="s">
        <v>54</v>
      </c>
      <c r="C2891">
        <v>8161</v>
      </c>
      <c r="D2891" t="s">
        <v>22</v>
      </c>
      <c r="E2891" t="s">
        <v>10</v>
      </c>
      <c r="F2891" t="s">
        <v>11</v>
      </c>
      <c r="W2891">
        <v>1</v>
      </c>
      <c r="AJ2891">
        <v>1</v>
      </c>
      <c r="BA2891">
        <f>SUM(Pre[[#This Row],[1]:[46]])</f>
        <v>2</v>
      </c>
    </row>
    <row r="2892" spans="1:53" x14ac:dyDescent="0.2">
      <c r="A2892" t="s">
        <v>62</v>
      </c>
      <c r="B2892" t="s">
        <v>54</v>
      </c>
      <c r="C2892">
        <v>10301</v>
      </c>
      <c r="D2892" t="s">
        <v>22</v>
      </c>
      <c r="E2892" t="s">
        <v>8</v>
      </c>
      <c r="F2892" t="s">
        <v>23</v>
      </c>
      <c r="AQ2892">
        <v>1</v>
      </c>
      <c r="BA2892">
        <f>SUM(Pre[[#This Row],[1]:[46]])</f>
        <v>1</v>
      </c>
    </row>
    <row r="2893" spans="1:53" x14ac:dyDescent="0.2">
      <c r="A2893" t="s">
        <v>62</v>
      </c>
      <c r="B2893" t="s">
        <v>54</v>
      </c>
      <c r="C2893">
        <v>11178</v>
      </c>
      <c r="D2893" t="s">
        <v>22</v>
      </c>
      <c r="E2893" t="s">
        <v>8</v>
      </c>
      <c r="F2893" t="s">
        <v>23</v>
      </c>
      <c r="R2893">
        <v>2</v>
      </c>
      <c r="V2893">
        <v>1</v>
      </c>
      <c r="AA2893">
        <v>1</v>
      </c>
      <c r="AI2893">
        <v>1</v>
      </c>
      <c r="AU2893">
        <v>1</v>
      </c>
      <c r="BA2893">
        <f>SUM(Pre[[#This Row],[1]:[46]])</f>
        <v>6</v>
      </c>
    </row>
    <row r="2894" spans="1:53" x14ac:dyDescent="0.2">
      <c r="A2894" t="s">
        <v>62</v>
      </c>
      <c r="B2894" t="s">
        <v>54</v>
      </c>
      <c r="C2894">
        <v>11179</v>
      </c>
      <c r="D2894" t="s">
        <v>22</v>
      </c>
      <c r="E2894" t="s">
        <v>14</v>
      </c>
      <c r="F2894" t="s">
        <v>20</v>
      </c>
      <c r="P2894">
        <v>1</v>
      </c>
      <c r="BA2894">
        <f>SUM(Pre[[#This Row],[1]:[46]])</f>
        <v>1</v>
      </c>
    </row>
    <row r="2895" spans="1:53" x14ac:dyDescent="0.2">
      <c r="A2895" t="s">
        <v>62</v>
      </c>
      <c r="B2895" t="s">
        <v>54</v>
      </c>
      <c r="C2895">
        <v>11249</v>
      </c>
      <c r="D2895" t="s">
        <v>22</v>
      </c>
      <c r="E2895" t="s">
        <v>14</v>
      </c>
      <c r="F2895" t="s">
        <v>20</v>
      </c>
      <c r="G2895">
        <v>1</v>
      </c>
      <c r="K2895">
        <v>1</v>
      </c>
      <c r="P2895">
        <v>1</v>
      </c>
      <c r="T2895">
        <v>1</v>
      </c>
      <c r="Y2895">
        <v>1</v>
      </c>
      <c r="AB2895">
        <v>1</v>
      </c>
      <c r="AH2895">
        <v>1</v>
      </c>
      <c r="AK2895">
        <v>1</v>
      </c>
      <c r="AQ2895">
        <v>1</v>
      </c>
      <c r="AV2895">
        <v>1</v>
      </c>
      <c r="AZ2895">
        <v>1</v>
      </c>
      <c r="BA2895">
        <f>SUM(Pre[[#This Row],[1]:[46]])</f>
        <v>11</v>
      </c>
    </row>
    <row r="2896" spans="1:53" x14ac:dyDescent="0.2">
      <c r="A2896" t="s">
        <v>62</v>
      </c>
      <c r="B2896" t="s">
        <v>54</v>
      </c>
      <c r="C2896">
        <v>11652</v>
      </c>
      <c r="D2896" t="s">
        <v>22</v>
      </c>
      <c r="E2896" t="s">
        <v>8</v>
      </c>
      <c r="F2896" t="s">
        <v>23</v>
      </c>
      <c r="I2896">
        <v>1</v>
      </c>
      <c r="V2896">
        <v>1</v>
      </c>
      <c r="AI2896">
        <v>1</v>
      </c>
      <c r="AV2896">
        <v>1</v>
      </c>
      <c r="BA2896">
        <f>SUM(Pre[[#This Row],[1]:[46]])</f>
        <v>4</v>
      </c>
    </row>
    <row r="2897" spans="1:53" x14ac:dyDescent="0.2">
      <c r="A2897" t="s">
        <v>62</v>
      </c>
      <c r="B2897" t="s">
        <v>54</v>
      </c>
      <c r="C2897">
        <v>13461</v>
      </c>
      <c r="D2897" t="s">
        <v>22</v>
      </c>
      <c r="E2897" t="s">
        <v>10</v>
      </c>
      <c r="F2897" t="s">
        <v>11</v>
      </c>
      <c r="AB2897">
        <v>1</v>
      </c>
      <c r="BA2897">
        <f>SUM(Pre[[#This Row],[1]:[46]])</f>
        <v>1</v>
      </c>
    </row>
    <row r="2898" spans="1:53" x14ac:dyDescent="0.2">
      <c r="A2898" t="s">
        <v>62</v>
      </c>
      <c r="B2898" t="s">
        <v>54</v>
      </c>
      <c r="C2898">
        <v>13646</v>
      </c>
      <c r="D2898" t="s">
        <v>22</v>
      </c>
      <c r="E2898" t="s">
        <v>8</v>
      </c>
      <c r="F2898" t="s">
        <v>23</v>
      </c>
      <c r="I2898">
        <v>1</v>
      </c>
      <c r="Q2898">
        <v>1</v>
      </c>
      <c r="Y2898">
        <v>1</v>
      </c>
      <c r="Z2898">
        <v>1</v>
      </c>
      <c r="AI2898">
        <v>1</v>
      </c>
      <c r="AQ2898">
        <v>1</v>
      </c>
      <c r="BA2898">
        <f>SUM(Pre[[#This Row],[1]:[46]])</f>
        <v>6</v>
      </c>
    </row>
    <row r="2899" spans="1:53" x14ac:dyDescent="0.2">
      <c r="A2899" t="s">
        <v>62</v>
      </c>
      <c r="B2899" t="s">
        <v>54</v>
      </c>
      <c r="C2899">
        <v>14616</v>
      </c>
      <c r="D2899" t="s">
        <v>22</v>
      </c>
      <c r="E2899" t="s">
        <v>8</v>
      </c>
      <c r="F2899" t="s">
        <v>23</v>
      </c>
      <c r="AA2899">
        <v>3</v>
      </c>
      <c r="AR2899">
        <v>1</v>
      </c>
      <c r="BA2899">
        <f>SUM(Pre[[#This Row],[1]:[46]])</f>
        <v>4</v>
      </c>
    </row>
    <row r="2900" spans="1:53" x14ac:dyDescent="0.2">
      <c r="A2900" t="s">
        <v>62</v>
      </c>
      <c r="B2900" t="s">
        <v>54</v>
      </c>
      <c r="C2900">
        <v>14647</v>
      </c>
      <c r="D2900" t="s">
        <v>22</v>
      </c>
      <c r="E2900" t="s">
        <v>8</v>
      </c>
      <c r="F2900" t="s">
        <v>9</v>
      </c>
      <c r="M2900">
        <v>1</v>
      </c>
      <c r="P2900">
        <v>1</v>
      </c>
      <c r="AC2900">
        <v>1</v>
      </c>
      <c r="AO2900">
        <v>2</v>
      </c>
      <c r="BA2900">
        <f>SUM(Pre[[#This Row],[1]:[46]])</f>
        <v>5</v>
      </c>
    </row>
    <row r="2901" spans="1:53" x14ac:dyDescent="0.2">
      <c r="A2901" t="s">
        <v>62</v>
      </c>
      <c r="B2901" t="s">
        <v>54</v>
      </c>
      <c r="C2901">
        <v>16468</v>
      </c>
      <c r="D2901" t="s">
        <v>22</v>
      </c>
      <c r="E2901" t="s">
        <v>8</v>
      </c>
      <c r="F2901" t="s">
        <v>23</v>
      </c>
      <c r="I2901">
        <v>1</v>
      </c>
      <c r="N2901">
        <v>1</v>
      </c>
      <c r="O2901">
        <v>1</v>
      </c>
      <c r="T2901">
        <v>1</v>
      </c>
      <c r="U2901">
        <v>1</v>
      </c>
      <c r="Z2901">
        <v>1</v>
      </c>
      <c r="AD2901">
        <v>1</v>
      </c>
      <c r="AI2901">
        <v>1</v>
      </c>
      <c r="AN2901">
        <v>1</v>
      </c>
      <c r="AR2901">
        <v>1</v>
      </c>
      <c r="AV2901">
        <v>1</v>
      </c>
      <c r="BA2901">
        <f>SUM(Pre[[#This Row],[1]:[46]])</f>
        <v>11</v>
      </c>
    </row>
    <row r="2902" spans="1:53" x14ac:dyDescent="0.2">
      <c r="A2902" t="s">
        <v>62</v>
      </c>
      <c r="B2902" t="s">
        <v>54</v>
      </c>
      <c r="C2902">
        <v>17022</v>
      </c>
      <c r="D2902" t="s">
        <v>22</v>
      </c>
      <c r="E2902" t="s">
        <v>8</v>
      </c>
      <c r="F2902" t="s">
        <v>23</v>
      </c>
      <c r="I2902">
        <v>1</v>
      </c>
      <c r="N2902">
        <v>1</v>
      </c>
      <c r="O2902">
        <v>1</v>
      </c>
      <c r="S2902">
        <v>1</v>
      </c>
      <c r="X2902">
        <v>1</v>
      </c>
      <c r="AB2902">
        <v>1</v>
      </c>
      <c r="AG2902">
        <v>1</v>
      </c>
      <c r="AK2902">
        <v>1</v>
      </c>
      <c r="AO2902">
        <v>1</v>
      </c>
      <c r="AT2902">
        <v>1</v>
      </c>
      <c r="AX2902">
        <v>1</v>
      </c>
      <c r="BA2902">
        <f>SUM(Pre[[#This Row],[1]:[46]])</f>
        <v>11</v>
      </c>
    </row>
    <row r="2903" spans="1:53" x14ac:dyDescent="0.2">
      <c r="A2903" t="s">
        <v>62</v>
      </c>
      <c r="B2903" t="s">
        <v>54</v>
      </c>
      <c r="C2903">
        <v>18276</v>
      </c>
      <c r="D2903" t="s">
        <v>22</v>
      </c>
      <c r="E2903" t="s">
        <v>14</v>
      </c>
      <c r="F2903" t="s">
        <v>20</v>
      </c>
      <c r="AL2903">
        <v>1</v>
      </c>
      <c r="BA2903">
        <f>SUM(Pre[[#This Row],[1]:[46]])</f>
        <v>1</v>
      </c>
    </row>
    <row r="2904" spans="1:53" x14ac:dyDescent="0.2">
      <c r="A2904" t="s">
        <v>62</v>
      </c>
      <c r="B2904" t="s">
        <v>54</v>
      </c>
      <c r="C2904">
        <v>19073</v>
      </c>
      <c r="D2904" t="s">
        <v>22</v>
      </c>
      <c r="E2904" t="s">
        <v>8</v>
      </c>
      <c r="F2904" t="s">
        <v>45</v>
      </c>
      <c r="P2904">
        <v>1</v>
      </c>
      <c r="AE2904">
        <v>1</v>
      </c>
      <c r="AR2904">
        <v>1</v>
      </c>
      <c r="BA2904">
        <f>SUM(Pre[[#This Row],[1]:[46]])</f>
        <v>3</v>
      </c>
    </row>
    <row r="2905" spans="1:53" x14ac:dyDescent="0.2">
      <c r="A2905" t="s">
        <v>62</v>
      </c>
      <c r="B2905" t="s">
        <v>54</v>
      </c>
      <c r="C2905">
        <v>19659</v>
      </c>
      <c r="D2905" t="s">
        <v>22</v>
      </c>
      <c r="E2905" t="s">
        <v>8</v>
      </c>
      <c r="F2905" t="s">
        <v>29</v>
      </c>
      <c r="U2905">
        <v>1</v>
      </c>
      <c r="AL2905">
        <v>1</v>
      </c>
      <c r="BA2905">
        <f>SUM(Pre[[#This Row],[1]:[46]])</f>
        <v>2</v>
      </c>
    </row>
    <row r="2906" spans="1:53" x14ac:dyDescent="0.2">
      <c r="A2906" t="s">
        <v>62</v>
      </c>
      <c r="B2906" t="s">
        <v>54</v>
      </c>
      <c r="C2906">
        <v>27386</v>
      </c>
      <c r="D2906" t="s">
        <v>22</v>
      </c>
      <c r="E2906" t="s">
        <v>14</v>
      </c>
      <c r="F2906" t="s">
        <v>31</v>
      </c>
      <c r="G2906">
        <v>1</v>
      </c>
      <c r="T2906">
        <v>2</v>
      </c>
      <c r="AH2906">
        <v>1</v>
      </c>
      <c r="AS2906">
        <v>1</v>
      </c>
      <c r="BA2906">
        <f>SUM(Pre[[#This Row],[1]:[46]])</f>
        <v>5</v>
      </c>
    </row>
    <row r="2907" spans="1:53" x14ac:dyDescent="0.2">
      <c r="A2907" t="s">
        <v>62</v>
      </c>
      <c r="B2907" t="s">
        <v>54</v>
      </c>
      <c r="C2907">
        <v>28872</v>
      </c>
      <c r="D2907" t="s">
        <v>22</v>
      </c>
      <c r="E2907" t="s">
        <v>10</v>
      </c>
      <c r="F2907" t="s">
        <v>16</v>
      </c>
      <c r="Y2907">
        <v>1</v>
      </c>
      <c r="AP2907">
        <v>1</v>
      </c>
      <c r="BA2907">
        <f>SUM(Pre[[#This Row],[1]:[46]])</f>
        <v>2</v>
      </c>
    </row>
    <row r="2908" spans="1:53" x14ac:dyDescent="0.2">
      <c r="A2908" t="s">
        <v>62</v>
      </c>
      <c r="B2908" t="s">
        <v>54</v>
      </c>
      <c r="C2908">
        <v>30943</v>
      </c>
      <c r="D2908" t="s">
        <v>22</v>
      </c>
      <c r="E2908" t="s">
        <v>14</v>
      </c>
      <c r="F2908" t="s">
        <v>20</v>
      </c>
      <c r="Z2908">
        <v>2</v>
      </c>
      <c r="AD2908">
        <v>1</v>
      </c>
      <c r="AJ2908">
        <v>1</v>
      </c>
      <c r="AO2908">
        <v>1</v>
      </c>
      <c r="BA2908">
        <f>SUM(Pre[[#This Row],[1]:[46]])</f>
        <v>5</v>
      </c>
    </row>
    <row r="2909" spans="1:53" x14ac:dyDescent="0.2">
      <c r="A2909" t="s">
        <v>62</v>
      </c>
      <c r="B2909" t="s">
        <v>54</v>
      </c>
      <c r="C2909">
        <v>32550</v>
      </c>
      <c r="D2909" t="s">
        <v>22</v>
      </c>
      <c r="E2909" t="s">
        <v>8</v>
      </c>
      <c r="F2909" t="s">
        <v>23</v>
      </c>
      <c r="AE2909">
        <v>1</v>
      </c>
      <c r="AQ2909">
        <v>1</v>
      </c>
      <c r="BA2909">
        <f>SUM(Pre[[#This Row],[1]:[46]])</f>
        <v>2</v>
      </c>
    </row>
    <row r="2910" spans="1:53" x14ac:dyDescent="0.2">
      <c r="A2910" t="s">
        <v>62</v>
      </c>
      <c r="B2910" t="s">
        <v>54</v>
      </c>
      <c r="C2910">
        <v>32894</v>
      </c>
      <c r="D2910" t="s">
        <v>22</v>
      </c>
      <c r="E2910" t="s">
        <v>8</v>
      </c>
      <c r="F2910" t="s">
        <v>23</v>
      </c>
      <c r="P2910">
        <v>1</v>
      </c>
      <c r="AC2910">
        <v>1</v>
      </c>
      <c r="AO2910">
        <v>1</v>
      </c>
      <c r="BA2910">
        <f>SUM(Pre[[#This Row],[1]:[46]])</f>
        <v>3</v>
      </c>
    </row>
    <row r="2911" spans="1:53" x14ac:dyDescent="0.2">
      <c r="A2911" t="s">
        <v>62</v>
      </c>
      <c r="B2911" t="s">
        <v>54</v>
      </c>
      <c r="C2911">
        <v>33115</v>
      </c>
      <c r="D2911" t="s">
        <v>22</v>
      </c>
      <c r="E2911" t="s">
        <v>8</v>
      </c>
      <c r="F2911" t="s">
        <v>29</v>
      </c>
      <c r="P2911">
        <v>1</v>
      </c>
      <c r="AE2911">
        <v>1</v>
      </c>
      <c r="AR2911">
        <v>1</v>
      </c>
      <c r="BA2911">
        <f>SUM(Pre[[#This Row],[1]:[46]])</f>
        <v>3</v>
      </c>
    </row>
    <row r="2912" spans="1:53" x14ac:dyDescent="0.2">
      <c r="A2912" t="s">
        <v>62</v>
      </c>
      <c r="B2912" t="s">
        <v>54</v>
      </c>
      <c r="C2912">
        <v>33254</v>
      </c>
      <c r="D2912" t="s">
        <v>22</v>
      </c>
      <c r="E2912" t="s">
        <v>8</v>
      </c>
      <c r="F2912" t="s">
        <v>23</v>
      </c>
      <c r="P2912">
        <v>1</v>
      </c>
      <c r="AB2912">
        <v>1</v>
      </c>
      <c r="AP2912">
        <v>1</v>
      </c>
      <c r="BA2912">
        <f>SUM(Pre[[#This Row],[1]:[46]])</f>
        <v>3</v>
      </c>
    </row>
    <row r="2913" spans="1:53" x14ac:dyDescent="0.2">
      <c r="A2913" t="s">
        <v>62</v>
      </c>
      <c r="B2913" t="s">
        <v>54</v>
      </c>
      <c r="C2913">
        <v>33470</v>
      </c>
      <c r="D2913" t="s">
        <v>22</v>
      </c>
      <c r="E2913" t="s">
        <v>10</v>
      </c>
      <c r="F2913" t="s">
        <v>11</v>
      </c>
      <c r="BA2913">
        <f>SUM(Pre[[#This Row],[1]:[46]])</f>
        <v>0</v>
      </c>
    </row>
    <row r="2914" spans="1:53" x14ac:dyDescent="0.2">
      <c r="A2914" t="s">
        <v>62</v>
      </c>
      <c r="B2914" t="s">
        <v>54</v>
      </c>
      <c r="C2914">
        <v>33535</v>
      </c>
      <c r="D2914" t="s">
        <v>22</v>
      </c>
      <c r="E2914" t="s">
        <v>8</v>
      </c>
      <c r="F2914" t="s">
        <v>9</v>
      </c>
      <c r="U2914">
        <v>2</v>
      </c>
      <c r="AI2914">
        <v>1</v>
      </c>
      <c r="AX2914">
        <v>2</v>
      </c>
      <c r="BA2914">
        <f>SUM(Pre[[#This Row],[1]:[46]])</f>
        <v>5</v>
      </c>
    </row>
    <row r="2915" spans="1:53" x14ac:dyDescent="0.2">
      <c r="A2915" t="s">
        <v>62</v>
      </c>
      <c r="B2915" t="s">
        <v>54</v>
      </c>
      <c r="C2915">
        <v>797</v>
      </c>
      <c r="D2915" t="s">
        <v>7</v>
      </c>
      <c r="E2915" t="s">
        <v>14</v>
      </c>
      <c r="F2915" t="s">
        <v>35</v>
      </c>
      <c r="J2915">
        <v>1</v>
      </c>
      <c r="R2915">
        <v>1</v>
      </c>
      <c r="Z2915">
        <v>1</v>
      </c>
      <c r="AH2915">
        <v>1</v>
      </c>
      <c r="AN2915">
        <v>1</v>
      </c>
      <c r="AX2915">
        <v>1</v>
      </c>
      <c r="BA2915">
        <f>SUM(Pre[[#This Row],[1]:[46]])</f>
        <v>6</v>
      </c>
    </row>
    <row r="2916" spans="1:53" x14ac:dyDescent="0.2">
      <c r="A2916" t="s">
        <v>62</v>
      </c>
      <c r="B2916" t="s">
        <v>54</v>
      </c>
      <c r="C2916">
        <v>2067</v>
      </c>
      <c r="D2916" t="s">
        <v>7</v>
      </c>
      <c r="E2916" t="s">
        <v>8</v>
      </c>
      <c r="F2916" t="s">
        <v>30</v>
      </c>
      <c r="I2916">
        <v>1</v>
      </c>
      <c r="W2916">
        <v>1</v>
      </c>
      <c r="AV2916">
        <v>1</v>
      </c>
      <c r="BA2916">
        <f>SUM(Pre[[#This Row],[1]:[46]])</f>
        <v>3</v>
      </c>
    </row>
    <row r="2917" spans="1:53" x14ac:dyDescent="0.2">
      <c r="A2917" t="s">
        <v>62</v>
      </c>
      <c r="B2917" t="s">
        <v>54</v>
      </c>
      <c r="C2917">
        <v>2325</v>
      </c>
      <c r="D2917" t="s">
        <v>7</v>
      </c>
      <c r="E2917" t="s">
        <v>8</v>
      </c>
      <c r="F2917" t="s">
        <v>29</v>
      </c>
      <c r="I2917">
        <v>1</v>
      </c>
      <c r="W2917">
        <v>1</v>
      </c>
      <c r="BA2917">
        <f>SUM(Pre[[#This Row],[1]:[46]])</f>
        <v>2</v>
      </c>
    </row>
    <row r="2918" spans="1:53" x14ac:dyDescent="0.2">
      <c r="A2918" t="s">
        <v>62</v>
      </c>
      <c r="B2918" t="s">
        <v>54</v>
      </c>
      <c r="C2918">
        <v>2676</v>
      </c>
      <c r="D2918" t="s">
        <v>7</v>
      </c>
      <c r="E2918" t="s">
        <v>14</v>
      </c>
      <c r="F2918" t="s">
        <v>20</v>
      </c>
      <c r="I2918">
        <v>1</v>
      </c>
      <c r="X2918">
        <v>1</v>
      </c>
      <c r="AM2918">
        <v>1</v>
      </c>
      <c r="BA2918">
        <f>SUM(Pre[[#This Row],[1]:[46]])</f>
        <v>3</v>
      </c>
    </row>
    <row r="2919" spans="1:53" x14ac:dyDescent="0.2">
      <c r="A2919" t="s">
        <v>62</v>
      </c>
      <c r="B2919" t="s">
        <v>54</v>
      </c>
      <c r="C2919">
        <v>3558</v>
      </c>
      <c r="D2919" t="s">
        <v>7</v>
      </c>
      <c r="E2919" t="s">
        <v>8</v>
      </c>
      <c r="F2919" t="s">
        <v>23</v>
      </c>
      <c r="H2919">
        <v>1</v>
      </c>
      <c r="K2919">
        <v>1</v>
      </c>
      <c r="O2919">
        <v>1</v>
      </c>
      <c r="T2919">
        <v>1</v>
      </c>
      <c r="X2919">
        <v>1</v>
      </c>
      <c r="AB2919">
        <v>1</v>
      </c>
      <c r="AF2919">
        <v>1</v>
      </c>
      <c r="AI2919">
        <v>1</v>
      </c>
      <c r="AM2919">
        <v>1</v>
      </c>
      <c r="AR2919">
        <v>1</v>
      </c>
      <c r="AV2919">
        <v>1</v>
      </c>
      <c r="AY2919">
        <v>1</v>
      </c>
      <c r="BA2919">
        <f>SUM(Pre[[#This Row],[1]:[46]])</f>
        <v>12</v>
      </c>
    </row>
    <row r="2920" spans="1:53" x14ac:dyDescent="0.2">
      <c r="A2920" t="s">
        <v>62</v>
      </c>
      <c r="B2920" t="s">
        <v>54</v>
      </c>
      <c r="C2920">
        <v>4500</v>
      </c>
      <c r="D2920" t="s">
        <v>7</v>
      </c>
      <c r="E2920" t="s">
        <v>8</v>
      </c>
      <c r="F2920" t="s">
        <v>23</v>
      </c>
      <c r="I2920">
        <v>1</v>
      </c>
      <c r="V2920">
        <v>1</v>
      </c>
      <c r="AI2920">
        <v>1</v>
      </c>
      <c r="AW2920">
        <v>1</v>
      </c>
      <c r="BA2920">
        <f>SUM(Pre[[#This Row],[1]:[46]])</f>
        <v>4</v>
      </c>
    </row>
    <row r="2921" spans="1:53" x14ac:dyDescent="0.2">
      <c r="A2921" t="s">
        <v>62</v>
      </c>
      <c r="B2921" t="s">
        <v>54</v>
      </c>
      <c r="C2921">
        <v>4533</v>
      </c>
      <c r="D2921" t="s">
        <v>7</v>
      </c>
      <c r="E2921" t="s">
        <v>14</v>
      </c>
      <c r="F2921" t="s">
        <v>31</v>
      </c>
      <c r="AD2921">
        <v>1</v>
      </c>
      <c r="AQ2921">
        <v>1</v>
      </c>
      <c r="BA2921">
        <f>SUM(Pre[[#This Row],[1]:[46]])</f>
        <v>2</v>
      </c>
    </row>
    <row r="2922" spans="1:53" x14ac:dyDescent="0.2">
      <c r="A2922" t="s">
        <v>62</v>
      </c>
      <c r="B2922" t="s">
        <v>54</v>
      </c>
      <c r="C2922">
        <v>5249</v>
      </c>
      <c r="D2922" t="s">
        <v>7</v>
      </c>
      <c r="E2922" t="s">
        <v>8</v>
      </c>
      <c r="F2922" t="s">
        <v>23</v>
      </c>
      <c r="Q2922">
        <v>1</v>
      </c>
      <c r="AI2922">
        <v>1</v>
      </c>
      <c r="AX2922">
        <v>1</v>
      </c>
      <c r="BA2922">
        <f>SUM(Pre[[#This Row],[1]:[46]])</f>
        <v>3</v>
      </c>
    </row>
    <row r="2923" spans="1:53" x14ac:dyDescent="0.2">
      <c r="A2923" t="s">
        <v>62</v>
      </c>
      <c r="B2923" t="s">
        <v>54</v>
      </c>
      <c r="C2923">
        <v>5576</v>
      </c>
      <c r="D2923" t="s">
        <v>7</v>
      </c>
      <c r="E2923" t="s">
        <v>14</v>
      </c>
      <c r="F2923" t="s">
        <v>20</v>
      </c>
      <c r="BA2923">
        <f>SUM(Pre[[#This Row],[1]:[46]])</f>
        <v>0</v>
      </c>
    </row>
    <row r="2924" spans="1:53" x14ac:dyDescent="0.2">
      <c r="A2924" t="s">
        <v>62</v>
      </c>
      <c r="B2924" t="s">
        <v>54</v>
      </c>
      <c r="C2924">
        <v>5891</v>
      </c>
      <c r="D2924" t="s">
        <v>7</v>
      </c>
      <c r="E2924" t="s">
        <v>8</v>
      </c>
      <c r="F2924" t="s">
        <v>23</v>
      </c>
      <c r="H2924">
        <v>1</v>
      </c>
      <c r="U2924">
        <v>1</v>
      </c>
      <c r="AD2924">
        <v>1</v>
      </c>
      <c r="AH2924">
        <v>1</v>
      </c>
      <c r="AT2924">
        <v>1</v>
      </c>
      <c r="BA2924">
        <f>SUM(Pre[[#This Row],[1]:[46]])</f>
        <v>5</v>
      </c>
    </row>
    <row r="2925" spans="1:53" x14ac:dyDescent="0.2">
      <c r="A2925" t="s">
        <v>62</v>
      </c>
      <c r="B2925" t="s">
        <v>54</v>
      </c>
      <c r="C2925">
        <v>5938</v>
      </c>
      <c r="D2925" t="s">
        <v>7</v>
      </c>
      <c r="E2925" t="s">
        <v>14</v>
      </c>
      <c r="F2925" t="s">
        <v>20</v>
      </c>
      <c r="AH2925">
        <v>1</v>
      </c>
      <c r="BA2925">
        <f>SUM(Pre[[#This Row],[1]:[46]])</f>
        <v>1</v>
      </c>
    </row>
    <row r="2926" spans="1:53" x14ac:dyDescent="0.2">
      <c r="A2926" t="s">
        <v>62</v>
      </c>
      <c r="B2926" t="s">
        <v>54</v>
      </c>
      <c r="C2926">
        <v>6594</v>
      </c>
      <c r="D2926" t="s">
        <v>7</v>
      </c>
      <c r="E2926" t="s">
        <v>14</v>
      </c>
      <c r="F2926" t="s">
        <v>20</v>
      </c>
      <c r="L2926">
        <v>2</v>
      </c>
      <c r="Y2926">
        <v>1</v>
      </c>
      <c r="AJ2926">
        <v>1</v>
      </c>
      <c r="AW2926">
        <v>1</v>
      </c>
      <c r="BA2926">
        <f>SUM(Pre[[#This Row],[1]:[46]])</f>
        <v>5</v>
      </c>
    </row>
    <row r="2927" spans="1:53" x14ac:dyDescent="0.2">
      <c r="A2927" t="s">
        <v>62</v>
      </c>
      <c r="B2927" t="s">
        <v>54</v>
      </c>
      <c r="C2927">
        <v>6685</v>
      </c>
      <c r="D2927" t="s">
        <v>7</v>
      </c>
      <c r="E2927" t="s">
        <v>14</v>
      </c>
      <c r="F2927" t="s">
        <v>20</v>
      </c>
      <c r="Q2927">
        <v>1</v>
      </c>
      <c r="Y2927">
        <v>1</v>
      </c>
      <c r="AG2927">
        <v>1</v>
      </c>
      <c r="AM2927">
        <v>1</v>
      </c>
      <c r="AO2927">
        <v>1</v>
      </c>
      <c r="AT2927">
        <v>1</v>
      </c>
      <c r="AY2927">
        <v>1</v>
      </c>
      <c r="BA2927">
        <f>SUM(Pre[[#This Row],[1]:[46]])</f>
        <v>7</v>
      </c>
    </row>
    <row r="2928" spans="1:53" x14ac:dyDescent="0.2">
      <c r="A2928" t="s">
        <v>62</v>
      </c>
      <c r="B2928" t="s">
        <v>54</v>
      </c>
      <c r="C2928">
        <v>6693</v>
      </c>
      <c r="D2928" t="s">
        <v>7</v>
      </c>
      <c r="E2928" t="s">
        <v>10</v>
      </c>
      <c r="F2928" t="s">
        <v>11</v>
      </c>
      <c r="BA2928">
        <f>SUM(Pre[[#This Row],[1]:[46]])</f>
        <v>0</v>
      </c>
    </row>
    <row r="2929" spans="1:53" x14ac:dyDescent="0.2">
      <c r="A2929" t="s">
        <v>62</v>
      </c>
      <c r="B2929" t="s">
        <v>54</v>
      </c>
      <c r="C2929">
        <v>7271</v>
      </c>
      <c r="D2929" t="s">
        <v>7</v>
      </c>
      <c r="E2929" t="s">
        <v>14</v>
      </c>
      <c r="F2929" t="s">
        <v>20</v>
      </c>
      <c r="P2929">
        <v>1</v>
      </c>
      <c r="AD2929">
        <v>1</v>
      </c>
      <c r="AO2929">
        <v>1</v>
      </c>
      <c r="AQ2929">
        <v>1</v>
      </c>
      <c r="BA2929">
        <f>SUM(Pre[[#This Row],[1]:[46]])</f>
        <v>4</v>
      </c>
    </row>
    <row r="2930" spans="1:53" x14ac:dyDescent="0.2">
      <c r="A2930" t="s">
        <v>62</v>
      </c>
      <c r="B2930" t="s">
        <v>54</v>
      </c>
      <c r="C2930">
        <v>8040</v>
      </c>
      <c r="D2930" t="s">
        <v>7</v>
      </c>
      <c r="E2930" t="s">
        <v>14</v>
      </c>
      <c r="F2930" t="s">
        <v>20</v>
      </c>
      <c r="BA2930">
        <f>SUM(Pre[[#This Row],[1]:[46]])</f>
        <v>0</v>
      </c>
    </row>
    <row r="2931" spans="1:53" x14ac:dyDescent="0.2">
      <c r="A2931" t="s">
        <v>62</v>
      </c>
      <c r="B2931" t="s">
        <v>54</v>
      </c>
      <c r="C2931">
        <v>8710</v>
      </c>
      <c r="D2931" t="s">
        <v>7</v>
      </c>
      <c r="E2931" t="s">
        <v>14</v>
      </c>
      <c r="F2931" t="s">
        <v>20</v>
      </c>
      <c r="I2931">
        <v>1</v>
      </c>
      <c r="U2931">
        <v>1</v>
      </c>
      <c r="AH2931">
        <v>1</v>
      </c>
      <c r="AU2931">
        <v>1</v>
      </c>
      <c r="BA2931">
        <f>SUM(Pre[[#This Row],[1]:[46]])</f>
        <v>4</v>
      </c>
    </row>
    <row r="2932" spans="1:53" x14ac:dyDescent="0.2">
      <c r="A2932" t="s">
        <v>62</v>
      </c>
      <c r="B2932" t="s">
        <v>54</v>
      </c>
      <c r="C2932">
        <v>9692</v>
      </c>
      <c r="D2932" t="s">
        <v>7</v>
      </c>
      <c r="E2932" t="s">
        <v>10</v>
      </c>
      <c r="F2932" t="s">
        <v>11</v>
      </c>
      <c r="BA2932">
        <f>SUM(Pre[[#This Row],[1]:[46]])</f>
        <v>0</v>
      </c>
    </row>
    <row r="2933" spans="1:53" x14ac:dyDescent="0.2">
      <c r="A2933" t="s">
        <v>62</v>
      </c>
      <c r="B2933" t="s">
        <v>54</v>
      </c>
      <c r="C2933">
        <v>9692</v>
      </c>
      <c r="D2933" t="s">
        <v>7</v>
      </c>
      <c r="E2933" t="s">
        <v>14</v>
      </c>
      <c r="F2933" t="s">
        <v>20</v>
      </c>
      <c r="J2933">
        <v>1</v>
      </c>
      <c r="W2933">
        <v>1</v>
      </c>
      <c r="AJ2933">
        <v>1</v>
      </c>
      <c r="AW2933">
        <v>1</v>
      </c>
      <c r="BA2933">
        <f>SUM(Pre[[#This Row],[1]:[46]])</f>
        <v>4</v>
      </c>
    </row>
    <row r="2934" spans="1:53" x14ac:dyDescent="0.2">
      <c r="A2934" t="s">
        <v>62</v>
      </c>
      <c r="B2934" t="s">
        <v>54</v>
      </c>
      <c r="C2934">
        <v>9740</v>
      </c>
      <c r="D2934" t="s">
        <v>7</v>
      </c>
      <c r="E2934" t="s">
        <v>14</v>
      </c>
      <c r="F2934" t="s">
        <v>21</v>
      </c>
      <c r="Y2934">
        <v>1</v>
      </c>
      <c r="AE2934">
        <v>1</v>
      </c>
      <c r="AF2934">
        <v>1</v>
      </c>
      <c r="BA2934">
        <f>SUM(Pre[[#This Row],[1]:[46]])</f>
        <v>3</v>
      </c>
    </row>
    <row r="2935" spans="1:53" x14ac:dyDescent="0.2">
      <c r="A2935" t="s">
        <v>62</v>
      </c>
      <c r="B2935" t="s">
        <v>54</v>
      </c>
      <c r="C2935">
        <v>10114</v>
      </c>
      <c r="D2935" t="s">
        <v>7</v>
      </c>
      <c r="E2935" t="s">
        <v>14</v>
      </c>
      <c r="F2935" t="s">
        <v>31</v>
      </c>
      <c r="AR2935">
        <v>1</v>
      </c>
      <c r="BA2935">
        <f>SUM(Pre[[#This Row],[1]:[46]])</f>
        <v>1</v>
      </c>
    </row>
    <row r="2936" spans="1:53" x14ac:dyDescent="0.2">
      <c r="A2936" t="s">
        <v>62</v>
      </c>
      <c r="B2936" t="s">
        <v>54</v>
      </c>
      <c r="C2936">
        <v>10168</v>
      </c>
      <c r="D2936" t="s">
        <v>7</v>
      </c>
      <c r="E2936" t="s">
        <v>14</v>
      </c>
      <c r="F2936" t="s">
        <v>20</v>
      </c>
      <c r="M2936">
        <v>1</v>
      </c>
      <c r="P2936">
        <v>2</v>
      </c>
      <c r="AB2936">
        <v>1</v>
      </c>
      <c r="AP2936">
        <v>1</v>
      </c>
      <c r="BA2936">
        <f>SUM(Pre[[#This Row],[1]:[46]])</f>
        <v>5</v>
      </c>
    </row>
    <row r="2937" spans="1:53" x14ac:dyDescent="0.2">
      <c r="A2937" t="s">
        <v>62</v>
      </c>
      <c r="B2937" t="s">
        <v>54</v>
      </c>
      <c r="C2937">
        <v>10263</v>
      </c>
      <c r="D2937" t="s">
        <v>7</v>
      </c>
      <c r="E2937" t="s">
        <v>26</v>
      </c>
      <c r="F2937" t="s">
        <v>27</v>
      </c>
      <c r="Q2937">
        <v>1</v>
      </c>
      <c r="AE2937">
        <v>1</v>
      </c>
      <c r="AR2937">
        <v>1</v>
      </c>
      <c r="BA2937">
        <f>SUM(Pre[[#This Row],[1]:[46]])</f>
        <v>3</v>
      </c>
    </row>
    <row r="2938" spans="1:53" x14ac:dyDescent="0.2">
      <c r="A2938" t="s">
        <v>62</v>
      </c>
      <c r="B2938" t="s">
        <v>54</v>
      </c>
      <c r="C2938">
        <v>10653</v>
      </c>
      <c r="D2938" t="s">
        <v>7</v>
      </c>
      <c r="E2938" t="s">
        <v>8</v>
      </c>
      <c r="F2938" t="s">
        <v>29</v>
      </c>
      <c r="AD2938">
        <v>1</v>
      </c>
      <c r="AI2938">
        <v>2</v>
      </c>
      <c r="AS2938">
        <v>1</v>
      </c>
      <c r="BA2938">
        <f>SUM(Pre[[#This Row],[1]:[46]])</f>
        <v>4</v>
      </c>
    </row>
    <row r="2939" spans="1:53" x14ac:dyDescent="0.2">
      <c r="A2939" t="s">
        <v>62</v>
      </c>
      <c r="B2939" t="s">
        <v>54</v>
      </c>
      <c r="C2939">
        <v>10970</v>
      </c>
      <c r="D2939" t="s">
        <v>7</v>
      </c>
      <c r="E2939" t="s">
        <v>14</v>
      </c>
      <c r="F2939" t="s">
        <v>20</v>
      </c>
      <c r="Q2939">
        <v>1</v>
      </c>
      <c r="AK2939">
        <v>1</v>
      </c>
      <c r="AZ2939">
        <v>1</v>
      </c>
      <c r="BA2939">
        <f>SUM(Pre[[#This Row],[1]:[46]])</f>
        <v>3</v>
      </c>
    </row>
    <row r="2940" spans="1:53" x14ac:dyDescent="0.2">
      <c r="A2940" t="s">
        <v>62</v>
      </c>
      <c r="B2940" t="s">
        <v>54</v>
      </c>
      <c r="C2940">
        <v>10997</v>
      </c>
      <c r="D2940" t="s">
        <v>7</v>
      </c>
      <c r="E2940" t="s">
        <v>10</v>
      </c>
      <c r="F2940" t="s">
        <v>11</v>
      </c>
      <c r="T2940">
        <v>1</v>
      </c>
      <c r="AT2940">
        <v>1</v>
      </c>
      <c r="BA2940">
        <f>SUM(Pre[[#This Row],[1]:[46]])</f>
        <v>2</v>
      </c>
    </row>
    <row r="2941" spans="1:53" x14ac:dyDescent="0.2">
      <c r="A2941" t="s">
        <v>62</v>
      </c>
      <c r="B2941" t="s">
        <v>54</v>
      </c>
      <c r="C2941">
        <v>12010</v>
      </c>
      <c r="D2941" t="s">
        <v>7</v>
      </c>
      <c r="E2941" t="s">
        <v>14</v>
      </c>
      <c r="F2941" t="s">
        <v>31</v>
      </c>
      <c r="O2941">
        <v>1</v>
      </c>
      <c r="BA2941">
        <f>SUM(Pre[[#This Row],[1]:[46]])</f>
        <v>1</v>
      </c>
    </row>
    <row r="2942" spans="1:53" x14ac:dyDescent="0.2">
      <c r="A2942" t="s">
        <v>62</v>
      </c>
      <c r="B2942" t="s">
        <v>54</v>
      </c>
      <c r="C2942">
        <v>12738</v>
      </c>
      <c r="D2942" t="s">
        <v>7</v>
      </c>
      <c r="E2942" t="s">
        <v>14</v>
      </c>
      <c r="F2942" t="s">
        <v>20</v>
      </c>
      <c r="M2942">
        <v>1</v>
      </c>
      <c r="Z2942">
        <v>1</v>
      </c>
      <c r="AG2942">
        <v>1</v>
      </c>
      <c r="AV2942">
        <v>1</v>
      </c>
      <c r="BA2942">
        <f>SUM(Pre[[#This Row],[1]:[46]])</f>
        <v>4</v>
      </c>
    </row>
    <row r="2943" spans="1:53" x14ac:dyDescent="0.2">
      <c r="A2943" t="s">
        <v>62</v>
      </c>
      <c r="B2943" t="s">
        <v>54</v>
      </c>
      <c r="C2943">
        <v>13071</v>
      </c>
      <c r="D2943" t="s">
        <v>7</v>
      </c>
      <c r="E2943" t="s">
        <v>8</v>
      </c>
      <c r="F2943" t="s">
        <v>23</v>
      </c>
      <c r="K2943">
        <v>1</v>
      </c>
      <c r="U2943">
        <v>1</v>
      </c>
      <c r="W2943">
        <v>1</v>
      </c>
      <c r="AJ2943">
        <v>1</v>
      </c>
      <c r="AW2943">
        <v>1</v>
      </c>
      <c r="BA2943">
        <f>SUM(Pre[[#This Row],[1]:[46]])</f>
        <v>5</v>
      </c>
    </row>
    <row r="2944" spans="1:53" x14ac:dyDescent="0.2">
      <c r="A2944" t="s">
        <v>62</v>
      </c>
      <c r="B2944" t="s">
        <v>54</v>
      </c>
      <c r="C2944">
        <v>14011</v>
      </c>
      <c r="D2944" t="s">
        <v>7</v>
      </c>
      <c r="E2944" t="s">
        <v>14</v>
      </c>
      <c r="F2944" t="s">
        <v>20</v>
      </c>
      <c r="AF2944">
        <v>2</v>
      </c>
      <c r="AM2944">
        <v>1</v>
      </c>
      <c r="AS2944">
        <v>1</v>
      </c>
      <c r="BA2944">
        <f>SUM(Pre[[#This Row],[1]:[46]])</f>
        <v>4</v>
      </c>
    </row>
    <row r="2945" spans="1:53" x14ac:dyDescent="0.2">
      <c r="A2945" t="s">
        <v>62</v>
      </c>
      <c r="B2945" t="s">
        <v>54</v>
      </c>
      <c r="C2945">
        <v>14074</v>
      </c>
      <c r="D2945" t="s">
        <v>7</v>
      </c>
      <c r="E2945" t="s">
        <v>8</v>
      </c>
      <c r="F2945" t="s">
        <v>29</v>
      </c>
      <c r="H2945">
        <v>1</v>
      </c>
      <c r="L2945">
        <v>1</v>
      </c>
      <c r="P2945">
        <v>1</v>
      </c>
      <c r="U2945">
        <v>1</v>
      </c>
      <c r="Y2945">
        <v>1</v>
      </c>
      <c r="AC2945">
        <v>1</v>
      </c>
      <c r="AG2945">
        <v>1</v>
      </c>
      <c r="AL2945">
        <v>1</v>
      </c>
      <c r="AP2945">
        <v>1</v>
      </c>
      <c r="AU2945">
        <v>1</v>
      </c>
      <c r="AZ2945">
        <v>1</v>
      </c>
      <c r="BA2945">
        <f>SUM(Pre[[#This Row],[1]:[46]])</f>
        <v>11</v>
      </c>
    </row>
    <row r="2946" spans="1:53" x14ac:dyDescent="0.2">
      <c r="A2946" t="s">
        <v>62</v>
      </c>
      <c r="B2946" t="s">
        <v>54</v>
      </c>
      <c r="C2946">
        <v>14414</v>
      </c>
      <c r="D2946" t="s">
        <v>7</v>
      </c>
      <c r="E2946" t="s">
        <v>10</v>
      </c>
      <c r="F2946" t="s">
        <v>16</v>
      </c>
      <c r="G2946">
        <v>1</v>
      </c>
      <c r="K2946">
        <v>1</v>
      </c>
      <c r="P2946">
        <v>1</v>
      </c>
      <c r="V2946">
        <v>1</v>
      </c>
      <c r="Z2946">
        <v>1</v>
      </c>
      <c r="BA2946">
        <f>SUM(Pre[[#This Row],[1]:[46]])</f>
        <v>5</v>
      </c>
    </row>
    <row r="2947" spans="1:53" x14ac:dyDescent="0.2">
      <c r="A2947" t="s">
        <v>62</v>
      </c>
      <c r="B2947" t="s">
        <v>54</v>
      </c>
      <c r="C2947">
        <v>14414</v>
      </c>
      <c r="D2947" t="s">
        <v>7</v>
      </c>
      <c r="E2947" t="s">
        <v>32</v>
      </c>
      <c r="F2947" t="s">
        <v>33</v>
      </c>
      <c r="G2947">
        <v>3</v>
      </c>
      <c r="K2947">
        <v>1</v>
      </c>
      <c r="P2947">
        <v>2</v>
      </c>
      <c r="V2947">
        <v>1</v>
      </c>
      <c r="Z2947">
        <v>1</v>
      </c>
      <c r="BA2947">
        <f>SUM(Pre[[#This Row],[1]:[46]])</f>
        <v>8</v>
      </c>
    </row>
    <row r="2948" spans="1:53" x14ac:dyDescent="0.2">
      <c r="A2948" t="s">
        <v>62</v>
      </c>
      <c r="B2948" t="s">
        <v>54</v>
      </c>
      <c r="C2948">
        <v>15130</v>
      </c>
      <c r="D2948" t="s">
        <v>7</v>
      </c>
      <c r="E2948" t="s">
        <v>14</v>
      </c>
      <c r="F2948" t="s">
        <v>31</v>
      </c>
      <c r="X2948">
        <v>1</v>
      </c>
      <c r="AR2948">
        <v>1</v>
      </c>
      <c r="BA2948">
        <f>SUM(Pre[[#This Row],[1]:[46]])</f>
        <v>2</v>
      </c>
    </row>
    <row r="2949" spans="1:53" x14ac:dyDescent="0.2">
      <c r="A2949" t="s">
        <v>62</v>
      </c>
      <c r="B2949" t="s">
        <v>54</v>
      </c>
      <c r="C2949">
        <v>15628</v>
      </c>
      <c r="D2949" t="s">
        <v>7</v>
      </c>
      <c r="E2949" t="s">
        <v>14</v>
      </c>
      <c r="F2949" t="s">
        <v>20</v>
      </c>
      <c r="J2949">
        <v>2</v>
      </c>
      <c r="AB2949">
        <v>1</v>
      </c>
      <c r="AP2949">
        <v>1</v>
      </c>
      <c r="BA2949">
        <f>SUM(Pre[[#This Row],[1]:[46]])</f>
        <v>4</v>
      </c>
    </row>
    <row r="2950" spans="1:53" x14ac:dyDescent="0.2">
      <c r="A2950" t="s">
        <v>62</v>
      </c>
      <c r="B2950" t="s">
        <v>54</v>
      </c>
      <c r="C2950">
        <v>18495</v>
      </c>
      <c r="D2950" t="s">
        <v>7</v>
      </c>
      <c r="E2950" t="s">
        <v>40</v>
      </c>
      <c r="F2950" t="s">
        <v>44</v>
      </c>
      <c r="I2950">
        <v>1</v>
      </c>
      <c r="M2950">
        <v>1</v>
      </c>
      <c r="BA2950">
        <f>SUM(Pre[[#This Row],[1]:[46]])</f>
        <v>2</v>
      </c>
    </row>
    <row r="2951" spans="1:53" x14ac:dyDescent="0.2">
      <c r="A2951" t="s">
        <v>62</v>
      </c>
      <c r="B2951" t="s">
        <v>54</v>
      </c>
      <c r="C2951">
        <v>18495</v>
      </c>
      <c r="D2951" t="s">
        <v>7</v>
      </c>
      <c r="E2951" t="s">
        <v>10</v>
      </c>
      <c r="F2951" t="s">
        <v>11</v>
      </c>
      <c r="X2951">
        <v>1</v>
      </c>
      <c r="Z2951">
        <v>3</v>
      </c>
      <c r="AB2951">
        <v>1</v>
      </c>
      <c r="BA2951">
        <f>SUM(Pre[[#This Row],[1]:[46]])</f>
        <v>5</v>
      </c>
    </row>
    <row r="2952" spans="1:53" x14ac:dyDescent="0.2">
      <c r="A2952" t="s">
        <v>62</v>
      </c>
      <c r="B2952" t="s">
        <v>54</v>
      </c>
      <c r="C2952">
        <v>18862</v>
      </c>
      <c r="D2952" t="s">
        <v>7</v>
      </c>
      <c r="E2952" t="s">
        <v>10</v>
      </c>
      <c r="F2952" t="s">
        <v>11</v>
      </c>
      <c r="U2952">
        <v>1</v>
      </c>
      <c r="AA2952">
        <v>1</v>
      </c>
      <c r="AF2952">
        <v>1</v>
      </c>
      <c r="AK2952">
        <v>1</v>
      </c>
      <c r="BA2952">
        <f>SUM(Pre[[#This Row],[1]:[46]])</f>
        <v>4</v>
      </c>
    </row>
    <row r="2953" spans="1:53" x14ac:dyDescent="0.2">
      <c r="A2953" t="s">
        <v>62</v>
      </c>
      <c r="B2953" t="s">
        <v>54</v>
      </c>
      <c r="C2953">
        <v>20107</v>
      </c>
      <c r="D2953" t="s">
        <v>7</v>
      </c>
      <c r="E2953" t="s">
        <v>14</v>
      </c>
      <c r="F2953" t="s">
        <v>20</v>
      </c>
      <c r="U2953">
        <v>1</v>
      </c>
      <c r="AN2953">
        <v>2</v>
      </c>
      <c r="AV2953">
        <v>1</v>
      </c>
      <c r="BA2953">
        <f>SUM(Pre[[#This Row],[1]:[46]])</f>
        <v>4</v>
      </c>
    </row>
    <row r="2954" spans="1:53" x14ac:dyDescent="0.2">
      <c r="A2954" t="s">
        <v>62</v>
      </c>
      <c r="B2954" t="s">
        <v>54</v>
      </c>
      <c r="C2954">
        <v>20610</v>
      </c>
      <c r="D2954" t="s">
        <v>7</v>
      </c>
      <c r="E2954" t="s">
        <v>10</v>
      </c>
      <c r="F2954" t="s">
        <v>11</v>
      </c>
      <c r="AK2954">
        <v>2</v>
      </c>
      <c r="BA2954">
        <f>SUM(Pre[[#This Row],[1]:[46]])</f>
        <v>2</v>
      </c>
    </row>
    <row r="2955" spans="1:53" x14ac:dyDescent="0.2">
      <c r="A2955" t="s">
        <v>62</v>
      </c>
      <c r="B2955" t="s">
        <v>54</v>
      </c>
      <c r="C2955">
        <v>20610</v>
      </c>
      <c r="D2955" t="s">
        <v>7</v>
      </c>
      <c r="E2955" t="s">
        <v>14</v>
      </c>
      <c r="F2955" t="s">
        <v>20</v>
      </c>
      <c r="AS2955">
        <v>2</v>
      </c>
      <c r="BA2955">
        <f>SUM(Pre[[#This Row],[1]:[46]])</f>
        <v>2</v>
      </c>
    </row>
    <row r="2956" spans="1:53" x14ac:dyDescent="0.2">
      <c r="A2956" t="s">
        <v>62</v>
      </c>
      <c r="B2956" t="s">
        <v>54</v>
      </c>
      <c r="C2956">
        <v>21473</v>
      </c>
      <c r="D2956" t="s">
        <v>7</v>
      </c>
      <c r="E2956" t="s">
        <v>14</v>
      </c>
      <c r="F2956" t="s">
        <v>20</v>
      </c>
      <c r="J2956">
        <v>1</v>
      </c>
      <c r="W2956">
        <v>1</v>
      </c>
      <c r="AM2956">
        <v>1</v>
      </c>
      <c r="AZ2956">
        <v>1</v>
      </c>
      <c r="BA2956">
        <f>SUM(Pre[[#This Row],[1]:[46]])</f>
        <v>4</v>
      </c>
    </row>
    <row r="2957" spans="1:53" x14ac:dyDescent="0.2">
      <c r="A2957" t="s">
        <v>62</v>
      </c>
      <c r="B2957" t="s">
        <v>54</v>
      </c>
      <c r="C2957">
        <v>21867</v>
      </c>
      <c r="D2957" t="s">
        <v>7</v>
      </c>
      <c r="E2957" t="s">
        <v>14</v>
      </c>
      <c r="F2957" t="s">
        <v>31</v>
      </c>
      <c r="O2957">
        <v>1</v>
      </c>
      <c r="Q2957">
        <v>1</v>
      </c>
      <c r="AQ2957">
        <v>1</v>
      </c>
      <c r="BA2957">
        <f>SUM(Pre[[#This Row],[1]:[46]])</f>
        <v>3</v>
      </c>
    </row>
    <row r="2958" spans="1:53" x14ac:dyDescent="0.2">
      <c r="A2958" t="s">
        <v>62</v>
      </c>
      <c r="B2958" t="s">
        <v>54</v>
      </c>
      <c r="C2958">
        <v>22830</v>
      </c>
      <c r="D2958" t="s">
        <v>7</v>
      </c>
      <c r="E2958" t="s">
        <v>14</v>
      </c>
      <c r="F2958" t="s">
        <v>20</v>
      </c>
      <c r="AM2958">
        <v>2</v>
      </c>
      <c r="AR2958">
        <v>1</v>
      </c>
      <c r="BA2958">
        <f>SUM(Pre[[#This Row],[1]:[46]])</f>
        <v>3</v>
      </c>
    </row>
    <row r="2959" spans="1:53" x14ac:dyDescent="0.2">
      <c r="A2959" t="s">
        <v>62</v>
      </c>
      <c r="B2959" t="s">
        <v>54</v>
      </c>
      <c r="C2959">
        <v>26361</v>
      </c>
      <c r="D2959" t="s">
        <v>7</v>
      </c>
      <c r="E2959" t="s">
        <v>14</v>
      </c>
      <c r="F2959" t="s">
        <v>20</v>
      </c>
      <c r="K2959">
        <v>1</v>
      </c>
      <c r="N2959">
        <v>1</v>
      </c>
      <c r="S2959">
        <v>1</v>
      </c>
      <c r="AA2959">
        <v>1</v>
      </c>
      <c r="AF2959">
        <v>1</v>
      </c>
      <c r="AN2959">
        <v>1</v>
      </c>
      <c r="AX2959">
        <v>1</v>
      </c>
      <c r="BA2959">
        <f>SUM(Pre[[#This Row],[1]:[46]])</f>
        <v>7</v>
      </c>
    </row>
    <row r="2960" spans="1:53" x14ac:dyDescent="0.2">
      <c r="A2960" t="s">
        <v>62</v>
      </c>
      <c r="B2960" t="s">
        <v>54</v>
      </c>
      <c r="C2960">
        <v>27221</v>
      </c>
      <c r="D2960" t="s">
        <v>7</v>
      </c>
      <c r="E2960" t="s">
        <v>14</v>
      </c>
      <c r="F2960" t="s">
        <v>20</v>
      </c>
      <c r="I2960">
        <v>2</v>
      </c>
      <c r="O2960">
        <v>1</v>
      </c>
      <c r="T2960">
        <v>2</v>
      </c>
      <c r="U2960">
        <v>2</v>
      </c>
      <c r="AB2960">
        <v>1</v>
      </c>
      <c r="AC2960">
        <v>1</v>
      </c>
      <c r="AI2960">
        <v>1</v>
      </c>
      <c r="AQ2960">
        <v>1</v>
      </c>
      <c r="AX2960">
        <v>1</v>
      </c>
      <c r="BA2960">
        <f>SUM(Pre[[#This Row],[1]:[46]])</f>
        <v>12</v>
      </c>
    </row>
    <row r="2961" spans="1:53" x14ac:dyDescent="0.2">
      <c r="A2961" t="s">
        <v>62</v>
      </c>
      <c r="B2961" t="s">
        <v>54</v>
      </c>
      <c r="C2961">
        <v>29600</v>
      </c>
      <c r="D2961" t="s">
        <v>7</v>
      </c>
      <c r="E2961" t="s">
        <v>14</v>
      </c>
      <c r="F2961" t="s">
        <v>20</v>
      </c>
      <c r="G2961">
        <v>1</v>
      </c>
      <c r="R2961">
        <v>1</v>
      </c>
      <c r="U2961">
        <v>1</v>
      </c>
      <c r="AJ2961">
        <v>1</v>
      </c>
      <c r="AY2961">
        <v>1</v>
      </c>
      <c r="BA2961">
        <f>SUM(Pre[[#This Row],[1]:[46]])</f>
        <v>5</v>
      </c>
    </row>
    <row r="2962" spans="1:53" x14ac:dyDescent="0.2">
      <c r="A2962" t="s">
        <v>62</v>
      </c>
      <c r="B2962" t="s">
        <v>54</v>
      </c>
      <c r="C2962">
        <v>31598</v>
      </c>
      <c r="D2962" t="s">
        <v>7</v>
      </c>
      <c r="E2962" t="s">
        <v>14</v>
      </c>
      <c r="F2962" t="s">
        <v>20</v>
      </c>
      <c r="Y2962">
        <v>1</v>
      </c>
      <c r="BA2962">
        <f>SUM(Pre[[#This Row],[1]:[46]])</f>
        <v>1</v>
      </c>
    </row>
    <row r="2963" spans="1:53" x14ac:dyDescent="0.2">
      <c r="A2963" t="s">
        <v>62</v>
      </c>
      <c r="B2963" t="s">
        <v>54</v>
      </c>
      <c r="C2963">
        <v>32826</v>
      </c>
      <c r="D2963" t="s">
        <v>7</v>
      </c>
      <c r="E2963" t="s">
        <v>10</v>
      </c>
      <c r="F2963" t="s">
        <v>16</v>
      </c>
      <c r="P2963">
        <v>1</v>
      </c>
      <c r="AG2963">
        <v>1</v>
      </c>
      <c r="AT2963">
        <v>1</v>
      </c>
      <c r="BA2963">
        <f>SUM(Pre[[#This Row],[1]:[46]])</f>
        <v>3</v>
      </c>
    </row>
    <row r="2964" spans="1:53" x14ac:dyDescent="0.2">
      <c r="A2964" t="s">
        <v>62</v>
      </c>
      <c r="B2964" t="s">
        <v>54</v>
      </c>
      <c r="C2964">
        <v>32826</v>
      </c>
      <c r="D2964" t="s">
        <v>7</v>
      </c>
      <c r="E2964" t="s">
        <v>10</v>
      </c>
      <c r="F2964" t="s">
        <v>11</v>
      </c>
      <c r="BA2964">
        <f>SUM(Pre[[#This Row],[1]:[46]])</f>
        <v>0</v>
      </c>
    </row>
    <row r="2965" spans="1:53" x14ac:dyDescent="0.2">
      <c r="A2965" t="s">
        <v>62</v>
      </c>
      <c r="B2965" t="s">
        <v>54</v>
      </c>
      <c r="C2965">
        <v>32923</v>
      </c>
      <c r="D2965" t="s">
        <v>7</v>
      </c>
      <c r="E2965" t="s">
        <v>8</v>
      </c>
      <c r="F2965" t="s">
        <v>23</v>
      </c>
      <c r="Q2965">
        <v>1</v>
      </c>
      <c r="AE2965">
        <v>1</v>
      </c>
      <c r="AQ2965">
        <v>1</v>
      </c>
      <c r="BA2965">
        <f>SUM(Pre[[#This Row],[1]:[46]])</f>
        <v>3</v>
      </c>
    </row>
    <row r="2966" spans="1:53" x14ac:dyDescent="0.2">
      <c r="A2966" t="s">
        <v>62</v>
      </c>
      <c r="B2966" t="s">
        <v>54</v>
      </c>
      <c r="C2966">
        <v>33594</v>
      </c>
      <c r="D2966" t="s">
        <v>7</v>
      </c>
      <c r="E2966" t="s">
        <v>14</v>
      </c>
      <c r="F2966" t="s">
        <v>20</v>
      </c>
      <c r="G2966">
        <v>1</v>
      </c>
      <c r="L2966">
        <v>1</v>
      </c>
      <c r="P2966">
        <v>1</v>
      </c>
      <c r="S2966">
        <v>1</v>
      </c>
      <c r="W2966">
        <v>2</v>
      </c>
      <c r="AE2966">
        <v>1</v>
      </c>
      <c r="AO2966">
        <v>1</v>
      </c>
      <c r="AW2966">
        <v>1</v>
      </c>
      <c r="BA2966">
        <f>SUM(Pre[[#This Row],[1]:[46]])</f>
        <v>9</v>
      </c>
    </row>
    <row r="2967" spans="1:53" x14ac:dyDescent="0.2">
      <c r="A2967" t="s">
        <v>62</v>
      </c>
      <c r="B2967" t="s">
        <v>54</v>
      </c>
      <c r="C2967">
        <v>33638</v>
      </c>
      <c r="D2967" t="s">
        <v>7</v>
      </c>
      <c r="E2967" t="s">
        <v>10</v>
      </c>
      <c r="F2967" t="s">
        <v>11</v>
      </c>
      <c r="BA2967">
        <f>SUM(Pre[[#This Row],[1]:[46]])</f>
        <v>0</v>
      </c>
    </row>
    <row r="2968" spans="1:53" x14ac:dyDescent="0.2">
      <c r="A2968" t="s">
        <v>62</v>
      </c>
      <c r="B2968" t="s">
        <v>54</v>
      </c>
      <c r="C2968">
        <v>33638</v>
      </c>
      <c r="D2968" t="s">
        <v>7</v>
      </c>
      <c r="E2968" t="s">
        <v>14</v>
      </c>
      <c r="F2968" t="s">
        <v>19</v>
      </c>
      <c r="AS2968">
        <v>1</v>
      </c>
      <c r="BA2968">
        <f>SUM(Pre[[#This Row],[1]:[46]])</f>
        <v>1</v>
      </c>
    </row>
    <row r="2969" spans="1:53" x14ac:dyDescent="0.2">
      <c r="A2969" t="s">
        <v>62</v>
      </c>
      <c r="B2969" t="s">
        <v>54</v>
      </c>
      <c r="C2969">
        <v>1848</v>
      </c>
      <c r="D2969" t="s">
        <v>22</v>
      </c>
      <c r="E2969" t="s">
        <v>14</v>
      </c>
      <c r="F2969" t="s">
        <v>20</v>
      </c>
      <c r="R2969">
        <v>1</v>
      </c>
      <c r="AE2969">
        <v>2</v>
      </c>
      <c r="AI2969">
        <v>1</v>
      </c>
      <c r="AV2969">
        <v>2</v>
      </c>
      <c r="BA2969">
        <f>SUM(Pre[[#This Row],[1]:[46]])</f>
        <v>6</v>
      </c>
    </row>
    <row r="2970" spans="1:53" x14ac:dyDescent="0.2">
      <c r="A2970" t="s">
        <v>62</v>
      </c>
      <c r="B2970" t="s">
        <v>54</v>
      </c>
      <c r="C2970">
        <v>2848</v>
      </c>
      <c r="D2970" t="s">
        <v>22</v>
      </c>
      <c r="E2970" t="s">
        <v>14</v>
      </c>
      <c r="F2970" t="s">
        <v>31</v>
      </c>
      <c r="G2970">
        <v>1</v>
      </c>
      <c r="K2970">
        <v>1</v>
      </c>
      <c r="O2970">
        <v>1</v>
      </c>
      <c r="T2970">
        <v>1</v>
      </c>
      <c r="X2970">
        <v>1</v>
      </c>
      <c r="AB2970">
        <v>1</v>
      </c>
      <c r="AG2970">
        <v>1</v>
      </c>
      <c r="AK2970">
        <v>1</v>
      </c>
      <c r="AO2970">
        <v>1</v>
      </c>
      <c r="AR2970">
        <v>1</v>
      </c>
      <c r="AT2970">
        <v>1</v>
      </c>
      <c r="AX2970">
        <v>1</v>
      </c>
      <c r="BA2970">
        <f>SUM(Pre[[#This Row],[1]:[46]])</f>
        <v>12</v>
      </c>
    </row>
    <row r="2971" spans="1:53" x14ac:dyDescent="0.2">
      <c r="A2971" t="s">
        <v>62</v>
      </c>
      <c r="B2971" t="s">
        <v>54</v>
      </c>
      <c r="C2971">
        <v>3270</v>
      </c>
      <c r="D2971" t="s">
        <v>22</v>
      </c>
      <c r="E2971" t="s">
        <v>10</v>
      </c>
      <c r="F2971" t="s">
        <v>11</v>
      </c>
      <c r="BA2971">
        <f>SUM(Pre[[#This Row],[1]:[46]])</f>
        <v>0</v>
      </c>
    </row>
    <row r="2972" spans="1:53" x14ac:dyDescent="0.2">
      <c r="A2972" t="s">
        <v>62</v>
      </c>
      <c r="B2972" t="s">
        <v>54</v>
      </c>
      <c r="C2972">
        <v>3270</v>
      </c>
      <c r="D2972" t="s">
        <v>22</v>
      </c>
      <c r="E2972" t="s">
        <v>14</v>
      </c>
      <c r="F2972" t="s">
        <v>20</v>
      </c>
      <c r="G2972">
        <v>1</v>
      </c>
      <c r="L2972">
        <v>1</v>
      </c>
      <c r="Q2972">
        <v>1</v>
      </c>
      <c r="V2972">
        <v>1</v>
      </c>
      <c r="Z2972">
        <v>1</v>
      </c>
      <c r="AD2972">
        <v>1</v>
      </c>
      <c r="AI2972">
        <v>1</v>
      </c>
      <c r="AM2972">
        <v>1</v>
      </c>
      <c r="AR2972">
        <v>1</v>
      </c>
      <c r="AU2972">
        <v>1</v>
      </c>
      <c r="BA2972">
        <f>SUM(Pre[[#This Row],[1]:[46]])</f>
        <v>10</v>
      </c>
    </row>
    <row r="2973" spans="1:53" x14ac:dyDescent="0.2">
      <c r="A2973" t="s">
        <v>62</v>
      </c>
      <c r="B2973" t="s">
        <v>54</v>
      </c>
      <c r="C2973">
        <v>3333</v>
      </c>
      <c r="D2973" t="s">
        <v>22</v>
      </c>
      <c r="E2973" t="s">
        <v>10</v>
      </c>
      <c r="F2973" t="s">
        <v>16</v>
      </c>
      <c r="I2973">
        <v>1</v>
      </c>
      <c r="Z2973">
        <v>1</v>
      </c>
      <c r="BA2973">
        <f>SUM(Pre[[#This Row],[1]:[46]])</f>
        <v>2</v>
      </c>
    </row>
    <row r="2974" spans="1:53" x14ac:dyDescent="0.2">
      <c r="A2974" t="s">
        <v>62</v>
      </c>
      <c r="B2974" t="s">
        <v>54</v>
      </c>
      <c r="C2974">
        <v>3333</v>
      </c>
      <c r="D2974" t="s">
        <v>22</v>
      </c>
      <c r="E2974" t="s">
        <v>14</v>
      </c>
      <c r="F2974" t="s">
        <v>20</v>
      </c>
      <c r="BA2974">
        <f>SUM(Pre[[#This Row],[1]:[46]])</f>
        <v>0</v>
      </c>
    </row>
    <row r="2975" spans="1:53" x14ac:dyDescent="0.2">
      <c r="A2975" t="s">
        <v>62</v>
      </c>
      <c r="B2975" t="s">
        <v>54</v>
      </c>
      <c r="C2975">
        <v>4478</v>
      </c>
      <c r="D2975" t="s">
        <v>22</v>
      </c>
      <c r="E2975" t="s">
        <v>14</v>
      </c>
      <c r="F2975" t="s">
        <v>35</v>
      </c>
      <c r="J2975">
        <v>1</v>
      </c>
      <c r="O2975">
        <v>1</v>
      </c>
      <c r="T2975">
        <v>1</v>
      </c>
      <c r="Y2975">
        <v>1</v>
      </c>
      <c r="AC2975">
        <v>2</v>
      </c>
      <c r="AG2975">
        <v>1</v>
      </c>
      <c r="AL2975">
        <v>1</v>
      </c>
      <c r="AP2975">
        <v>1</v>
      </c>
      <c r="AU2975">
        <v>2</v>
      </c>
      <c r="AZ2975">
        <v>1</v>
      </c>
      <c r="BA2975">
        <f>SUM(Pre[[#This Row],[1]:[46]])</f>
        <v>12</v>
      </c>
    </row>
    <row r="2976" spans="1:53" x14ac:dyDescent="0.2">
      <c r="A2976" t="s">
        <v>62</v>
      </c>
      <c r="B2976" t="s">
        <v>54</v>
      </c>
      <c r="C2976">
        <v>6323</v>
      </c>
      <c r="D2976" t="s">
        <v>22</v>
      </c>
      <c r="E2976" t="s">
        <v>8</v>
      </c>
      <c r="F2976" t="s">
        <v>23</v>
      </c>
      <c r="N2976">
        <v>1</v>
      </c>
      <c r="AB2976">
        <v>1</v>
      </c>
      <c r="AN2976">
        <v>1</v>
      </c>
      <c r="BA2976">
        <f>SUM(Pre[[#This Row],[1]:[46]])</f>
        <v>3</v>
      </c>
    </row>
    <row r="2977" spans="1:53" x14ac:dyDescent="0.2">
      <c r="A2977" t="s">
        <v>62</v>
      </c>
      <c r="B2977" t="s">
        <v>54</v>
      </c>
      <c r="C2977">
        <v>6467</v>
      </c>
      <c r="D2977" t="s">
        <v>22</v>
      </c>
      <c r="E2977" t="s">
        <v>10</v>
      </c>
      <c r="F2977" t="s">
        <v>11</v>
      </c>
      <c r="M2977">
        <v>1</v>
      </c>
      <c r="O2977">
        <v>1</v>
      </c>
      <c r="V2977">
        <v>1</v>
      </c>
      <c r="Y2977">
        <v>2</v>
      </c>
      <c r="AF2977">
        <v>1</v>
      </c>
      <c r="AK2977">
        <v>1</v>
      </c>
      <c r="AQ2977">
        <v>1</v>
      </c>
      <c r="AW2977">
        <v>1</v>
      </c>
      <c r="BA2977">
        <f>SUM(Pre[[#This Row],[1]:[46]])</f>
        <v>9</v>
      </c>
    </row>
    <row r="2978" spans="1:53" x14ac:dyDescent="0.2">
      <c r="A2978" t="s">
        <v>62</v>
      </c>
      <c r="B2978" t="s">
        <v>54</v>
      </c>
      <c r="C2978">
        <v>7279</v>
      </c>
      <c r="D2978" t="s">
        <v>22</v>
      </c>
      <c r="E2978" t="s">
        <v>8</v>
      </c>
      <c r="F2978" t="s">
        <v>23</v>
      </c>
      <c r="I2978">
        <v>1</v>
      </c>
      <c r="W2978">
        <v>1</v>
      </c>
      <c r="AL2978">
        <v>1</v>
      </c>
      <c r="AZ2978">
        <v>1</v>
      </c>
      <c r="BA2978">
        <f>SUM(Pre[[#This Row],[1]:[46]])</f>
        <v>4</v>
      </c>
    </row>
    <row r="2979" spans="1:53" x14ac:dyDescent="0.2">
      <c r="A2979" t="s">
        <v>62</v>
      </c>
      <c r="B2979" t="s">
        <v>54</v>
      </c>
      <c r="C2979">
        <v>7881</v>
      </c>
      <c r="D2979" t="s">
        <v>22</v>
      </c>
      <c r="E2979" t="s">
        <v>14</v>
      </c>
      <c r="F2979" t="s">
        <v>31</v>
      </c>
      <c r="H2979">
        <v>2</v>
      </c>
      <c r="BA2979">
        <f>SUM(Pre[[#This Row],[1]:[46]])</f>
        <v>2</v>
      </c>
    </row>
    <row r="2980" spans="1:53" x14ac:dyDescent="0.2">
      <c r="A2980" t="s">
        <v>62</v>
      </c>
      <c r="B2980" t="s">
        <v>54</v>
      </c>
      <c r="C2980">
        <v>7955</v>
      </c>
      <c r="D2980" t="s">
        <v>22</v>
      </c>
      <c r="E2980" t="s">
        <v>8</v>
      </c>
      <c r="F2980" t="s">
        <v>23</v>
      </c>
      <c r="L2980">
        <v>1</v>
      </c>
      <c r="Z2980">
        <v>1</v>
      </c>
      <c r="AN2980">
        <v>1</v>
      </c>
      <c r="BA2980">
        <f>SUM(Pre[[#This Row],[1]:[46]])</f>
        <v>3</v>
      </c>
    </row>
    <row r="2981" spans="1:53" x14ac:dyDescent="0.2">
      <c r="A2981" t="s">
        <v>62</v>
      </c>
      <c r="B2981" t="s">
        <v>54</v>
      </c>
      <c r="C2981">
        <v>7955</v>
      </c>
      <c r="D2981" t="s">
        <v>22</v>
      </c>
      <c r="E2981" t="s">
        <v>8</v>
      </c>
      <c r="F2981" t="s">
        <v>29</v>
      </c>
      <c r="AR2981">
        <v>1</v>
      </c>
      <c r="AY2981">
        <v>1</v>
      </c>
      <c r="BA2981">
        <f>SUM(Pre[[#This Row],[1]:[46]])</f>
        <v>2</v>
      </c>
    </row>
    <row r="2982" spans="1:53" x14ac:dyDescent="0.2">
      <c r="A2982" t="s">
        <v>62</v>
      </c>
      <c r="B2982" t="s">
        <v>54</v>
      </c>
      <c r="C2982">
        <v>8301</v>
      </c>
      <c r="D2982" t="s">
        <v>22</v>
      </c>
      <c r="E2982" t="s">
        <v>14</v>
      </c>
      <c r="F2982" t="s">
        <v>20</v>
      </c>
      <c r="BA2982">
        <f>SUM(Pre[[#This Row],[1]:[46]])</f>
        <v>0</v>
      </c>
    </row>
    <row r="2983" spans="1:53" x14ac:dyDescent="0.2">
      <c r="A2983" t="s">
        <v>62</v>
      </c>
      <c r="B2983" t="s">
        <v>54</v>
      </c>
      <c r="C2983">
        <v>8348</v>
      </c>
      <c r="D2983" t="s">
        <v>22</v>
      </c>
      <c r="E2983" t="s">
        <v>8</v>
      </c>
      <c r="F2983" t="s">
        <v>23</v>
      </c>
      <c r="AF2983">
        <v>2</v>
      </c>
      <c r="AR2983">
        <v>1</v>
      </c>
      <c r="BA2983">
        <f>SUM(Pre[[#This Row],[1]:[46]])</f>
        <v>3</v>
      </c>
    </row>
    <row r="2984" spans="1:53" x14ac:dyDescent="0.2">
      <c r="A2984" t="s">
        <v>62</v>
      </c>
      <c r="B2984" t="s">
        <v>54</v>
      </c>
      <c r="C2984">
        <v>8418</v>
      </c>
      <c r="D2984" t="s">
        <v>22</v>
      </c>
      <c r="E2984" t="s">
        <v>14</v>
      </c>
      <c r="F2984" t="s">
        <v>20</v>
      </c>
      <c r="K2984">
        <v>1</v>
      </c>
      <c r="Z2984">
        <v>1</v>
      </c>
      <c r="AP2984">
        <v>2</v>
      </c>
      <c r="AZ2984">
        <v>1</v>
      </c>
      <c r="BA2984">
        <f>SUM(Pre[[#This Row],[1]:[46]])</f>
        <v>5</v>
      </c>
    </row>
    <row r="2985" spans="1:53" x14ac:dyDescent="0.2">
      <c r="A2985" t="s">
        <v>62</v>
      </c>
      <c r="B2985" t="s">
        <v>54</v>
      </c>
      <c r="C2985">
        <v>8503</v>
      </c>
      <c r="D2985" t="s">
        <v>22</v>
      </c>
      <c r="E2985" t="s">
        <v>8</v>
      </c>
      <c r="F2985" t="s">
        <v>23</v>
      </c>
      <c r="G2985">
        <v>1</v>
      </c>
      <c r="K2985">
        <v>1</v>
      </c>
      <c r="N2985">
        <v>1</v>
      </c>
      <c r="R2985">
        <v>1</v>
      </c>
      <c r="V2985">
        <v>1</v>
      </c>
      <c r="Z2985">
        <v>1</v>
      </c>
      <c r="AD2985">
        <v>1</v>
      </c>
      <c r="AH2985">
        <v>1</v>
      </c>
      <c r="AL2985">
        <v>1</v>
      </c>
      <c r="AP2985">
        <v>1</v>
      </c>
      <c r="AT2985">
        <v>1</v>
      </c>
      <c r="AZ2985">
        <v>1</v>
      </c>
      <c r="BA2985">
        <f>SUM(Pre[[#This Row],[1]:[46]])</f>
        <v>12</v>
      </c>
    </row>
    <row r="2986" spans="1:53" x14ac:dyDescent="0.2">
      <c r="A2986" t="s">
        <v>62</v>
      </c>
      <c r="B2986" t="s">
        <v>54</v>
      </c>
      <c r="C2986">
        <v>8559</v>
      </c>
      <c r="D2986" t="s">
        <v>22</v>
      </c>
      <c r="E2986" t="s">
        <v>8</v>
      </c>
      <c r="F2986" t="s">
        <v>23</v>
      </c>
      <c r="N2986">
        <v>1</v>
      </c>
      <c r="AC2986">
        <v>1</v>
      </c>
      <c r="AR2986">
        <v>1</v>
      </c>
      <c r="BA2986">
        <f>SUM(Pre[[#This Row],[1]:[46]])</f>
        <v>3</v>
      </c>
    </row>
    <row r="2987" spans="1:53" x14ac:dyDescent="0.2">
      <c r="A2987" t="s">
        <v>62</v>
      </c>
      <c r="B2987" t="s">
        <v>54</v>
      </c>
      <c r="C2987">
        <v>8571</v>
      </c>
      <c r="D2987" t="s">
        <v>22</v>
      </c>
      <c r="E2987" t="s">
        <v>8</v>
      </c>
      <c r="F2987" t="s">
        <v>23</v>
      </c>
      <c r="I2987">
        <v>1</v>
      </c>
      <c r="W2987">
        <v>1</v>
      </c>
      <c r="AM2987">
        <v>1</v>
      </c>
      <c r="AZ2987">
        <v>1</v>
      </c>
      <c r="BA2987">
        <f>SUM(Pre[[#This Row],[1]:[46]])</f>
        <v>4</v>
      </c>
    </row>
    <row r="2988" spans="1:53" x14ac:dyDescent="0.2">
      <c r="A2988" t="s">
        <v>62</v>
      </c>
      <c r="B2988" t="s">
        <v>54</v>
      </c>
      <c r="C2988">
        <v>8639</v>
      </c>
      <c r="D2988" t="s">
        <v>22</v>
      </c>
      <c r="E2988" t="s">
        <v>8</v>
      </c>
      <c r="F2988" t="s">
        <v>23</v>
      </c>
      <c r="I2988">
        <v>3</v>
      </c>
      <c r="V2988">
        <v>1</v>
      </c>
      <c r="AK2988">
        <v>1</v>
      </c>
      <c r="AZ2988">
        <v>1</v>
      </c>
      <c r="BA2988">
        <f>SUM(Pre[[#This Row],[1]:[46]])</f>
        <v>6</v>
      </c>
    </row>
    <row r="2989" spans="1:53" x14ac:dyDescent="0.2">
      <c r="A2989" t="s">
        <v>62</v>
      </c>
      <c r="B2989" t="s">
        <v>54</v>
      </c>
      <c r="C2989">
        <v>8725</v>
      </c>
      <c r="D2989" t="s">
        <v>22</v>
      </c>
      <c r="E2989" t="s">
        <v>8</v>
      </c>
      <c r="F2989" t="s">
        <v>23</v>
      </c>
      <c r="H2989">
        <v>1</v>
      </c>
      <c r="W2989">
        <v>1</v>
      </c>
      <c r="AL2989">
        <v>1</v>
      </c>
      <c r="AX2989">
        <v>1</v>
      </c>
      <c r="BA2989">
        <f>SUM(Pre[[#This Row],[1]:[46]])</f>
        <v>4</v>
      </c>
    </row>
    <row r="2990" spans="1:53" x14ac:dyDescent="0.2">
      <c r="A2990" t="s">
        <v>62</v>
      </c>
      <c r="B2990" t="s">
        <v>54</v>
      </c>
      <c r="C2990">
        <v>8818</v>
      </c>
      <c r="D2990" t="s">
        <v>22</v>
      </c>
      <c r="E2990" t="s">
        <v>10</v>
      </c>
      <c r="F2990" t="s">
        <v>16</v>
      </c>
      <c r="W2990">
        <v>1</v>
      </c>
      <c r="AO2990">
        <v>1</v>
      </c>
      <c r="BA2990">
        <f>SUM(Pre[[#This Row],[1]:[46]])</f>
        <v>2</v>
      </c>
    </row>
    <row r="2991" spans="1:53" x14ac:dyDescent="0.2">
      <c r="A2991" t="s">
        <v>62</v>
      </c>
      <c r="B2991" t="s">
        <v>54</v>
      </c>
      <c r="C2991">
        <v>8818</v>
      </c>
      <c r="D2991" t="s">
        <v>22</v>
      </c>
      <c r="E2991" t="s">
        <v>10</v>
      </c>
      <c r="F2991" t="s">
        <v>11</v>
      </c>
      <c r="BA2991">
        <f>SUM(Pre[[#This Row],[1]:[46]])</f>
        <v>0</v>
      </c>
    </row>
    <row r="2992" spans="1:53" x14ac:dyDescent="0.2">
      <c r="A2992" t="s">
        <v>62</v>
      </c>
      <c r="B2992" t="s">
        <v>54</v>
      </c>
      <c r="C2992">
        <v>8818</v>
      </c>
      <c r="D2992" t="s">
        <v>22</v>
      </c>
      <c r="E2992" t="s">
        <v>14</v>
      </c>
      <c r="F2992" t="s">
        <v>20</v>
      </c>
      <c r="BA2992">
        <f>SUM(Pre[[#This Row],[1]:[46]])</f>
        <v>0</v>
      </c>
    </row>
    <row r="2993" spans="1:53" x14ac:dyDescent="0.2">
      <c r="A2993" t="s">
        <v>62</v>
      </c>
      <c r="B2993" t="s">
        <v>54</v>
      </c>
      <c r="C2993">
        <v>9070</v>
      </c>
      <c r="D2993" t="s">
        <v>22</v>
      </c>
      <c r="E2993" t="s">
        <v>14</v>
      </c>
      <c r="F2993" t="s">
        <v>19</v>
      </c>
      <c r="AZ2993">
        <v>2</v>
      </c>
      <c r="BA2993">
        <f>SUM(Pre[[#This Row],[1]:[46]])</f>
        <v>2</v>
      </c>
    </row>
    <row r="2994" spans="1:53" x14ac:dyDescent="0.2">
      <c r="A2994" t="s">
        <v>62</v>
      </c>
      <c r="B2994" t="s">
        <v>54</v>
      </c>
      <c r="C2994">
        <v>9438</v>
      </c>
      <c r="D2994" t="s">
        <v>22</v>
      </c>
      <c r="E2994" t="s">
        <v>14</v>
      </c>
      <c r="F2994" t="s">
        <v>35</v>
      </c>
      <c r="P2994">
        <v>1</v>
      </c>
      <c r="AD2994">
        <v>1</v>
      </c>
      <c r="AV2994">
        <v>1</v>
      </c>
      <c r="BA2994">
        <f>SUM(Pre[[#This Row],[1]:[46]])</f>
        <v>3</v>
      </c>
    </row>
    <row r="2995" spans="1:53" x14ac:dyDescent="0.2">
      <c r="A2995" t="s">
        <v>62</v>
      </c>
      <c r="B2995" t="s">
        <v>54</v>
      </c>
      <c r="C2995">
        <v>9706</v>
      </c>
      <c r="D2995" t="s">
        <v>22</v>
      </c>
      <c r="E2995" t="s">
        <v>14</v>
      </c>
      <c r="F2995" t="s">
        <v>19</v>
      </c>
      <c r="AE2995">
        <v>1</v>
      </c>
      <c r="AQ2995">
        <v>1</v>
      </c>
      <c r="AS2995">
        <v>1</v>
      </c>
      <c r="BA2995">
        <f>SUM(Pre[[#This Row],[1]:[46]])</f>
        <v>3</v>
      </c>
    </row>
    <row r="2996" spans="1:53" x14ac:dyDescent="0.2">
      <c r="A2996" t="s">
        <v>62</v>
      </c>
      <c r="B2996" t="s">
        <v>54</v>
      </c>
      <c r="C2996">
        <v>9820</v>
      </c>
      <c r="D2996" t="s">
        <v>22</v>
      </c>
      <c r="E2996" t="s">
        <v>10</v>
      </c>
      <c r="F2996" t="s">
        <v>11</v>
      </c>
      <c r="AR2996">
        <v>1</v>
      </c>
      <c r="BA2996">
        <f>SUM(Pre[[#This Row],[1]:[46]])</f>
        <v>1</v>
      </c>
    </row>
    <row r="2997" spans="1:53" x14ac:dyDescent="0.2">
      <c r="A2997" t="s">
        <v>62</v>
      </c>
      <c r="B2997" t="s">
        <v>54</v>
      </c>
      <c r="C2997">
        <v>9820</v>
      </c>
      <c r="D2997" t="s">
        <v>22</v>
      </c>
      <c r="E2997" t="s">
        <v>8</v>
      </c>
      <c r="F2997" t="s">
        <v>29</v>
      </c>
      <c r="AW2997">
        <v>1</v>
      </c>
      <c r="BA2997">
        <f>SUM(Pre[[#This Row],[1]:[46]])</f>
        <v>1</v>
      </c>
    </row>
    <row r="2998" spans="1:53" x14ac:dyDescent="0.2">
      <c r="A2998" t="s">
        <v>62</v>
      </c>
      <c r="B2998" t="s">
        <v>54</v>
      </c>
      <c r="C2998">
        <v>9820</v>
      </c>
      <c r="D2998" t="s">
        <v>22</v>
      </c>
      <c r="E2998" t="s">
        <v>14</v>
      </c>
      <c r="F2998" t="s">
        <v>35</v>
      </c>
      <c r="O2998">
        <v>1</v>
      </c>
      <c r="AA2998">
        <v>1</v>
      </c>
      <c r="AB2998">
        <v>1</v>
      </c>
      <c r="AU2998">
        <v>1</v>
      </c>
      <c r="BA2998">
        <f>SUM(Pre[[#This Row],[1]:[46]])</f>
        <v>4</v>
      </c>
    </row>
    <row r="2999" spans="1:53" x14ac:dyDescent="0.2">
      <c r="A2999" t="s">
        <v>62</v>
      </c>
      <c r="B2999" t="s">
        <v>54</v>
      </c>
      <c r="C2999">
        <v>10113</v>
      </c>
      <c r="D2999" t="s">
        <v>22</v>
      </c>
      <c r="E2999" t="s">
        <v>14</v>
      </c>
      <c r="F2999" t="s">
        <v>31</v>
      </c>
      <c r="S2999">
        <v>1</v>
      </c>
      <c r="AK2999">
        <v>1</v>
      </c>
      <c r="AR2999">
        <v>1</v>
      </c>
      <c r="BA2999">
        <f>SUM(Pre[[#This Row],[1]:[46]])</f>
        <v>3</v>
      </c>
    </row>
    <row r="3000" spans="1:53" x14ac:dyDescent="0.2">
      <c r="A3000" t="s">
        <v>62</v>
      </c>
      <c r="B3000" t="s">
        <v>54</v>
      </c>
      <c r="C3000">
        <v>10200</v>
      </c>
      <c r="D3000" t="s">
        <v>22</v>
      </c>
      <c r="E3000" t="s">
        <v>8</v>
      </c>
      <c r="F3000" t="s">
        <v>23</v>
      </c>
      <c r="G3000">
        <v>1</v>
      </c>
      <c r="H3000">
        <v>1</v>
      </c>
      <c r="I3000">
        <v>1</v>
      </c>
      <c r="J3000">
        <v>1</v>
      </c>
      <c r="K3000">
        <v>2</v>
      </c>
      <c r="L3000">
        <v>2</v>
      </c>
      <c r="M3000">
        <v>1</v>
      </c>
      <c r="N3000">
        <v>1</v>
      </c>
      <c r="O3000">
        <v>2</v>
      </c>
      <c r="P3000">
        <v>2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1</v>
      </c>
      <c r="AP3000">
        <v>1</v>
      </c>
      <c r="AQ3000">
        <v>1</v>
      </c>
      <c r="AR3000">
        <v>1</v>
      </c>
      <c r="AS3000">
        <v>1</v>
      </c>
      <c r="AT3000">
        <v>1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f>SUM(Pre[[#This Row],[1]:[46]])</f>
        <v>50</v>
      </c>
    </row>
    <row r="3001" spans="1:53" x14ac:dyDescent="0.2">
      <c r="A3001" t="s">
        <v>62</v>
      </c>
      <c r="B3001" t="s">
        <v>54</v>
      </c>
      <c r="C3001">
        <v>11017</v>
      </c>
      <c r="D3001" t="s">
        <v>22</v>
      </c>
      <c r="E3001" t="s">
        <v>8</v>
      </c>
      <c r="F3001" t="s">
        <v>23</v>
      </c>
      <c r="S3001">
        <v>1</v>
      </c>
      <c r="AD3001">
        <v>1</v>
      </c>
      <c r="AR3001">
        <v>1</v>
      </c>
      <c r="BA3001">
        <f>SUM(Pre[[#This Row],[1]:[46]])</f>
        <v>3</v>
      </c>
    </row>
    <row r="3002" spans="1:53" x14ac:dyDescent="0.2">
      <c r="A3002" t="s">
        <v>62</v>
      </c>
      <c r="B3002" t="s">
        <v>54</v>
      </c>
      <c r="C3002">
        <v>11062</v>
      </c>
      <c r="D3002" t="s">
        <v>22</v>
      </c>
      <c r="E3002" t="s">
        <v>8</v>
      </c>
      <c r="F3002" t="s">
        <v>23</v>
      </c>
      <c r="K3002">
        <v>1</v>
      </c>
      <c r="AA3002">
        <v>1</v>
      </c>
      <c r="AH3002">
        <v>1</v>
      </c>
      <c r="AN3002">
        <v>1</v>
      </c>
      <c r="BA3002">
        <f>SUM(Pre[[#This Row],[1]:[46]])</f>
        <v>4</v>
      </c>
    </row>
    <row r="3003" spans="1:53" x14ac:dyDescent="0.2">
      <c r="A3003" t="s">
        <v>62</v>
      </c>
      <c r="B3003" t="s">
        <v>54</v>
      </c>
      <c r="C3003">
        <v>11837</v>
      </c>
      <c r="D3003" t="s">
        <v>22</v>
      </c>
      <c r="E3003" t="s">
        <v>14</v>
      </c>
      <c r="F3003" t="s">
        <v>20</v>
      </c>
      <c r="T3003">
        <v>1</v>
      </c>
      <c r="BA3003">
        <f>SUM(Pre[[#This Row],[1]:[46]])</f>
        <v>1</v>
      </c>
    </row>
    <row r="3004" spans="1:53" x14ac:dyDescent="0.2">
      <c r="A3004" t="s">
        <v>62</v>
      </c>
      <c r="B3004" t="s">
        <v>54</v>
      </c>
      <c r="C3004">
        <v>13070</v>
      </c>
      <c r="D3004" t="s">
        <v>22</v>
      </c>
      <c r="E3004" t="s">
        <v>8</v>
      </c>
      <c r="F3004" t="s">
        <v>29</v>
      </c>
      <c r="G3004">
        <v>1</v>
      </c>
      <c r="K3004">
        <v>1</v>
      </c>
      <c r="Q3004">
        <v>1</v>
      </c>
      <c r="T3004">
        <v>1</v>
      </c>
      <c r="X3004">
        <v>1</v>
      </c>
      <c r="AD3004">
        <v>1</v>
      </c>
      <c r="AH3004">
        <v>1</v>
      </c>
      <c r="AK3004">
        <v>1</v>
      </c>
      <c r="AP3004">
        <v>1</v>
      </c>
      <c r="AT3004">
        <v>1</v>
      </c>
      <c r="AW3004">
        <v>1</v>
      </c>
      <c r="BA3004">
        <f>SUM(Pre[[#This Row],[1]:[46]])</f>
        <v>11</v>
      </c>
    </row>
    <row r="3005" spans="1:53" x14ac:dyDescent="0.2">
      <c r="A3005" t="s">
        <v>62</v>
      </c>
      <c r="B3005" t="s">
        <v>54</v>
      </c>
      <c r="C3005">
        <v>15339</v>
      </c>
      <c r="D3005" t="s">
        <v>22</v>
      </c>
      <c r="E3005" t="s">
        <v>14</v>
      </c>
      <c r="F3005" t="s">
        <v>20</v>
      </c>
      <c r="R3005">
        <v>3</v>
      </c>
      <c r="BA3005">
        <f>SUM(Pre[[#This Row],[1]:[46]])</f>
        <v>3</v>
      </c>
    </row>
    <row r="3006" spans="1:53" x14ac:dyDescent="0.2">
      <c r="A3006" t="s">
        <v>62</v>
      </c>
      <c r="B3006" t="s">
        <v>54</v>
      </c>
      <c r="C3006">
        <v>16556</v>
      </c>
      <c r="D3006" t="s">
        <v>22</v>
      </c>
      <c r="E3006" t="s">
        <v>32</v>
      </c>
      <c r="F3006" t="s">
        <v>33</v>
      </c>
      <c r="R3006">
        <v>1</v>
      </c>
      <c r="AJ3006">
        <v>1</v>
      </c>
      <c r="BA3006">
        <f>SUM(Pre[[#This Row],[1]:[46]])</f>
        <v>2</v>
      </c>
    </row>
    <row r="3007" spans="1:53" x14ac:dyDescent="0.2">
      <c r="A3007" t="s">
        <v>62</v>
      </c>
      <c r="B3007" t="s">
        <v>54</v>
      </c>
      <c r="C3007">
        <v>16704</v>
      </c>
      <c r="D3007" t="s">
        <v>22</v>
      </c>
      <c r="E3007" t="s">
        <v>10</v>
      </c>
      <c r="F3007" t="s">
        <v>11</v>
      </c>
      <c r="I3007">
        <v>2</v>
      </c>
      <c r="Q3007">
        <v>1</v>
      </c>
      <c r="AA3007">
        <v>1</v>
      </c>
      <c r="AH3007">
        <v>1</v>
      </c>
      <c r="AP3007">
        <v>1</v>
      </c>
      <c r="AW3007">
        <v>1</v>
      </c>
      <c r="BA3007">
        <f>SUM(Pre[[#This Row],[1]:[46]])</f>
        <v>7</v>
      </c>
    </row>
    <row r="3008" spans="1:53" x14ac:dyDescent="0.2">
      <c r="A3008" t="s">
        <v>62</v>
      </c>
      <c r="B3008" t="s">
        <v>54</v>
      </c>
      <c r="C3008">
        <v>16704</v>
      </c>
      <c r="D3008" t="s">
        <v>22</v>
      </c>
      <c r="E3008" t="s">
        <v>14</v>
      </c>
      <c r="F3008" t="s">
        <v>31</v>
      </c>
      <c r="BA3008">
        <f>SUM(Pre[[#This Row],[1]:[46]])</f>
        <v>0</v>
      </c>
    </row>
    <row r="3009" spans="1:53" x14ac:dyDescent="0.2">
      <c r="A3009" t="s">
        <v>62</v>
      </c>
      <c r="B3009" t="s">
        <v>54</v>
      </c>
      <c r="C3009">
        <v>17256</v>
      </c>
      <c r="D3009" t="s">
        <v>22</v>
      </c>
      <c r="E3009" t="s">
        <v>37</v>
      </c>
      <c r="F3009" t="s">
        <v>49</v>
      </c>
      <c r="BA3009">
        <f>SUM(Pre[[#This Row],[1]:[46]])</f>
        <v>0</v>
      </c>
    </row>
    <row r="3010" spans="1:53" x14ac:dyDescent="0.2">
      <c r="A3010" t="s">
        <v>62</v>
      </c>
      <c r="B3010" t="s">
        <v>54</v>
      </c>
      <c r="C3010">
        <v>17256</v>
      </c>
      <c r="D3010" t="s">
        <v>22</v>
      </c>
      <c r="E3010" t="s">
        <v>14</v>
      </c>
      <c r="F3010" t="s">
        <v>20</v>
      </c>
      <c r="G3010">
        <v>1</v>
      </c>
      <c r="K3010">
        <v>1</v>
      </c>
      <c r="O3010">
        <v>1</v>
      </c>
      <c r="S3010">
        <v>1</v>
      </c>
      <c r="T3010">
        <v>1</v>
      </c>
      <c r="V3010">
        <v>2</v>
      </c>
      <c r="X3010">
        <v>1</v>
      </c>
      <c r="AB3010">
        <v>1</v>
      </c>
      <c r="AG3010">
        <v>1</v>
      </c>
      <c r="AI3010">
        <v>1</v>
      </c>
      <c r="AK3010">
        <v>1</v>
      </c>
      <c r="AO3010">
        <v>1</v>
      </c>
      <c r="AT3010">
        <v>1</v>
      </c>
      <c r="AX3010">
        <v>2</v>
      </c>
      <c r="BA3010">
        <f>SUM(Pre[[#This Row],[1]:[46]])</f>
        <v>16</v>
      </c>
    </row>
    <row r="3011" spans="1:53" x14ac:dyDescent="0.2">
      <c r="A3011" t="s">
        <v>62</v>
      </c>
      <c r="B3011" t="s">
        <v>54</v>
      </c>
      <c r="C3011">
        <v>18778</v>
      </c>
      <c r="D3011" t="s">
        <v>22</v>
      </c>
      <c r="E3011" t="s">
        <v>40</v>
      </c>
      <c r="F3011" t="s">
        <v>44</v>
      </c>
      <c r="BA3011">
        <f>SUM(Pre[[#This Row],[1]:[46]])</f>
        <v>0</v>
      </c>
    </row>
    <row r="3012" spans="1:53" x14ac:dyDescent="0.2">
      <c r="A3012" t="s">
        <v>62</v>
      </c>
      <c r="B3012" t="s">
        <v>54</v>
      </c>
      <c r="C3012">
        <v>19144</v>
      </c>
      <c r="D3012" t="s">
        <v>22</v>
      </c>
      <c r="E3012" t="s">
        <v>8</v>
      </c>
      <c r="F3012" t="s">
        <v>23</v>
      </c>
      <c r="O3012">
        <v>1</v>
      </c>
      <c r="AB3012">
        <v>1</v>
      </c>
      <c r="AQ3012">
        <v>1</v>
      </c>
      <c r="BA3012">
        <f>SUM(Pre[[#This Row],[1]:[46]])</f>
        <v>3</v>
      </c>
    </row>
    <row r="3013" spans="1:53" x14ac:dyDescent="0.2">
      <c r="A3013" t="s">
        <v>62</v>
      </c>
      <c r="B3013" t="s">
        <v>54</v>
      </c>
      <c r="C3013">
        <v>19167</v>
      </c>
      <c r="D3013" t="s">
        <v>22</v>
      </c>
      <c r="E3013" t="s">
        <v>10</v>
      </c>
      <c r="F3013" t="s">
        <v>11</v>
      </c>
      <c r="BA3013">
        <f>SUM(Pre[[#This Row],[1]:[46]])</f>
        <v>0</v>
      </c>
    </row>
    <row r="3014" spans="1:53" x14ac:dyDescent="0.2">
      <c r="A3014" t="s">
        <v>62</v>
      </c>
      <c r="B3014" t="s">
        <v>54</v>
      </c>
      <c r="C3014">
        <v>20393</v>
      </c>
      <c r="D3014" t="s">
        <v>22</v>
      </c>
      <c r="E3014" t="s">
        <v>8</v>
      </c>
      <c r="F3014" t="s">
        <v>23</v>
      </c>
      <c r="J3014">
        <v>1</v>
      </c>
      <c r="N3014">
        <v>1</v>
      </c>
      <c r="R3014">
        <v>1</v>
      </c>
      <c r="W3014">
        <v>1</v>
      </c>
      <c r="AC3014">
        <v>2</v>
      </c>
      <c r="AD3014">
        <v>1</v>
      </c>
      <c r="AE3014">
        <v>1</v>
      </c>
      <c r="AH3014">
        <v>1</v>
      </c>
      <c r="AL3014">
        <v>1</v>
      </c>
      <c r="AP3014">
        <v>1</v>
      </c>
      <c r="AT3014">
        <v>1</v>
      </c>
      <c r="AX3014">
        <v>1</v>
      </c>
      <c r="BA3014">
        <f>SUM(Pre[[#This Row],[1]:[46]])</f>
        <v>13</v>
      </c>
    </row>
    <row r="3015" spans="1:53" x14ac:dyDescent="0.2">
      <c r="A3015" t="s">
        <v>62</v>
      </c>
      <c r="B3015" t="s">
        <v>54</v>
      </c>
      <c r="C3015">
        <v>20557</v>
      </c>
      <c r="D3015" t="s">
        <v>22</v>
      </c>
      <c r="E3015" t="s">
        <v>14</v>
      </c>
      <c r="F3015" t="s">
        <v>20</v>
      </c>
      <c r="AC3015">
        <v>1</v>
      </c>
      <c r="BA3015">
        <f>SUM(Pre[[#This Row],[1]:[46]])</f>
        <v>1</v>
      </c>
    </row>
    <row r="3016" spans="1:53" x14ac:dyDescent="0.2">
      <c r="A3016" t="s">
        <v>62</v>
      </c>
      <c r="B3016" t="s">
        <v>54</v>
      </c>
      <c r="C3016">
        <v>22037</v>
      </c>
      <c r="D3016" t="s">
        <v>22</v>
      </c>
      <c r="E3016" t="s">
        <v>10</v>
      </c>
      <c r="F3016" t="s">
        <v>11</v>
      </c>
      <c r="V3016">
        <v>1</v>
      </c>
      <c r="BA3016">
        <f>SUM(Pre[[#This Row],[1]:[46]])</f>
        <v>1</v>
      </c>
    </row>
    <row r="3017" spans="1:53" x14ac:dyDescent="0.2">
      <c r="A3017" t="s">
        <v>62</v>
      </c>
      <c r="B3017" t="s">
        <v>54</v>
      </c>
      <c r="C3017">
        <v>23069</v>
      </c>
      <c r="D3017" t="s">
        <v>22</v>
      </c>
      <c r="E3017" t="s">
        <v>8</v>
      </c>
      <c r="F3017" t="s">
        <v>29</v>
      </c>
      <c r="R3017">
        <v>1</v>
      </c>
      <c r="BA3017">
        <f>SUM(Pre[[#This Row],[1]:[46]])</f>
        <v>1</v>
      </c>
    </row>
    <row r="3018" spans="1:53" x14ac:dyDescent="0.2">
      <c r="A3018" t="s">
        <v>62</v>
      </c>
      <c r="B3018" t="s">
        <v>54</v>
      </c>
      <c r="C3018">
        <v>25942</v>
      </c>
      <c r="D3018" t="s">
        <v>22</v>
      </c>
      <c r="E3018" t="s">
        <v>14</v>
      </c>
      <c r="F3018" t="s">
        <v>20</v>
      </c>
      <c r="K3018">
        <v>1</v>
      </c>
      <c r="AJ3018">
        <v>2</v>
      </c>
      <c r="BA3018">
        <f>SUM(Pre[[#This Row],[1]:[46]])</f>
        <v>3</v>
      </c>
    </row>
    <row r="3019" spans="1:53" x14ac:dyDescent="0.2">
      <c r="A3019" t="s">
        <v>62</v>
      </c>
      <c r="B3019" t="s">
        <v>54</v>
      </c>
      <c r="C3019">
        <v>28758</v>
      </c>
      <c r="D3019" t="s">
        <v>22</v>
      </c>
      <c r="E3019" t="s">
        <v>14</v>
      </c>
      <c r="F3019" t="s">
        <v>15</v>
      </c>
      <c r="Q3019">
        <v>1</v>
      </c>
      <c r="AC3019">
        <v>1</v>
      </c>
      <c r="AL3019">
        <v>1</v>
      </c>
      <c r="AY3019">
        <v>1</v>
      </c>
      <c r="BA3019">
        <f>SUM(Pre[[#This Row],[1]:[46]])</f>
        <v>4</v>
      </c>
    </row>
    <row r="3020" spans="1:53" x14ac:dyDescent="0.2">
      <c r="A3020" t="s">
        <v>62</v>
      </c>
      <c r="B3020" t="s">
        <v>54</v>
      </c>
      <c r="C3020">
        <v>30492</v>
      </c>
      <c r="D3020" t="s">
        <v>22</v>
      </c>
      <c r="E3020" t="s">
        <v>14</v>
      </c>
      <c r="F3020" t="s">
        <v>35</v>
      </c>
      <c r="G3020">
        <v>1</v>
      </c>
      <c r="J3020">
        <v>1</v>
      </c>
      <c r="O3020">
        <v>1</v>
      </c>
      <c r="T3020">
        <v>1</v>
      </c>
      <c r="X3020">
        <v>1</v>
      </c>
      <c r="AB3020">
        <v>1</v>
      </c>
      <c r="AG3020">
        <v>1</v>
      </c>
      <c r="AK3020">
        <v>1</v>
      </c>
      <c r="AO3020">
        <v>1</v>
      </c>
      <c r="AT3020">
        <v>1</v>
      </c>
      <c r="AU3020">
        <v>1</v>
      </c>
      <c r="AY3020">
        <v>1</v>
      </c>
      <c r="BA3020">
        <f>SUM(Pre[[#This Row],[1]:[46]])</f>
        <v>12</v>
      </c>
    </row>
    <row r="3021" spans="1:53" x14ac:dyDescent="0.2">
      <c r="A3021" t="s">
        <v>62</v>
      </c>
      <c r="B3021" t="s">
        <v>54</v>
      </c>
      <c r="C3021">
        <v>31839</v>
      </c>
      <c r="D3021" t="s">
        <v>22</v>
      </c>
      <c r="E3021" t="s">
        <v>8</v>
      </c>
      <c r="F3021" t="s">
        <v>23</v>
      </c>
      <c r="AM3021">
        <v>1</v>
      </c>
      <c r="BA3021">
        <f>SUM(Pre[[#This Row],[1]:[46]])</f>
        <v>1</v>
      </c>
    </row>
    <row r="3022" spans="1:53" x14ac:dyDescent="0.2">
      <c r="A3022" t="s">
        <v>62</v>
      </c>
      <c r="B3022" t="s">
        <v>54</v>
      </c>
      <c r="C3022">
        <v>32818</v>
      </c>
      <c r="D3022" t="s">
        <v>22</v>
      </c>
      <c r="E3022" t="s">
        <v>14</v>
      </c>
      <c r="F3022" t="s">
        <v>20</v>
      </c>
      <c r="AQ3022">
        <v>1</v>
      </c>
      <c r="BA3022">
        <f>SUM(Pre[[#This Row],[1]:[46]])</f>
        <v>1</v>
      </c>
    </row>
    <row r="3023" spans="1:53" x14ac:dyDescent="0.2">
      <c r="A3023" t="s">
        <v>62</v>
      </c>
      <c r="B3023" t="s">
        <v>54</v>
      </c>
      <c r="C3023">
        <v>8858</v>
      </c>
      <c r="D3023" t="s">
        <v>7</v>
      </c>
      <c r="E3023" t="s">
        <v>10</v>
      </c>
      <c r="F3023" t="s">
        <v>11</v>
      </c>
      <c r="BA3023">
        <f>SUM(Pre[[#This Row],[1]:[46]])</f>
        <v>0</v>
      </c>
    </row>
    <row r="3024" spans="1:53" x14ac:dyDescent="0.2">
      <c r="A3024" t="s">
        <v>62</v>
      </c>
      <c r="B3024" t="s">
        <v>54</v>
      </c>
      <c r="C3024">
        <v>3400</v>
      </c>
      <c r="D3024" t="s">
        <v>22</v>
      </c>
      <c r="E3024" t="s">
        <v>14</v>
      </c>
      <c r="F3024" t="s">
        <v>20</v>
      </c>
      <c r="G3024">
        <v>1</v>
      </c>
      <c r="K3024">
        <v>1</v>
      </c>
      <c r="O3024">
        <v>1</v>
      </c>
      <c r="T3024">
        <v>1</v>
      </c>
      <c r="X3024">
        <v>1</v>
      </c>
      <c r="AB3024">
        <v>1</v>
      </c>
      <c r="AG3024">
        <v>1</v>
      </c>
      <c r="AK3024">
        <v>1</v>
      </c>
      <c r="AO3024">
        <v>1</v>
      </c>
      <c r="AT3024">
        <v>1</v>
      </c>
      <c r="AX3024">
        <v>1</v>
      </c>
      <c r="BA3024">
        <f>SUM(Pre[[#This Row],[1]:[46]])</f>
        <v>11</v>
      </c>
    </row>
    <row r="3025" spans="1:53" x14ac:dyDescent="0.2">
      <c r="A3025" t="s">
        <v>62</v>
      </c>
      <c r="B3025" t="s">
        <v>54</v>
      </c>
      <c r="C3025">
        <v>4086</v>
      </c>
      <c r="D3025" t="s">
        <v>22</v>
      </c>
      <c r="E3025" t="s">
        <v>10</v>
      </c>
      <c r="F3025" t="s">
        <v>11</v>
      </c>
      <c r="J3025">
        <v>1</v>
      </c>
      <c r="O3025">
        <v>1</v>
      </c>
      <c r="BA3025">
        <f>SUM(Pre[[#This Row],[1]:[46]])</f>
        <v>2</v>
      </c>
    </row>
    <row r="3026" spans="1:53" x14ac:dyDescent="0.2">
      <c r="A3026" t="s">
        <v>62</v>
      </c>
      <c r="B3026" t="s">
        <v>54</v>
      </c>
      <c r="C3026">
        <v>5990</v>
      </c>
      <c r="D3026" t="s">
        <v>22</v>
      </c>
      <c r="E3026" t="s">
        <v>14</v>
      </c>
      <c r="F3026" t="s">
        <v>20</v>
      </c>
      <c r="AN3026">
        <v>1</v>
      </c>
      <c r="BA3026">
        <f>SUM(Pre[[#This Row],[1]:[46]])</f>
        <v>1</v>
      </c>
    </row>
    <row r="3027" spans="1:53" x14ac:dyDescent="0.2">
      <c r="A3027" t="s">
        <v>62</v>
      </c>
      <c r="B3027" t="s">
        <v>54</v>
      </c>
      <c r="C3027">
        <v>7727</v>
      </c>
      <c r="D3027" t="s">
        <v>22</v>
      </c>
      <c r="E3027" t="s">
        <v>14</v>
      </c>
      <c r="F3027" t="s">
        <v>20</v>
      </c>
      <c r="J3027">
        <v>1</v>
      </c>
      <c r="BA3027">
        <f>SUM(Pre[[#This Row],[1]:[46]])</f>
        <v>1</v>
      </c>
    </row>
    <row r="3028" spans="1:53" x14ac:dyDescent="0.2">
      <c r="A3028" t="s">
        <v>62</v>
      </c>
      <c r="B3028" t="s">
        <v>54</v>
      </c>
      <c r="C3028">
        <v>17091</v>
      </c>
      <c r="D3028" t="s">
        <v>22</v>
      </c>
      <c r="E3028" t="s">
        <v>10</v>
      </c>
      <c r="F3028" t="s">
        <v>11</v>
      </c>
      <c r="BA3028">
        <f>SUM(Pre[[#This Row],[1]:[46]])</f>
        <v>0</v>
      </c>
    </row>
    <row r="3029" spans="1:53" x14ac:dyDescent="0.2">
      <c r="A3029" t="s">
        <v>62</v>
      </c>
      <c r="B3029" t="s">
        <v>54</v>
      </c>
      <c r="C3029">
        <v>713</v>
      </c>
      <c r="D3029" t="s">
        <v>7</v>
      </c>
      <c r="E3029" t="s">
        <v>14</v>
      </c>
      <c r="F3029" t="s">
        <v>31</v>
      </c>
      <c r="M3029">
        <v>1</v>
      </c>
      <c r="AA3029">
        <v>1</v>
      </c>
      <c r="AM3029">
        <v>1</v>
      </c>
      <c r="BA3029">
        <f>SUM(Pre[[#This Row],[1]:[46]])</f>
        <v>3</v>
      </c>
    </row>
    <row r="3030" spans="1:53" x14ac:dyDescent="0.2">
      <c r="A3030" t="s">
        <v>62</v>
      </c>
      <c r="B3030" t="s">
        <v>54</v>
      </c>
      <c r="C3030">
        <v>3558</v>
      </c>
      <c r="D3030" t="s">
        <v>7</v>
      </c>
      <c r="E3030" t="s">
        <v>14</v>
      </c>
      <c r="F3030" t="s">
        <v>15</v>
      </c>
      <c r="H3030">
        <v>1</v>
      </c>
      <c r="K3030">
        <v>1</v>
      </c>
      <c r="O3030">
        <v>1</v>
      </c>
      <c r="T3030">
        <v>1</v>
      </c>
      <c r="X3030">
        <v>1</v>
      </c>
      <c r="AB3030">
        <v>1</v>
      </c>
      <c r="AF3030">
        <v>1</v>
      </c>
      <c r="AI3030">
        <v>1</v>
      </c>
      <c r="AM3030">
        <v>1</v>
      </c>
      <c r="AR3030">
        <v>1</v>
      </c>
      <c r="AV3030">
        <v>1</v>
      </c>
      <c r="AY3030">
        <v>1</v>
      </c>
      <c r="BA3030">
        <f>SUM(Pre[[#This Row],[1]:[46]])</f>
        <v>12</v>
      </c>
    </row>
    <row r="3031" spans="1:53" x14ac:dyDescent="0.2">
      <c r="A3031" t="s">
        <v>62</v>
      </c>
      <c r="B3031" t="s">
        <v>54</v>
      </c>
      <c r="C3031">
        <v>4540</v>
      </c>
      <c r="D3031" t="s">
        <v>7</v>
      </c>
      <c r="E3031" t="s">
        <v>14</v>
      </c>
      <c r="F3031" t="s">
        <v>20</v>
      </c>
      <c r="I3031">
        <v>1</v>
      </c>
      <c r="X3031">
        <v>1</v>
      </c>
      <c r="AK3031">
        <v>1</v>
      </c>
      <c r="AZ3031">
        <v>1</v>
      </c>
      <c r="BA3031">
        <f>SUM(Pre[[#This Row],[1]:[46]])</f>
        <v>4</v>
      </c>
    </row>
    <row r="3032" spans="1:53" x14ac:dyDescent="0.2">
      <c r="A3032" t="s">
        <v>62</v>
      </c>
      <c r="B3032" t="s">
        <v>54</v>
      </c>
      <c r="C3032">
        <v>8173</v>
      </c>
      <c r="D3032" t="s">
        <v>7</v>
      </c>
      <c r="E3032" t="s">
        <v>14</v>
      </c>
      <c r="F3032" t="s">
        <v>20</v>
      </c>
      <c r="Q3032">
        <v>1</v>
      </c>
      <c r="AT3032">
        <v>1</v>
      </c>
      <c r="BA3032">
        <f>SUM(Pre[[#This Row],[1]:[46]])</f>
        <v>2</v>
      </c>
    </row>
    <row r="3033" spans="1:53" x14ac:dyDescent="0.2">
      <c r="A3033" t="s">
        <v>62</v>
      </c>
      <c r="B3033" t="s">
        <v>54</v>
      </c>
      <c r="C3033">
        <v>8250</v>
      </c>
      <c r="D3033" t="s">
        <v>7</v>
      </c>
      <c r="E3033" t="s">
        <v>14</v>
      </c>
      <c r="F3033" t="s">
        <v>20</v>
      </c>
      <c r="BA3033">
        <f>SUM(Pre[[#This Row],[1]:[46]])</f>
        <v>0</v>
      </c>
    </row>
    <row r="3034" spans="1:53" x14ac:dyDescent="0.2">
      <c r="A3034" t="s">
        <v>62</v>
      </c>
      <c r="B3034" t="s">
        <v>54</v>
      </c>
      <c r="C3034">
        <v>8961</v>
      </c>
      <c r="D3034" t="s">
        <v>7</v>
      </c>
      <c r="E3034" t="s">
        <v>14</v>
      </c>
      <c r="F3034" t="s">
        <v>20</v>
      </c>
      <c r="Q3034">
        <v>1</v>
      </c>
      <c r="Y3034">
        <v>1</v>
      </c>
      <c r="AJ3034">
        <v>1</v>
      </c>
      <c r="BA3034">
        <f>SUM(Pre[[#This Row],[1]:[46]])</f>
        <v>3</v>
      </c>
    </row>
    <row r="3035" spans="1:53" x14ac:dyDescent="0.2">
      <c r="A3035" t="s">
        <v>62</v>
      </c>
      <c r="B3035" t="s">
        <v>54</v>
      </c>
      <c r="C3035">
        <v>11129</v>
      </c>
      <c r="D3035" t="s">
        <v>7</v>
      </c>
      <c r="E3035" t="s">
        <v>14</v>
      </c>
      <c r="F3035" t="s">
        <v>20</v>
      </c>
      <c r="K3035">
        <v>1</v>
      </c>
      <c r="U3035">
        <v>1</v>
      </c>
      <c r="Y3035">
        <v>1</v>
      </c>
      <c r="AC3035">
        <v>1</v>
      </c>
      <c r="AG3035">
        <v>1</v>
      </c>
      <c r="AT3035">
        <v>1</v>
      </c>
      <c r="BA3035">
        <f>SUM(Pre[[#This Row],[1]:[46]])</f>
        <v>6</v>
      </c>
    </row>
    <row r="3036" spans="1:53" x14ac:dyDescent="0.2">
      <c r="A3036" t="s">
        <v>62</v>
      </c>
      <c r="B3036" t="s">
        <v>54</v>
      </c>
      <c r="C3036">
        <v>11417</v>
      </c>
      <c r="D3036" t="s">
        <v>7</v>
      </c>
      <c r="E3036" t="s">
        <v>10</v>
      </c>
      <c r="F3036" t="s">
        <v>11</v>
      </c>
      <c r="BA3036">
        <f>SUM(Pre[[#This Row],[1]:[46]])</f>
        <v>0</v>
      </c>
    </row>
    <row r="3037" spans="1:53" x14ac:dyDescent="0.2">
      <c r="A3037" t="s">
        <v>62</v>
      </c>
      <c r="B3037" t="s">
        <v>54</v>
      </c>
      <c r="C3037">
        <v>11417</v>
      </c>
      <c r="D3037" t="s">
        <v>7</v>
      </c>
      <c r="E3037" t="s">
        <v>14</v>
      </c>
      <c r="F3037" t="s">
        <v>21</v>
      </c>
      <c r="BA3037">
        <f>SUM(Pre[[#This Row],[1]:[46]])</f>
        <v>0</v>
      </c>
    </row>
    <row r="3038" spans="1:53" x14ac:dyDescent="0.2">
      <c r="A3038" t="s">
        <v>62</v>
      </c>
      <c r="B3038" t="s">
        <v>54</v>
      </c>
      <c r="C3038">
        <v>11531</v>
      </c>
      <c r="D3038" t="s">
        <v>7</v>
      </c>
      <c r="E3038" t="s">
        <v>14</v>
      </c>
      <c r="F3038" t="s">
        <v>35</v>
      </c>
      <c r="N3038">
        <v>1</v>
      </c>
      <c r="Z3038">
        <v>1</v>
      </c>
      <c r="AM3038">
        <v>1</v>
      </c>
      <c r="BA3038">
        <f>SUM(Pre[[#This Row],[1]:[46]])</f>
        <v>3</v>
      </c>
    </row>
    <row r="3039" spans="1:53" x14ac:dyDescent="0.2">
      <c r="A3039" t="s">
        <v>62</v>
      </c>
      <c r="B3039" t="s">
        <v>54</v>
      </c>
      <c r="C3039">
        <v>11653</v>
      </c>
      <c r="D3039" t="s">
        <v>7</v>
      </c>
      <c r="E3039" t="s">
        <v>14</v>
      </c>
      <c r="F3039" t="s">
        <v>20</v>
      </c>
      <c r="S3039">
        <v>1</v>
      </c>
      <c r="AF3039">
        <v>2</v>
      </c>
      <c r="AS3039">
        <v>1</v>
      </c>
      <c r="AV3039">
        <v>1</v>
      </c>
      <c r="BA3039">
        <f>SUM(Pre[[#This Row],[1]:[46]])</f>
        <v>5</v>
      </c>
    </row>
    <row r="3040" spans="1:53" x14ac:dyDescent="0.2">
      <c r="A3040" t="s">
        <v>62</v>
      </c>
      <c r="B3040" t="s">
        <v>54</v>
      </c>
      <c r="C3040">
        <v>12515</v>
      </c>
      <c r="D3040" t="s">
        <v>7</v>
      </c>
      <c r="E3040" t="s">
        <v>14</v>
      </c>
      <c r="F3040" t="s">
        <v>20</v>
      </c>
      <c r="H3040">
        <v>1</v>
      </c>
      <c r="M3040">
        <v>1</v>
      </c>
      <c r="R3040">
        <v>1</v>
      </c>
      <c r="V3040">
        <v>1</v>
      </c>
      <c r="AA3040">
        <v>1</v>
      </c>
      <c r="AE3040">
        <v>1</v>
      </c>
      <c r="AH3040">
        <v>1</v>
      </c>
      <c r="AL3040">
        <v>1</v>
      </c>
      <c r="AN3040">
        <v>1</v>
      </c>
      <c r="AX3040">
        <v>2</v>
      </c>
      <c r="BA3040">
        <f>SUM(Pre[[#This Row],[1]:[46]])</f>
        <v>11</v>
      </c>
    </row>
    <row r="3041" spans="1:53" x14ac:dyDescent="0.2">
      <c r="A3041" t="s">
        <v>62</v>
      </c>
      <c r="B3041" t="s">
        <v>54</v>
      </c>
      <c r="C3041">
        <v>14127</v>
      </c>
      <c r="D3041" t="s">
        <v>7</v>
      </c>
      <c r="E3041" t="s">
        <v>14</v>
      </c>
      <c r="F3041" t="s">
        <v>19</v>
      </c>
      <c r="J3041">
        <v>1</v>
      </c>
      <c r="BA3041">
        <f>SUM(Pre[[#This Row],[1]:[46]])</f>
        <v>1</v>
      </c>
    </row>
    <row r="3042" spans="1:53" x14ac:dyDescent="0.2">
      <c r="A3042" t="s">
        <v>62</v>
      </c>
      <c r="B3042" t="s">
        <v>54</v>
      </c>
      <c r="C3042">
        <v>21772</v>
      </c>
      <c r="D3042" t="s">
        <v>7</v>
      </c>
      <c r="E3042" t="s">
        <v>14</v>
      </c>
      <c r="F3042" t="s">
        <v>20</v>
      </c>
      <c r="M3042">
        <v>1</v>
      </c>
      <c r="Z3042">
        <v>1</v>
      </c>
      <c r="AE3042">
        <v>1</v>
      </c>
      <c r="AM3042">
        <v>1</v>
      </c>
      <c r="AW3042">
        <v>1</v>
      </c>
      <c r="BA3042">
        <f>SUM(Pre[[#This Row],[1]:[46]])</f>
        <v>5</v>
      </c>
    </row>
    <row r="3043" spans="1:53" x14ac:dyDescent="0.2">
      <c r="A3043" t="s">
        <v>62</v>
      </c>
      <c r="B3043" t="s">
        <v>54</v>
      </c>
      <c r="C3043">
        <v>796</v>
      </c>
      <c r="D3043" t="s">
        <v>22</v>
      </c>
      <c r="E3043" t="s">
        <v>14</v>
      </c>
      <c r="F3043" t="s">
        <v>35</v>
      </c>
      <c r="J3043">
        <v>1</v>
      </c>
      <c r="R3043">
        <v>1</v>
      </c>
      <c r="Z3043">
        <v>1</v>
      </c>
      <c r="AH3043">
        <v>1</v>
      </c>
      <c r="AN3043">
        <v>1</v>
      </c>
      <c r="AX3043">
        <v>1</v>
      </c>
      <c r="BA3043">
        <f>SUM(Pre[[#This Row],[1]:[46]])</f>
        <v>6</v>
      </c>
    </row>
    <row r="3044" spans="1:53" x14ac:dyDescent="0.2">
      <c r="A3044" t="s">
        <v>62</v>
      </c>
      <c r="B3044" t="s">
        <v>54</v>
      </c>
      <c r="C3044">
        <v>1798</v>
      </c>
      <c r="D3044" t="s">
        <v>22</v>
      </c>
      <c r="E3044" t="s">
        <v>14</v>
      </c>
      <c r="F3044" t="s">
        <v>20</v>
      </c>
      <c r="J3044">
        <v>1</v>
      </c>
      <c r="Q3044">
        <v>1</v>
      </c>
      <c r="R3044">
        <v>2</v>
      </c>
      <c r="X3044">
        <v>1</v>
      </c>
      <c r="AA3044">
        <v>1</v>
      </c>
      <c r="BA3044">
        <f>SUM(Pre[[#This Row],[1]:[46]])</f>
        <v>6</v>
      </c>
    </row>
    <row r="3045" spans="1:53" x14ac:dyDescent="0.2">
      <c r="A3045" t="s">
        <v>62</v>
      </c>
      <c r="B3045" t="s">
        <v>54</v>
      </c>
      <c r="C3045">
        <v>7279</v>
      </c>
      <c r="D3045" t="s">
        <v>22</v>
      </c>
      <c r="E3045" t="s">
        <v>14</v>
      </c>
      <c r="F3045" t="s">
        <v>20</v>
      </c>
      <c r="P3045">
        <v>1</v>
      </c>
      <c r="AD3045">
        <v>1</v>
      </c>
      <c r="AR3045">
        <v>2</v>
      </c>
      <c r="BA3045">
        <f>SUM(Pre[[#This Row],[1]:[46]])</f>
        <v>4</v>
      </c>
    </row>
    <row r="3046" spans="1:53" x14ac:dyDescent="0.2">
      <c r="A3046" t="s">
        <v>62</v>
      </c>
      <c r="B3046" t="s">
        <v>54</v>
      </c>
      <c r="C3046">
        <v>7668</v>
      </c>
      <c r="D3046" t="s">
        <v>22</v>
      </c>
      <c r="E3046" t="s">
        <v>14</v>
      </c>
      <c r="F3046" t="s">
        <v>20</v>
      </c>
      <c r="Z3046">
        <v>1</v>
      </c>
      <c r="AP3046">
        <v>2</v>
      </c>
      <c r="BA3046">
        <f>SUM(Pre[[#This Row],[1]:[46]])</f>
        <v>3</v>
      </c>
    </row>
    <row r="3047" spans="1:53" x14ac:dyDescent="0.2">
      <c r="A3047" t="s">
        <v>62</v>
      </c>
      <c r="B3047" t="s">
        <v>54</v>
      </c>
      <c r="C3047">
        <v>9568</v>
      </c>
      <c r="D3047" t="s">
        <v>22</v>
      </c>
      <c r="E3047" t="s">
        <v>10</v>
      </c>
      <c r="F3047" t="s">
        <v>11</v>
      </c>
      <c r="H3047">
        <v>1</v>
      </c>
      <c r="U3047">
        <v>1</v>
      </c>
      <c r="AP3047">
        <v>1</v>
      </c>
      <c r="BA3047">
        <f>SUM(Pre[[#This Row],[1]:[46]])</f>
        <v>3</v>
      </c>
    </row>
    <row r="3048" spans="1:53" x14ac:dyDescent="0.2">
      <c r="A3048" t="s">
        <v>62</v>
      </c>
      <c r="B3048" t="s">
        <v>54</v>
      </c>
      <c r="C3048">
        <v>10565</v>
      </c>
      <c r="D3048" t="s">
        <v>22</v>
      </c>
      <c r="E3048" t="s">
        <v>10</v>
      </c>
      <c r="F3048" t="s">
        <v>11</v>
      </c>
      <c r="BA3048">
        <f>SUM(Pre[[#This Row],[1]:[46]])</f>
        <v>0</v>
      </c>
    </row>
    <row r="3049" spans="1:53" x14ac:dyDescent="0.2">
      <c r="A3049" t="s">
        <v>62</v>
      </c>
      <c r="B3049" t="s">
        <v>54</v>
      </c>
      <c r="C3049">
        <v>10565</v>
      </c>
      <c r="D3049" t="s">
        <v>22</v>
      </c>
      <c r="E3049" t="s">
        <v>14</v>
      </c>
      <c r="F3049" t="s">
        <v>21</v>
      </c>
      <c r="R3049">
        <v>1</v>
      </c>
      <c r="AE3049">
        <v>1</v>
      </c>
      <c r="BA3049">
        <f>SUM(Pre[[#This Row],[1]:[46]])</f>
        <v>2</v>
      </c>
    </row>
    <row r="3050" spans="1:53" x14ac:dyDescent="0.2">
      <c r="A3050" t="s">
        <v>62</v>
      </c>
      <c r="B3050" t="s">
        <v>54</v>
      </c>
      <c r="C3050">
        <v>12060</v>
      </c>
      <c r="D3050" t="s">
        <v>22</v>
      </c>
      <c r="E3050" t="s">
        <v>14</v>
      </c>
      <c r="F3050" t="s">
        <v>20</v>
      </c>
      <c r="BA3050">
        <f>SUM(Pre[[#This Row],[1]:[46]])</f>
        <v>0</v>
      </c>
    </row>
    <row r="3051" spans="1:53" x14ac:dyDescent="0.2">
      <c r="A3051" t="s">
        <v>62</v>
      </c>
      <c r="B3051" t="s">
        <v>54</v>
      </c>
      <c r="C3051">
        <v>18613</v>
      </c>
      <c r="D3051" t="s">
        <v>22</v>
      </c>
      <c r="E3051" t="s">
        <v>14</v>
      </c>
      <c r="F3051" t="s">
        <v>20</v>
      </c>
      <c r="BA3051">
        <f>SUM(Pre[[#This Row],[1]:[46]])</f>
        <v>0</v>
      </c>
    </row>
    <row r="3052" spans="1:53" x14ac:dyDescent="0.2">
      <c r="A3052" t="s">
        <v>62</v>
      </c>
      <c r="B3052" t="s">
        <v>54</v>
      </c>
      <c r="C3052">
        <v>19863</v>
      </c>
      <c r="D3052" t="s">
        <v>22</v>
      </c>
      <c r="E3052" t="s">
        <v>14</v>
      </c>
      <c r="F3052" t="s">
        <v>20</v>
      </c>
      <c r="G3052">
        <v>1</v>
      </c>
      <c r="K3052">
        <v>1</v>
      </c>
      <c r="L3052">
        <v>2</v>
      </c>
      <c r="BA3052">
        <f>SUM(Pre[[#This Row],[1]:[46]])</f>
        <v>4</v>
      </c>
    </row>
    <row r="3053" spans="1:53" x14ac:dyDescent="0.2">
      <c r="A3053" t="s">
        <v>62</v>
      </c>
      <c r="B3053" t="s">
        <v>54</v>
      </c>
      <c r="C3053">
        <v>22347</v>
      </c>
      <c r="D3053" t="s">
        <v>22</v>
      </c>
      <c r="E3053" t="s">
        <v>14</v>
      </c>
      <c r="F3053" t="s">
        <v>31</v>
      </c>
      <c r="G3053">
        <v>1</v>
      </c>
      <c r="Z3053">
        <v>1</v>
      </c>
      <c r="BA3053">
        <f>SUM(Pre[[#This Row],[1]:[46]])</f>
        <v>2</v>
      </c>
    </row>
    <row r="3054" spans="1:53" x14ac:dyDescent="0.2">
      <c r="A3054" t="s">
        <v>62</v>
      </c>
      <c r="B3054" t="s">
        <v>54</v>
      </c>
      <c r="C3054">
        <v>27716</v>
      </c>
      <c r="D3054" t="s">
        <v>22</v>
      </c>
      <c r="E3054" t="s">
        <v>14</v>
      </c>
      <c r="F3054" t="s">
        <v>20</v>
      </c>
      <c r="N3054">
        <v>1</v>
      </c>
      <c r="BA3054">
        <f>SUM(Pre[[#This Row],[1]:[46]])</f>
        <v>1</v>
      </c>
    </row>
    <row r="3055" spans="1:53" x14ac:dyDescent="0.2">
      <c r="A3055" t="s">
        <v>62</v>
      </c>
      <c r="B3055" t="s">
        <v>54</v>
      </c>
      <c r="C3055">
        <v>8417</v>
      </c>
      <c r="D3055" t="s">
        <v>7</v>
      </c>
      <c r="E3055" t="s">
        <v>14</v>
      </c>
      <c r="F3055" t="s">
        <v>20</v>
      </c>
      <c r="G3055">
        <v>1</v>
      </c>
      <c r="P3055">
        <v>1</v>
      </c>
      <c r="AD3055">
        <v>1</v>
      </c>
      <c r="AP3055">
        <v>1</v>
      </c>
      <c r="BA3055">
        <f>SUM(Pre[[#This Row],[1]:[46]])</f>
        <v>4</v>
      </c>
    </row>
    <row r="3056" spans="1:53" x14ac:dyDescent="0.2">
      <c r="A3056" t="s">
        <v>62</v>
      </c>
      <c r="B3056" t="s">
        <v>54</v>
      </c>
      <c r="C3056">
        <v>33535</v>
      </c>
      <c r="D3056" t="s">
        <v>22</v>
      </c>
      <c r="E3056" t="s">
        <v>14</v>
      </c>
      <c r="F3056" t="s">
        <v>21</v>
      </c>
      <c r="BA3056">
        <f>SUM(Pre[[#This Row],[1]:[46]])</f>
        <v>0</v>
      </c>
    </row>
    <row r="3057" spans="1:53" x14ac:dyDescent="0.2">
      <c r="A3057" t="s">
        <v>62</v>
      </c>
      <c r="B3057" t="s">
        <v>54</v>
      </c>
      <c r="C3057">
        <v>33535</v>
      </c>
      <c r="D3057" t="s">
        <v>22</v>
      </c>
      <c r="E3057" t="s">
        <v>14</v>
      </c>
      <c r="F3057" t="s">
        <v>20</v>
      </c>
      <c r="H3057">
        <v>2</v>
      </c>
      <c r="L3057">
        <v>1</v>
      </c>
      <c r="P3057">
        <v>1</v>
      </c>
      <c r="Q3057">
        <v>1</v>
      </c>
      <c r="U3057">
        <v>1</v>
      </c>
      <c r="Y3057">
        <v>1</v>
      </c>
      <c r="AA3057">
        <v>1</v>
      </c>
      <c r="AE3057">
        <v>1</v>
      </c>
      <c r="AI3057">
        <v>1</v>
      </c>
      <c r="AM3057">
        <v>1</v>
      </c>
      <c r="AQ3057">
        <v>2</v>
      </c>
      <c r="AT3057">
        <v>1</v>
      </c>
      <c r="AW3057">
        <v>1</v>
      </c>
      <c r="BA3057">
        <f>SUM(Pre[[#This Row],[1]:[46]])</f>
        <v>15</v>
      </c>
    </row>
    <row r="3058" spans="1:53" x14ac:dyDescent="0.2">
      <c r="A3058" t="s">
        <v>62</v>
      </c>
      <c r="B3058" t="s">
        <v>54</v>
      </c>
      <c r="C3058">
        <v>2067</v>
      </c>
      <c r="D3058" t="s">
        <v>7</v>
      </c>
      <c r="E3058" t="s">
        <v>14</v>
      </c>
      <c r="F3058" t="s">
        <v>31</v>
      </c>
      <c r="I3058">
        <v>1</v>
      </c>
      <c r="W3058">
        <v>1</v>
      </c>
      <c r="AV3058">
        <v>1</v>
      </c>
      <c r="BA3058">
        <f>SUM(Pre[[#This Row],[1]:[46]])</f>
        <v>3</v>
      </c>
    </row>
    <row r="3059" spans="1:53" x14ac:dyDescent="0.2">
      <c r="A3059" t="s">
        <v>62</v>
      </c>
      <c r="B3059" t="s">
        <v>54</v>
      </c>
      <c r="C3059">
        <v>2067</v>
      </c>
      <c r="D3059" t="s">
        <v>7</v>
      </c>
      <c r="E3059" t="s">
        <v>14</v>
      </c>
      <c r="F3059" t="s">
        <v>28</v>
      </c>
      <c r="BA3059">
        <f>SUM(Pre[[#This Row],[1]:[46]])</f>
        <v>0</v>
      </c>
    </row>
    <row r="3060" spans="1:53" x14ac:dyDescent="0.2">
      <c r="A3060" t="s">
        <v>62</v>
      </c>
      <c r="B3060" t="s">
        <v>54</v>
      </c>
      <c r="C3060">
        <v>2439</v>
      </c>
      <c r="D3060" t="s">
        <v>7</v>
      </c>
      <c r="E3060" t="s">
        <v>14</v>
      </c>
      <c r="F3060" t="s">
        <v>20</v>
      </c>
      <c r="R3060">
        <v>1</v>
      </c>
      <c r="V3060">
        <v>1</v>
      </c>
      <c r="AJ3060">
        <v>1</v>
      </c>
      <c r="AX3060">
        <v>1</v>
      </c>
      <c r="BA3060">
        <f>SUM(Pre[[#This Row],[1]:[46]])</f>
        <v>4</v>
      </c>
    </row>
    <row r="3061" spans="1:53" x14ac:dyDescent="0.2">
      <c r="A3061" t="s">
        <v>62</v>
      </c>
      <c r="B3061" t="s">
        <v>54</v>
      </c>
      <c r="C3061">
        <v>4144</v>
      </c>
      <c r="D3061" t="s">
        <v>7</v>
      </c>
      <c r="E3061" t="s">
        <v>10</v>
      </c>
      <c r="F3061" t="s">
        <v>11</v>
      </c>
      <c r="AN3061">
        <v>1</v>
      </c>
      <c r="AP3061">
        <v>1</v>
      </c>
      <c r="BA3061">
        <f>SUM(Pre[[#This Row],[1]:[46]])</f>
        <v>2</v>
      </c>
    </row>
    <row r="3062" spans="1:53" x14ac:dyDescent="0.2">
      <c r="A3062" t="s">
        <v>62</v>
      </c>
      <c r="B3062" t="s">
        <v>54</v>
      </c>
      <c r="C3062">
        <v>5260</v>
      </c>
      <c r="D3062" t="s">
        <v>7</v>
      </c>
      <c r="E3062" t="s">
        <v>14</v>
      </c>
      <c r="F3062" t="s">
        <v>35</v>
      </c>
      <c r="AX3062">
        <v>2</v>
      </c>
      <c r="BA3062">
        <f>SUM(Pre[[#This Row],[1]:[46]])</f>
        <v>2</v>
      </c>
    </row>
    <row r="3063" spans="1:53" x14ac:dyDescent="0.2">
      <c r="A3063" t="s">
        <v>62</v>
      </c>
      <c r="B3063" t="s">
        <v>54</v>
      </c>
      <c r="C3063">
        <v>5891</v>
      </c>
      <c r="D3063" t="s">
        <v>7</v>
      </c>
      <c r="E3063" t="s">
        <v>14</v>
      </c>
      <c r="F3063" t="s">
        <v>19</v>
      </c>
      <c r="BA3063">
        <f>SUM(Pre[[#This Row],[1]:[46]])</f>
        <v>0</v>
      </c>
    </row>
    <row r="3064" spans="1:53" x14ac:dyDescent="0.2">
      <c r="A3064" t="s">
        <v>62</v>
      </c>
      <c r="B3064" t="s">
        <v>54</v>
      </c>
      <c r="C3064">
        <v>5891</v>
      </c>
      <c r="D3064" t="s">
        <v>7</v>
      </c>
      <c r="E3064" t="s">
        <v>14</v>
      </c>
      <c r="F3064" t="s">
        <v>20</v>
      </c>
      <c r="L3064">
        <v>1</v>
      </c>
      <c r="AB3064">
        <v>2</v>
      </c>
      <c r="AN3064">
        <v>3</v>
      </c>
      <c r="BA3064">
        <f>SUM(Pre[[#This Row],[1]:[46]])</f>
        <v>6</v>
      </c>
    </row>
    <row r="3065" spans="1:53" x14ac:dyDescent="0.2">
      <c r="A3065" t="s">
        <v>62</v>
      </c>
      <c r="B3065" t="s">
        <v>54</v>
      </c>
      <c r="C3065">
        <v>10263</v>
      </c>
      <c r="D3065" t="s">
        <v>7</v>
      </c>
      <c r="E3065" t="s">
        <v>14</v>
      </c>
      <c r="F3065" t="s">
        <v>20</v>
      </c>
      <c r="Q3065">
        <v>1</v>
      </c>
      <c r="AE3065">
        <v>1</v>
      </c>
      <c r="AS3065">
        <v>1</v>
      </c>
      <c r="BA3065">
        <f>SUM(Pre[[#This Row],[1]:[46]])</f>
        <v>3</v>
      </c>
    </row>
    <row r="3066" spans="1:53" x14ac:dyDescent="0.2">
      <c r="A3066" t="s">
        <v>62</v>
      </c>
      <c r="B3066" t="s">
        <v>54</v>
      </c>
      <c r="C3066">
        <v>13071</v>
      </c>
      <c r="D3066" t="s">
        <v>7</v>
      </c>
      <c r="E3066" t="s">
        <v>14</v>
      </c>
      <c r="F3066" t="s">
        <v>31</v>
      </c>
      <c r="L3066">
        <v>1</v>
      </c>
      <c r="AJ3066">
        <v>1</v>
      </c>
      <c r="AX3066">
        <v>1</v>
      </c>
      <c r="BA3066">
        <f>SUM(Pre[[#This Row],[1]:[46]])</f>
        <v>3</v>
      </c>
    </row>
    <row r="3067" spans="1:53" x14ac:dyDescent="0.2">
      <c r="A3067" t="s">
        <v>62</v>
      </c>
      <c r="B3067" t="s">
        <v>54</v>
      </c>
      <c r="C3067">
        <v>20450</v>
      </c>
      <c r="D3067" t="s">
        <v>7</v>
      </c>
      <c r="E3067" t="s">
        <v>14</v>
      </c>
      <c r="F3067" t="s">
        <v>20</v>
      </c>
      <c r="BA3067">
        <f>SUM(Pre[[#This Row],[1]:[46]])</f>
        <v>0</v>
      </c>
    </row>
    <row r="3068" spans="1:53" x14ac:dyDescent="0.2">
      <c r="A3068" t="s">
        <v>62</v>
      </c>
      <c r="B3068" t="s">
        <v>54</v>
      </c>
      <c r="C3068">
        <v>3932</v>
      </c>
      <c r="D3068" t="s">
        <v>22</v>
      </c>
      <c r="E3068" t="s">
        <v>14</v>
      </c>
      <c r="F3068" t="s">
        <v>20</v>
      </c>
      <c r="Q3068">
        <v>1</v>
      </c>
      <c r="AE3068">
        <v>1</v>
      </c>
      <c r="AQ3068">
        <v>1</v>
      </c>
      <c r="BA3068">
        <f>SUM(Pre[[#This Row],[1]:[46]])</f>
        <v>3</v>
      </c>
    </row>
    <row r="3069" spans="1:53" x14ac:dyDescent="0.2">
      <c r="A3069" t="s">
        <v>62</v>
      </c>
      <c r="B3069" t="s">
        <v>54</v>
      </c>
      <c r="C3069">
        <v>6641</v>
      </c>
      <c r="D3069" t="s">
        <v>22</v>
      </c>
      <c r="E3069" t="s">
        <v>14</v>
      </c>
      <c r="F3069" t="s">
        <v>31</v>
      </c>
      <c r="V3069">
        <v>1</v>
      </c>
      <c r="AK3069">
        <v>1</v>
      </c>
      <c r="BA3069">
        <f>SUM(Pre[[#This Row],[1]:[46]])</f>
        <v>2</v>
      </c>
    </row>
    <row r="3070" spans="1:53" x14ac:dyDescent="0.2">
      <c r="A3070" t="s">
        <v>62</v>
      </c>
      <c r="B3070" t="s">
        <v>54</v>
      </c>
      <c r="C3070">
        <v>7955</v>
      </c>
      <c r="D3070" t="s">
        <v>22</v>
      </c>
      <c r="E3070" t="s">
        <v>10</v>
      </c>
      <c r="F3070" t="s">
        <v>11</v>
      </c>
      <c r="AR3070">
        <v>1</v>
      </c>
      <c r="BA3070">
        <f>SUM(Pre[[#This Row],[1]:[46]])</f>
        <v>1</v>
      </c>
    </row>
    <row r="3071" spans="1:53" x14ac:dyDescent="0.2">
      <c r="A3071" t="s">
        <v>62</v>
      </c>
      <c r="B3071" t="s">
        <v>54</v>
      </c>
      <c r="C3071">
        <v>7955</v>
      </c>
      <c r="D3071" t="s">
        <v>22</v>
      </c>
      <c r="E3071" t="s">
        <v>14</v>
      </c>
      <c r="F3071" t="s">
        <v>20</v>
      </c>
      <c r="L3071">
        <v>1</v>
      </c>
      <c r="Z3071">
        <v>1</v>
      </c>
      <c r="AN3071">
        <v>1</v>
      </c>
      <c r="BA3071">
        <f>SUM(Pre[[#This Row],[1]:[46]])</f>
        <v>3</v>
      </c>
    </row>
    <row r="3072" spans="1:53" x14ac:dyDescent="0.2">
      <c r="A3072" t="s">
        <v>62</v>
      </c>
      <c r="B3072" t="s">
        <v>54</v>
      </c>
      <c r="C3072">
        <v>8223</v>
      </c>
      <c r="D3072" t="s">
        <v>22</v>
      </c>
      <c r="E3072" t="s">
        <v>14</v>
      </c>
      <c r="F3072" t="s">
        <v>20</v>
      </c>
      <c r="U3072">
        <v>1</v>
      </c>
      <c r="BA3072">
        <f>SUM(Pre[[#This Row],[1]:[46]])</f>
        <v>1</v>
      </c>
    </row>
    <row r="3073" spans="1:53" x14ac:dyDescent="0.2">
      <c r="A3073" t="s">
        <v>62</v>
      </c>
      <c r="B3073" t="s">
        <v>54</v>
      </c>
      <c r="C3073">
        <v>8348</v>
      </c>
      <c r="D3073" t="s">
        <v>22</v>
      </c>
      <c r="E3073" t="s">
        <v>14</v>
      </c>
      <c r="F3073" t="s">
        <v>35</v>
      </c>
      <c r="S3073">
        <v>1</v>
      </c>
      <c r="AF3073">
        <v>1</v>
      </c>
      <c r="AR3073">
        <v>1</v>
      </c>
      <c r="BA3073">
        <f>SUM(Pre[[#This Row],[1]:[46]])</f>
        <v>3</v>
      </c>
    </row>
    <row r="3074" spans="1:53" x14ac:dyDescent="0.2">
      <c r="A3074" t="s">
        <v>62</v>
      </c>
      <c r="B3074" t="s">
        <v>54</v>
      </c>
      <c r="C3074">
        <v>8503</v>
      </c>
      <c r="D3074" t="s">
        <v>22</v>
      </c>
      <c r="E3074" t="s">
        <v>17</v>
      </c>
      <c r="F3074" t="s">
        <v>18</v>
      </c>
      <c r="G3074">
        <v>1</v>
      </c>
      <c r="K3074">
        <v>1</v>
      </c>
      <c r="N3074">
        <v>1</v>
      </c>
      <c r="R3074">
        <v>1</v>
      </c>
      <c r="V3074">
        <v>1</v>
      </c>
      <c r="Z3074">
        <v>1</v>
      </c>
      <c r="AD3074">
        <v>1</v>
      </c>
      <c r="AH3074">
        <v>1</v>
      </c>
      <c r="AL3074">
        <v>1</v>
      </c>
      <c r="AP3074">
        <v>1</v>
      </c>
      <c r="AT3074">
        <v>1</v>
      </c>
      <c r="AZ3074">
        <v>1</v>
      </c>
      <c r="BA3074">
        <f>SUM(Pre[[#This Row],[1]:[46]])</f>
        <v>12</v>
      </c>
    </row>
    <row r="3075" spans="1:53" x14ac:dyDescent="0.2">
      <c r="A3075" t="s">
        <v>62</v>
      </c>
      <c r="B3075" t="s">
        <v>54</v>
      </c>
      <c r="C3075">
        <v>8503</v>
      </c>
      <c r="D3075" t="s">
        <v>22</v>
      </c>
      <c r="E3075" t="s">
        <v>14</v>
      </c>
      <c r="F3075" t="s">
        <v>20</v>
      </c>
      <c r="G3075">
        <v>1</v>
      </c>
      <c r="K3075">
        <v>1</v>
      </c>
      <c r="N3075">
        <v>1</v>
      </c>
      <c r="R3075">
        <v>1</v>
      </c>
      <c r="V3075">
        <v>1</v>
      </c>
      <c r="Z3075">
        <v>1</v>
      </c>
      <c r="AD3075">
        <v>1</v>
      </c>
      <c r="AH3075">
        <v>1</v>
      </c>
      <c r="AL3075">
        <v>1</v>
      </c>
      <c r="AP3075">
        <v>1</v>
      </c>
      <c r="AT3075">
        <v>1</v>
      </c>
      <c r="AZ3075">
        <v>1</v>
      </c>
      <c r="BA3075">
        <f>SUM(Pre[[#This Row],[1]:[46]])</f>
        <v>12</v>
      </c>
    </row>
    <row r="3076" spans="1:53" x14ac:dyDescent="0.2">
      <c r="A3076" t="s">
        <v>62</v>
      </c>
      <c r="B3076" t="s">
        <v>54</v>
      </c>
      <c r="C3076">
        <v>8559</v>
      </c>
      <c r="D3076" t="s">
        <v>22</v>
      </c>
      <c r="E3076" t="s">
        <v>14</v>
      </c>
      <c r="F3076" t="s">
        <v>20</v>
      </c>
      <c r="N3076">
        <v>1</v>
      </c>
      <c r="BA3076">
        <f>SUM(Pre[[#This Row],[1]:[46]])</f>
        <v>1</v>
      </c>
    </row>
    <row r="3077" spans="1:53" x14ac:dyDescent="0.2">
      <c r="A3077" t="s">
        <v>62</v>
      </c>
      <c r="B3077" t="s">
        <v>54</v>
      </c>
      <c r="C3077">
        <v>12968</v>
      </c>
      <c r="D3077" t="s">
        <v>22</v>
      </c>
      <c r="E3077" t="s">
        <v>10</v>
      </c>
      <c r="F3077" t="s">
        <v>11</v>
      </c>
      <c r="AO3077">
        <v>2</v>
      </c>
      <c r="AR3077">
        <v>1</v>
      </c>
      <c r="AU3077">
        <v>1</v>
      </c>
      <c r="AY3077">
        <v>1</v>
      </c>
      <c r="BA3077">
        <f>SUM(Pre[[#This Row],[1]:[46]])</f>
        <v>5</v>
      </c>
    </row>
    <row r="3078" spans="1:53" x14ac:dyDescent="0.2">
      <c r="A3078" t="s">
        <v>62</v>
      </c>
      <c r="B3078" t="s">
        <v>54</v>
      </c>
      <c r="C3078">
        <v>12968</v>
      </c>
      <c r="D3078" t="s">
        <v>22</v>
      </c>
      <c r="E3078" t="s">
        <v>14</v>
      </c>
      <c r="F3078" t="s">
        <v>20</v>
      </c>
      <c r="K3078">
        <v>1</v>
      </c>
      <c r="L3078">
        <v>1</v>
      </c>
      <c r="P3078">
        <v>1</v>
      </c>
      <c r="T3078">
        <v>1</v>
      </c>
      <c r="X3078">
        <v>1</v>
      </c>
      <c r="AB3078">
        <v>2</v>
      </c>
      <c r="AE3078">
        <v>1</v>
      </c>
      <c r="AI3078">
        <v>1</v>
      </c>
      <c r="AM3078">
        <v>1</v>
      </c>
      <c r="AO3078">
        <v>1</v>
      </c>
      <c r="BA3078">
        <f>SUM(Pre[[#This Row],[1]:[46]])</f>
        <v>11</v>
      </c>
    </row>
    <row r="3079" spans="1:53" x14ac:dyDescent="0.2">
      <c r="A3079" t="s">
        <v>62</v>
      </c>
      <c r="B3079" t="s">
        <v>54</v>
      </c>
      <c r="C3079">
        <v>13070</v>
      </c>
      <c r="D3079" t="s">
        <v>22</v>
      </c>
      <c r="E3079" t="s">
        <v>14</v>
      </c>
      <c r="F3079" t="s">
        <v>20</v>
      </c>
      <c r="G3079">
        <v>1</v>
      </c>
      <c r="K3079">
        <v>1</v>
      </c>
      <c r="Q3079">
        <v>1</v>
      </c>
      <c r="T3079">
        <v>1</v>
      </c>
      <c r="X3079">
        <v>1</v>
      </c>
      <c r="BA3079">
        <f>SUM(Pre[[#This Row],[1]:[46]])</f>
        <v>5</v>
      </c>
    </row>
    <row r="3080" spans="1:53" x14ac:dyDescent="0.2">
      <c r="A3080" t="s">
        <v>62</v>
      </c>
      <c r="B3080" t="s">
        <v>54</v>
      </c>
      <c r="C3080">
        <v>17188</v>
      </c>
      <c r="D3080" t="s">
        <v>7</v>
      </c>
      <c r="E3080" t="s">
        <v>10</v>
      </c>
      <c r="F3080" t="s">
        <v>11</v>
      </c>
      <c r="AX3080">
        <v>1</v>
      </c>
      <c r="BA3080">
        <f>SUM(Pre[[#This Row],[1]:[46]])</f>
        <v>1</v>
      </c>
    </row>
    <row r="3081" spans="1:53" x14ac:dyDescent="0.2">
      <c r="A3081" t="s">
        <v>62</v>
      </c>
      <c r="B3081" t="s">
        <v>54</v>
      </c>
      <c r="C3081">
        <v>7734</v>
      </c>
      <c r="D3081" t="s">
        <v>7</v>
      </c>
      <c r="E3081" t="s">
        <v>14</v>
      </c>
      <c r="F3081" t="s">
        <v>31</v>
      </c>
      <c r="AJ3081">
        <v>1</v>
      </c>
      <c r="BA3081">
        <f>SUM(Pre[[#This Row],[1]:[46]])</f>
        <v>1</v>
      </c>
    </row>
    <row r="3082" spans="1:53" x14ac:dyDescent="0.2">
      <c r="A3082" t="s">
        <v>62</v>
      </c>
      <c r="B3082" t="s">
        <v>54</v>
      </c>
      <c r="C3082">
        <v>7734</v>
      </c>
      <c r="D3082" t="s">
        <v>7</v>
      </c>
      <c r="E3082" t="s">
        <v>14</v>
      </c>
      <c r="F3082" t="s">
        <v>28</v>
      </c>
      <c r="G3082">
        <v>1</v>
      </c>
      <c r="T3082">
        <v>2</v>
      </c>
      <c r="AJ3082">
        <v>1</v>
      </c>
      <c r="AT3082">
        <v>1</v>
      </c>
      <c r="AX3082">
        <v>1</v>
      </c>
      <c r="BA3082">
        <f>SUM(Pre[[#This Row],[1]:[46]])</f>
        <v>6</v>
      </c>
    </row>
    <row r="3083" spans="1:53" x14ac:dyDescent="0.2">
      <c r="A3083" t="s">
        <v>62</v>
      </c>
      <c r="B3083" t="s">
        <v>54</v>
      </c>
      <c r="C3083">
        <v>663</v>
      </c>
      <c r="D3083" t="s">
        <v>22</v>
      </c>
      <c r="E3083" t="s">
        <v>10</v>
      </c>
      <c r="F3083" t="s">
        <v>11</v>
      </c>
      <c r="AD3083">
        <v>1</v>
      </c>
      <c r="AK3083">
        <v>1</v>
      </c>
      <c r="BA3083">
        <f>SUM(Pre[[#This Row],[1]:[46]])</f>
        <v>2</v>
      </c>
    </row>
    <row r="3084" spans="1:53" x14ac:dyDescent="0.2">
      <c r="A3084" t="s">
        <v>62</v>
      </c>
      <c r="B3084" t="s">
        <v>54</v>
      </c>
      <c r="C3084">
        <v>663</v>
      </c>
      <c r="D3084" t="s">
        <v>22</v>
      </c>
      <c r="E3084" t="s">
        <v>14</v>
      </c>
      <c r="F3084" t="s">
        <v>19</v>
      </c>
      <c r="AK3084">
        <v>1</v>
      </c>
      <c r="AM3084">
        <v>1</v>
      </c>
      <c r="AR3084">
        <v>1</v>
      </c>
      <c r="AW3084">
        <v>1</v>
      </c>
      <c r="BA3084">
        <f>SUM(Pre[[#This Row],[1]:[46]])</f>
        <v>4</v>
      </c>
    </row>
    <row r="3085" spans="1:53" x14ac:dyDescent="0.2">
      <c r="A3085" t="s">
        <v>62</v>
      </c>
      <c r="B3085" t="s">
        <v>54</v>
      </c>
      <c r="C3085">
        <v>6323</v>
      </c>
      <c r="D3085" t="s">
        <v>22</v>
      </c>
      <c r="E3085" t="s">
        <v>14</v>
      </c>
      <c r="F3085" t="s">
        <v>20</v>
      </c>
      <c r="N3085">
        <v>1</v>
      </c>
      <c r="AB3085">
        <v>1</v>
      </c>
      <c r="AN3085">
        <v>1</v>
      </c>
      <c r="BA3085">
        <f>SUM(Pre[[#This Row],[1]:[46]])</f>
        <v>3</v>
      </c>
    </row>
    <row r="3086" spans="1:53" x14ac:dyDescent="0.2">
      <c r="A3086" t="s">
        <v>62</v>
      </c>
      <c r="B3086" t="s">
        <v>54</v>
      </c>
      <c r="C3086">
        <v>10200</v>
      </c>
      <c r="D3086" t="s">
        <v>22</v>
      </c>
      <c r="E3086" t="s">
        <v>14</v>
      </c>
      <c r="F3086" t="s">
        <v>20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1</v>
      </c>
      <c r="AP3086">
        <v>1</v>
      </c>
      <c r="AQ3086">
        <v>1</v>
      </c>
      <c r="AR3086">
        <v>1</v>
      </c>
      <c r="AS3086">
        <v>1</v>
      </c>
      <c r="AT3086">
        <v>1</v>
      </c>
      <c r="AU3086">
        <v>1</v>
      </c>
      <c r="AV3086">
        <v>1</v>
      </c>
      <c r="AW3086">
        <v>1</v>
      </c>
      <c r="AX3086">
        <v>1</v>
      </c>
      <c r="AY3086">
        <v>1</v>
      </c>
      <c r="AZ3086">
        <v>1</v>
      </c>
      <c r="BA3086">
        <f>SUM(Pre[[#This Row],[1]:[46]])</f>
        <v>46</v>
      </c>
    </row>
    <row r="3087" spans="1:53" x14ac:dyDescent="0.2">
      <c r="A3087" t="s">
        <v>62</v>
      </c>
      <c r="B3087" t="s">
        <v>54</v>
      </c>
      <c r="C3087">
        <v>19144</v>
      </c>
      <c r="D3087" t="s">
        <v>22</v>
      </c>
      <c r="E3087" t="s">
        <v>14</v>
      </c>
      <c r="F3087" t="s">
        <v>20</v>
      </c>
      <c r="H3087">
        <v>1</v>
      </c>
      <c r="V3087">
        <v>1</v>
      </c>
      <c r="AK3087">
        <v>1</v>
      </c>
      <c r="AW3087">
        <v>1</v>
      </c>
      <c r="BA3087">
        <f>SUM(Pre[[#This Row],[1]:[46]])</f>
        <v>4</v>
      </c>
    </row>
    <row r="3088" spans="1:53" x14ac:dyDescent="0.2">
      <c r="A3088" t="s">
        <v>62</v>
      </c>
      <c r="B3088" t="s">
        <v>54</v>
      </c>
      <c r="C3088">
        <v>6109</v>
      </c>
      <c r="D3088" t="s">
        <v>7</v>
      </c>
      <c r="E3088" t="s">
        <v>8</v>
      </c>
      <c r="F3088" t="s">
        <v>23</v>
      </c>
      <c r="Q3088">
        <v>1</v>
      </c>
      <c r="AC3088">
        <v>1</v>
      </c>
      <c r="AP3088">
        <v>1</v>
      </c>
      <c r="BA3088">
        <f>SUM(Pre[[#This Row],[1]:[46]])</f>
        <v>3</v>
      </c>
    </row>
    <row r="3089" spans="1:53" x14ac:dyDescent="0.2">
      <c r="A3089" t="s">
        <v>62</v>
      </c>
      <c r="B3089" t="s">
        <v>54</v>
      </c>
      <c r="C3089">
        <v>6437</v>
      </c>
      <c r="D3089" t="s">
        <v>7</v>
      </c>
      <c r="E3089" t="s">
        <v>8</v>
      </c>
      <c r="F3089" t="s">
        <v>9</v>
      </c>
      <c r="J3089">
        <v>1</v>
      </c>
      <c r="W3089">
        <v>1</v>
      </c>
      <c r="AJ3089">
        <v>1</v>
      </c>
      <c r="AU3089">
        <v>2</v>
      </c>
      <c r="BA3089">
        <f>SUM(Pre[[#This Row],[1]:[46]])</f>
        <v>5</v>
      </c>
    </row>
    <row r="3090" spans="1:53" x14ac:dyDescent="0.2">
      <c r="A3090" t="s">
        <v>62</v>
      </c>
      <c r="B3090" t="s">
        <v>54</v>
      </c>
      <c r="C3090">
        <v>10039</v>
      </c>
      <c r="D3090" t="s">
        <v>7</v>
      </c>
      <c r="E3090" t="s">
        <v>8</v>
      </c>
      <c r="F3090" t="s">
        <v>29</v>
      </c>
      <c r="J3090">
        <v>1</v>
      </c>
      <c r="W3090">
        <v>1</v>
      </c>
      <c r="AP3090">
        <v>1</v>
      </c>
      <c r="AZ3090">
        <v>1</v>
      </c>
      <c r="BA3090">
        <f>SUM(Pre[[#This Row],[1]:[46]])</f>
        <v>4</v>
      </c>
    </row>
    <row r="3091" spans="1:53" x14ac:dyDescent="0.2">
      <c r="A3091" t="s">
        <v>62</v>
      </c>
      <c r="B3091" t="s">
        <v>54</v>
      </c>
      <c r="C3091">
        <v>806</v>
      </c>
      <c r="D3091" t="s">
        <v>22</v>
      </c>
      <c r="E3091" t="s">
        <v>8</v>
      </c>
      <c r="F3091" t="s">
        <v>23</v>
      </c>
      <c r="AC3091">
        <v>1</v>
      </c>
      <c r="AG3091">
        <v>1</v>
      </c>
      <c r="AQ3091">
        <v>1</v>
      </c>
      <c r="BA3091">
        <f>SUM(Pre[[#This Row],[1]:[46]])</f>
        <v>3</v>
      </c>
    </row>
    <row r="3092" spans="1:53" x14ac:dyDescent="0.2">
      <c r="A3092" t="s">
        <v>62</v>
      </c>
      <c r="B3092" t="s">
        <v>54</v>
      </c>
      <c r="C3092">
        <v>2190</v>
      </c>
      <c r="D3092" t="s">
        <v>22</v>
      </c>
      <c r="E3092" t="s">
        <v>8</v>
      </c>
      <c r="F3092" t="s">
        <v>23</v>
      </c>
      <c r="L3092">
        <v>1</v>
      </c>
      <c r="Z3092">
        <v>1</v>
      </c>
      <c r="AN3092">
        <v>1</v>
      </c>
      <c r="AO3092">
        <v>2</v>
      </c>
      <c r="BA3092">
        <f>SUM(Pre[[#This Row],[1]:[46]])</f>
        <v>5</v>
      </c>
    </row>
    <row r="3093" spans="1:53" x14ac:dyDescent="0.2">
      <c r="A3093" t="s">
        <v>62</v>
      </c>
      <c r="B3093" t="s">
        <v>54</v>
      </c>
      <c r="C3093">
        <v>3502</v>
      </c>
      <c r="D3093" t="s">
        <v>22</v>
      </c>
      <c r="E3093" t="s">
        <v>8</v>
      </c>
      <c r="F3093" t="s">
        <v>23</v>
      </c>
      <c r="AS3093">
        <v>1</v>
      </c>
      <c r="BA3093">
        <f>SUM(Pre[[#This Row],[1]:[46]])</f>
        <v>1</v>
      </c>
    </row>
    <row r="3094" spans="1:53" x14ac:dyDescent="0.2">
      <c r="A3094" t="s">
        <v>62</v>
      </c>
      <c r="B3094" t="s">
        <v>54</v>
      </c>
      <c r="C3094">
        <v>5315</v>
      </c>
      <c r="D3094" t="s">
        <v>22</v>
      </c>
      <c r="E3094" t="s">
        <v>8</v>
      </c>
      <c r="F3094" t="s">
        <v>45</v>
      </c>
      <c r="J3094">
        <v>1</v>
      </c>
      <c r="O3094">
        <v>1</v>
      </c>
      <c r="T3094">
        <v>2</v>
      </c>
      <c r="Y3094">
        <v>1</v>
      </c>
      <c r="AD3094">
        <v>1</v>
      </c>
      <c r="AG3094">
        <v>1</v>
      </c>
      <c r="AH3094">
        <v>1</v>
      </c>
      <c r="AN3094">
        <v>1</v>
      </c>
      <c r="AU3094">
        <v>1</v>
      </c>
      <c r="BA3094">
        <f>SUM(Pre[[#This Row],[1]:[46]])</f>
        <v>10</v>
      </c>
    </row>
    <row r="3095" spans="1:53" x14ac:dyDescent="0.2">
      <c r="A3095" t="s">
        <v>62</v>
      </c>
      <c r="B3095" t="s">
        <v>54</v>
      </c>
      <c r="C3095">
        <v>5387</v>
      </c>
      <c r="D3095" t="s">
        <v>22</v>
      </c>
      <c r="E3095" t="s">
        <v>8</v>
      </c>
      <c r="F3095" t="s">
        <v>29</v>
      </c>
      <c r="T3095">
        <v>1</v>
      </c>
      <c r="Z3095">
        <v>2</v>
      </c>
      <c r="AJ3095">
        <v>2</v>
      </c>
      <c r="BA3095">
        <f>SUM(Pre[[#This Row],[1]:[46]])</f>
        <v>5</v>
      </c>
    </row>
    <row r="3096" spans="1:53" x14ac:dyDescent="0.2">
      <c r="A3096" t="s">
        <v>62</v>
      </c>
      <c r="B3096" t="s">
        <v>54</v>
      </c>
      <c r="C3096">
        <v>5990</v>
      </c>
      <c r="D3096" t="s">
        <v>22</v>
      </c>
      <c r="E3096" t="s">
        <v>8</v>
      </c>
      <c r="F3096" t="s">
        <v>23</v>
      </c>
      <c r="AN3096">
        <v>1</v>
      </c>
      <c r="BA3096">
        <f>SUM(Pre[[#This Row],[1]:[46]])</f>
        <v>1</v>
      </c>
    </row>
    <row r="3097" spans="1:53" x14ac:dyDescent="0.2">
      <c r="A3097" t="s">
        <v>62</v>
      </c>
      <c r="B3097" t="s">
        <v>54</v>
      </c>
      <c r="C3097">
        <v>6060</v>
      </c>
      <c r="D3097" t="s">
        <v>22</v>
      </c>
      <c r="E3097" t="s">
        <v>8</v>
      </c>
      <c r="F3097" t="s">
        <v>9</v>
      </c>
      <c r="Q3097">
        <v>1</v>
      </c>
      <c r="AE3097">
        <v>1</v>
      </c>
      <c r="AT3097">
        <v>1</v>
      </c>
      <c r="BA3097">
        <f>SUM(Pre[[#This Row],[1]:[46]])</f>
        <v>3</v>
      </c>
    </row>
    <row r="3098" spans="1:53" x14ac:dyDescent="0.2">
      <c r="A3098" t="s">
        <v>62</v>
      </c>
      <c r="B3098" t="s">
        <v>54</v>
      </c>
      <c r="C3098">
        <v>7727</v>
      </c>
      <c r="D3098" t="s">
        <v>22</v>
      </c>
      <c r="E3098" t="s">
        <v>8</v>
      </c>
      <c r="F3098" t="s">
        <v>29</v>
      </c>
      <c r="J3098">
        <v>1</v>
      </c>
      <c r="X3098">
        <v>1</v>
      </c>
      <c r="AO3098">
        <v>2</v>
      </c>
      <c r="BA3098">
        <f>SUM(Pre[[#This Row],[1]:[46]])</f>
        <v>4</v>
      </c>
    </row>
    <row r="3099" spans="1:53" x14ac:dyDescent="0.2">
      <c r="A3099" t="s">
        <v>62</v>
      </c>
      <c r="B3099" t="s">
        <v>54</v>
      </c>
      <c r="C3099">
        <v>8305</v>
      </c>
      <c r="D3099" t="s">
        <v>22</v>
      </c>
      <c r="E3099" t="s">
        <v>8</v>
      </c>
      <c r="F3099" t="s">
        <v>23</v>
      </c>
      <c r="Q3099">
        <v>1</v>
      </c>
      <c r="AC3099">
        <v>1</v>
      </c>
      <c r="AW3099">
        <v>1</v>
      </c>
      <c r="BA3099">
        <f>SUM(Pre[[#This Row],[1]:[46]])</f>
        <v>3</v>
      </c>
    </row>
    <row r="3100" spans="1:53" x14ac:dyDescent="0.2">
      <c r="A3100" t="s">
        <v>62</v>
      </c>
      <c r="B3100" t="s">
        <v>54</v>
      </c>
      <c r="C3100">
        <v>10753</v>
      </c>
      <c r="D3100" t="s">
        <v>22</v>
      </c>
      <c r="E3100" t="s">
        <v>8</v>
      </c>
      <c r="F3100" t="s">
        <v>23</v>
      </c>
      <c r="N3100">
        <v>1</v>
      </c>
      <c r="O3100">
        <v>1</v>
      </c>
      <c r="T3100">
        <v>1</v>
      </c>
      <c r="AD3100">
        <v>1</v>
      </c>
      <c r="AS3100">
        <v>1</v>
      </c>
      <c r="BA3100">
        <f>SUM(Pre[[#This Row],[1]:[46]])</f>
        <v>5</v>
      </c>
    </row>
    <row r="3101" spans="1:53" x14ac:dyDescent="0.2">
      <c r="A3101" t="s">
        <v>62</v>
      </c>
      <c r="B3101" t="s">
        <v>54</v>
      </c>
      <c r="C3101">
        <v>11249</v>
      </c>
      <c r="D3101" t="s">
        <v>22</v>
      </c>
      <c r="E3101" t="s">
        <v>8</v>
      </c>
      <c r="F3101" t="s">
        <v>29</v>
      </c>
      <c r="I3101">
        <v>1</v>
      </c>
      <c r="W3101">
        <v>1</v>
      </c>
      <c r="AK3101">
        <v>1</v>
      </c>
      <c r="AW3101">
        <v>1</v>
      </c>
      <c r="BA3101">
        <f>SUM(Pre[[#This Row],[1]:[46]])</f>
        <v>4</v>
      </c>
    </row>
    <row r="3102" spans="1:53" x14ac:dyDescent="0.2">
      <c r="A3102" t="s">
        <v>62</v>
      </c>
      <c r="B3102" t="s">
        <v>54</v>
      </c>
      <c r="C3102">
        <v>13044</v>
      </c>
      <c r="D3102" t="s">
        <v>22</v>
      </c>
      <c r="E3102" t="s">
        <v>8</v>
      </c>
      <c r="F3102" t="s">
        <v>9</v>
      </c>
      <c r="AJ3102">
        <v>1</v>
      </c>
      <c r="BA3102">
        <f>SUM(Pre[[#This Row],[1]:[46]])</f>
        <v>1</v>
      </c>
    </row>
    <row r="3103" spans="1:53" x14ac:dyDescent="0.2">
      <c r="A3103" t="s">
        <v>62</v>
      </c>
      <c r="B3103" t="s">
        <v>54</v>
      </c>
      <c r="C3103">
        <v>13582</v>
      </c>
      <c r="D3103" t="s">
        <v>22</v>
      </c>
      <c r="E3103" t="s">
        <v>8</v>
      </c>
      <c r="F3103" t="s">
        <v>9</v>
      </c>
      <c r="J3103">
        <v>1</v>
      </c>
      <c r="Y3103">
        <v>1</v>
      </c>
      <c r="AM3103">
        <v>1</v>
      </c>
      <c r="BA3103">
        <f>SUM(Pre[[#This Row],[1]:[46]])</f>
        <v>3</v>
      </c>
    </row>
    <row r="3104" spans="1:53" x14ac:dyDescent="0.2">
      <c r="A3104" t="s">
        <v>62</v>
      </c>
      <c r="B3104" t="s">
        <v>54</v>
      </c>
      <c r="C3104">
        <v>14126</v>
      </c>
      <c r="D3104" t="s">
        <v>22</v>
      </c>
      <c r="E3104" t="s">
        <v>8</v>
      </c>
      <c r="F3104" t="s">
        <v>23</v>
      </c>
      <c r="Y3104">
        <v>1</v>
      </c>
      <c r="AL3104">
        <v>1</v>
      </c>
      <c r="BA3104">
        <f>SUM(Pre[[#This Row],[1]:[46]])</f>
        <v>2</v>
      </c>
    </row>
    <row r="3105" spans="1:53" x14ac:dyDescent="0.2">
      <c r="A3105" t="s">
        <v>62</v>
      </c>
      <c r="B3105" t="s">
        <v>54</v>
      </c>
      <c r="C3105">
        <v>17187</v>
      </c>
      <c r="D3105" t="s">
        <v>22</v>
      </c>
      <c r="E3105" t="s">
        <v>37</v>
      </c>
      <c r="F3105" t="s">
        <v>39</v>
      </c>
      <c r="BA3105">
        <f>SUM(Pre[[#This Row],[1]:[46]])</f>
        <v>0</v>
      </c>
    </row>
    <row r="3106" spans="1:53" x14ac:dyDescent="0.2">
      <c r="A3106" t="s">
        <v>62</v>
      </c>
      <c r="B3106" t="s">
        <v>54</v>
      </c>
      <c r="C3106">
        <v>17187</v>
      </c>
      <c r="D3106" t="s">
        <v>22</v>
      </c>
      <c r="E3106" t="s">
        <v>37</v>
      </c>
      <c r="F3106" t="s">
        <v>38</v>
      </c>
      <c r="BA3106">
        <f>SUM(Pre[[#This Row],[1]:[46]])</f>
        <v>0</v>
      </c>
    </row>
    <row r="3107" spans="1:53" x14ac:dyDescent="0.2">
      <c r="A3107" t="s">
        <v>62</v>
      </c>
      <c r="B3107" t="s">
        <v>54</v>
      </c>
      <c r="C3107">
        <v>17187</v>
      </c>
      <c r="D3107" t="s">
        <v>22</v>
      </c>
      <c r="E3107" t="s">
        <v>8</v>
      </c>
      <c r="F3107" t="s">
        <v>23</v>
      </c>
      <c r="AE3107">
        <v>1</v>
      </c>
      <c r="BA3107">
        <f>SUM(Pre[[#This Row],[1]:[46]])</f>
        <v>1</v>
      </c>
    </row>
    <row r="3108" spans="1:53" x14ac:dyDescent="0.2">
      <c r="A3108" t="s">
        <v>62</v>
      </c>
      <c r="B3108" t="s">
        <v>54</v>
      </c>
      <c r="C3108">
        <v>17554</v>
      </c>
      <c r="D3108" t="s">
        <v>22</v>
      </c>
      <c r="E3108" t="s">
        <v>8</v>
      </c>
      <c r="F3108" t="s">
        <v>23</v>
      </c>
      <c r="R3108">
        <v>1</v>
      </c>
      <c r="AF3108">
        <v>1</v>
      </c>
      <c r="AT3108">
        <v>1</v>
      </c>
      <c r="BA3108">
        <f>SUM(Pre[[#This Row],[1]:[46]])</f>
        <v>3</v>
      </c>
    </row>
    <row r="3109" spans="1:53" x14ac:dyDescent="0.2">
      <c r="A3109" t="s">
        <v>62</v>
      </c>
      <c r="B3109" t="s">
        <v>54</v>
      </c>
      <c r="C3109">
        <v>19214</v>
      </c>
      <c r="D3109" t="s">
        <v>22</v>
      </c>
      <c r="E3109" t="s">
        <v>8</v>
      </c>
      <c r="F3109" t="s">
        <v>23</v>
      </c>
      <c r="T3109">
        <v>1</v>
      </c>
      <c r="AL3109">
        <v>1</v>
      </c>
      <c r="BA3109">
        <f>SUM(Pre[[#This Row],[1]:[46]])</f>
        <v>2</v>
      </c>
    </row>
    <row r="3110" spans="1:53" x14ac:dyDescent="0.2">
      <c r="A3110" t="s">
        <v>62</v>
      </c>
      <c r="B3110" t="s">
        <v>54</v>
      </c>
      <c r="C3110">
        <v>21273</v>
      </c>
      <c r="D3110" t="s">
        <v>22</v>
      </c>
      <c r="E3110" t="s">
        <v>37</v>
      </c>
      <c r="F3110" t="s">
        <v>39</v>
      </c>
      <c r="K3110">
        <v>1</v>
      </c>
      <c r="S3110">
        <v>1</v>
      </c>
      <c r="AC3110">
        <v>1</v>
      </c>
      <c r="AL3110">
        <v>1</v>
      </c>
      <c r="AT3110">
        <v>1</v>
      </c>
      <c r="BA3110">
        <f>SUM(Pre[[#This Row],[1]:[46]])</f>
        <v>5</v>
      </c>
    </row>
    <row r="3111" spans="1:53" x14ac:dyDescent="0.2">
      <c r="A3111" t="s">
        <v>62</v>
      </c>
      <c r="B3111" t="s">
        <v>54</v>
      </c>
      <c r="C3111">
        <v>21273</v>
      </c>
      <c r="D3111" t="s">
        <v>22</v>
      </c>
      <c r="E3111" t="s">
        <v>37</v>
      </c>
      <c r="F3111" t="s">
        <v>38</v>
      </c>
      <c r="AL3111">
        <v>1</v>
      </c>
      <c r="BA3111">
        <f>SUM(Pre[[#This Row],[1]:[46]])</f>
        <v>1</v>
      </c>
    </row>
    <row r="3112" spans="1:53" x14ac:dyDescent="0.2">
      <c r="A3112" t="s">
        <v>62</v>
      </c>
      <c r="B3112" t="s">
        <v>54</v>
      </c>
      <c r="C3112">
        <v>21767</v>
      </c>
      <c r="D3112" t="s">
        <v>22</v>
      </c>
      <c r="E3112" t="s">
        <v>8</v>
      </c>
      <c r="F3112" t="s">
        <v>23</v>
      </c>
      <c r="M3112">
        <v>1</v>
      </c>
      <c r="AD3112">
        <v>1</v>
      </c>
      <c r="AO3112">
        <v>1</v>
      </c>
      <c r="BA3112">
        <f>SUM(Pre[[#This Row],[1]:[46]])</f>
        <v>3</v>
      </c>
    </row>
    <row r="3113" spans="1:53" x14ac:dyDescent="0.2">
      <c r="A3113" t="s">
        <v>62</v>
      </c>
      <c r="B3113" t="s">
        <v>54</v>
      </c>
      <c r="C3113">
        <v>23597</v>
      </c>
      <c r="D3113" t="s">
        <v>22</v>
      </c>
      <c r="E3113" t="s">
        <v>8</v>
      </c>
      <c r="F3113" t="s">
        <v>23</v>
      </c>
      <c r="N3113">
        <v>1</v>
      </c>
      <c r="AA3113">
        <v>1</v>
      </c>
      <c r="BA3113">
        <f>SUM(Pre[[#This Row],[1]:[46]])</f>
        <v>2</v>
      </c>
    </row>
    <row r="3114" spans="1:53" x14ac:dyDescent="0.2">
      <c r="A3114" t="s">
        <v>62</v>
      </c>
      <c r="B3114" t="s">
        <v>54</v>
      </c>
      <c r="C3114">
        <v>23616</v>
      </c>
      <c r="D3114" t="s">
        <v>22</v>
      </c>
      <c r="E3114" t="s">
        <v>8</v>
      </c>
      <c r="F3114" t="s">
        <v>23</v>
      </c>
      <c r="R3114">
        <v>1</v>
      </c>
      <c r="AI3114">
        <v>1</v>
      </c>
      <c r="AW3114">
        <v>1</v>
      </c>
      <c r="BA3114">
        <f>SUM(Pre[[#This Row],[1]:[46]])</f>
        <v>3</v>
      </c>
    </row>
    <row r="3115" spans="1:53" x14ac:dyDescent="0.2">
      <c r="A3115" t="s">
        <v>62</v>
      </c>
      <c r="B3115" t="s">
        <v>54</v>
      </c>
      <c r="C3115">
        <v>27386</v>
      </c>
      <c r="D3115" t="s">
        <v>22</v>
      </c>
      <c r="E3115" t="s">
        <v>8</v>
      </c>
      <c r="F3115" t="s">
        <v>23</v>
      </c>
      <c r="BA3115">
        <f>SUM(Pre[[#This Row],[1]:[46]])</f>
        <v>0</v>
      </c>
    </row>
    <row r="3116" spans="1:53" x14ac:dyDescent="0.2">
      <c r="A3116" t="s">
        <v>62</v>
      </c>
      <c r="B3116" t="s">
        <v>54</v>
      </c>
      <c r="C3116">
        <v>28384</v>
      </c>
      <c r="D3116" t="s">
        <v>22</v>
      </c>
      <c r="E3116" t="s">
        <v>8</v>
      </c>
      <c r="F3116" t="s">
        <v>29</v>
      </c>
      <c r="Q3116">
        <v>1</v>
      </c>
      <c r="BA3116">
        <f>SUM(Pre[[#This Row],[1]:[46]])</f>
        <v>1</v>
      </c>
    </row>
    <row r="3117" spans="1:53" x14ac:dyDescent="0.2">
      <c r="A3117" t="s">
        <v>62</v>
      </c>
      <c r="B3117" t="s">
        <v>54</v>
      </c>
      <c r="C3117">
        <v>28872</v>
      </c>
      <c r="D3117" t="s">
        <v>22</v>
      </c>
      <c r="E3117" t="s">
        <v>8</v>
      </c>
      <c r="F3117" t="s">
        <v>23</v>
      </c>
      <c r="P3117">
        <v>1</v>
      </c>
      <c r="AA3117">
        <v>1</v>
      </c>
      <c r="AP3117">
        <v>1</v>
      </c>
      <c r="BA3117">
        <f>SUM(Pre[[#This Row],[1]:[46]])</f>
        <v>3</v>
      </c>
    </row>
    <row r="3118" spans="1:53" x14ac:dyDescent="0.2">
      <c r="A3118" t="s">
        <v>62</v>
      </c>
      <c r="B3118" t="s">
        <v>54</v>
      </c>
      <c r="C3118">
        <v>33099</v>
      </c>
      <c r="D3118" t="s">
        <v>22</v>
      </c>
      <c r="E3118" t="s">
        <v>8</v>
      </c>
      <c r="F3118" t="s">
        <v>29</v>
      </c>
      <c r="K3118">
        <v>1</v>
      </c>
      <c r="W3118">
        <v>1</v>
      </c>
      <c r="AJ3118">
        <v>1</v>
      </c>
      <c r="AW3118">
        <v>1</v>
      </c>
      <c r="BA3118">
        <f>SUM(Pre[[#This Row],[1]:[46]])</f>
        <v>4</v>
      </c>
    </row>
    <row r="3119" spans="1:53" x14ac:dyDescent="0.2">
      <c r="A3119" t="s">
        <v>62</v>
      </c>
      <c r="B3119" t="s">
        <v>54</v>
      </c>
      <c r="C3119">
        <v>5938</v>
      </c>
      <c r="D3119" t="s">
        <v>7</v>
      </c>
      <c r="E3119" t="s">
        <v>8</v>
      </c>
      <c r="F3119" t="s">
        <v>23</v>
      </c>
      <c r="W3119">
        <v>1</v>
      </c>
      <c r="AL3119">
        <v>1</v>
      </c>
      <c r="BA3119">
        <f>SUM(Pre[[#This Row],[1]:[46]])</f>
        <v>2</v>
      </c>
    </row>
    <row r="3120" spans="1:53" x14ac:dyDescent="0.2">
      <c r="A3120" t="s">
        <v>62</v>
      </c>
      <c r="B3120" t="s">
        <v>54</v>
      </c>
      <c r="C3120">
        <v>6247</v>
      </c>
      <c r="D3120" t="s">
        <v>7</v>
      </c>
      <c r="E3120" t="s">
        <v>8</v>
      </c>
      <c r="F3120" t="s">
        <v>23</v>
      </c>
      <c r="T3120">
        <v>2</v>
      </c>
      <c r="AH3120">
        <v>1</v>
      </c>
      <c r="AU3120">
        <v>1</v>
      </c>
      <c r="BA3120">
        <f>SUM(Pre[[#This Row],[1]:[46]])</f>
        <v>4</v>
      </c>
    </row>
    <row r="3121" spans="1:53" x14ac:dyDescent="0.2">
      <c r="A3121" t="s">
        <v>62</v>
      </c>
      <c r="B3121" t="s">
        <v>54</v>
      </c>
      <c r="C3121">
        <v>7271</v>
      </c>
      <c r="D3121" t="s">
        <v>7</v>
      </c>
      <c r="E3121" t="s">
        <v>8</v>
      </c>
      <c r="F3121" t="s">
        <v>29</v>
      </c>
      <c r="Q3121">
        <v>1</v>
      </c>
      <c r="AD3121">
        <v>1</v>
      </c>
      <c r="AO3121">
        <v>1</v>
      </c>
      <c r="AQ3121">
        <v>1</v>
      </c>
      <c r="BA3121">
        <f>SUM(Pre[[#This Row],[1]:[46]])</f>
        <v>4</v>
      </c>
    </row>
    <row r="3122" spans="1:53" x14ac:dyDescent="0.2">
      <c r="A3122" t="s">
        <v>62</v>
      </c>
      <c r="B3122" t="s">
        <v>54</v>
      </c>
      <c r="C3122">
        <v>8695</v>
      </c>
      <c r="D3122" t="s">
        <v>7</v>
      </c>
      <c r="E3122" t="s">
        <v>8</v>
      </c>
      <c r="F3122" t="s">
        <v>23</v>
      </c>
      <c r="R3122">
        <v>1</v>
      </c>
      <c r="BA3122">
        <f>SUM(Pre[[#This Row],[1]:[46]])</f>
        <v>1</v>
      </c>
    </row>
    <row r="3123" spans="1:53" x14ac:dyDescent="0.2">
      <c r="A3123" t="s">
        <v>62</v>
      </c>
      <c r="B3123" t="s">
        <v>54</v>
      </c>
      <c r="C3123">
        <v>9740</v>
      </c>
      <c r="D3123" t="s">
        <v>7</v>
      </c>
      <c r="E3123" t="s">
        <v>8</v>
      </c>
      <c r="F3123" t="s">
        <v>9</v>
      </c>
      <c r="O3123">
        <v>1</v>
      </c>
      <c r="S3123">
        <v>1</v>
      </c>
      <c r="BA3123">
        <f>SUM(Pre[[#This Row],[1]:[46]])</f>
        <v>2</v>
      </c>
    </row>
    <row r="3124" spans="1:53" x14ac:dyDescent="0.2">
      <c r="A3124" t="s">
        <v>62</v>
      </c>
      <c r="B3124" t="s">
        <v>54</v>
      </c>
      <c r="C3124">
        <v>9740</v>
      </c>
      <c r="D3124" t="s">
        <v>7</v>
      </c>
      <c r="E3124" t="s">
        <v>8</v>
      </c>
      <c r="F3124" t="s">
        <v>29</v>
      </c>
      <c r="W3124">
        <v>1</v>
      </c>
      <c r="BA3124">
        <f>SUM(Pre[[#This Row],[1]:[46]])</f>
        <v>1</v>
      </c>
    </row>
    <row r="3125" spans="1:53" x14ac:dyDescent="0.2">
      <c r="A3125" t="s">
        <v>62</v>
      </c>
      <c r="B3125" t="s">
        <v>54</v>
      </c>
      <c r="C3125">
        <v>10114</v>
      </c>
      <c r="D3125" t="s">
        <v>7</v>
      </c>
      <c r="E3125" t="s">
        <v>8</v>
      </c>
      <c r="F3125" t="s">
        <v>23</v>
      </c>
      <c r="K3125">
        <v>1</v>
      </c>
      <c r="AB3125">
        <v>1</v>
      </c>
      <c r="AR3125">
        <v>1</v>
      </c>
      <c r="BA3125">
        <f>SUM(Pre[[#This Row],[1]:[46]])</f>
        <v>3</v>
      </c>
    </row>
    <row r="3126" spans="1:53" x14ac:dyDescent="0.2">
      <c r="A3126" t="s">
        <v>62</v>
      </c>
      <c r="B3126" t="s">
        <v>54</v>
      </c>
      <c r="C3126">
        <v>21772</v>
      </c>
      <c r="D3126" t="s">
        <v>7</v>
      </c>
      <c r="E3126" t="s">
        <v>8</v>
      </c>
      <c r="F3126" t="s">
        <v>23</v>
      </c>
      <c r="M3126">
        <v>1</v>
      </c>
      <c r="Z3126">
        <v>1</v>
      </c>
      <c r="BA3126">
        <f>SUM(Pre[[#This Row],[1]:[46]])</f>
        <v>2</v>
      </c>
    </row>
    <row r="3127" spans="1:53" x14ac:dyDescent="0.2">
      <c r="A3127" t="s">
        <v>62</v>
      </c>
      <c r="B3127" t="s">
        <v>54</v>
      </c>
      <c r="C3127">
        <v>3607</v>
      </c>
      <c r="D3127" t="s">
        <v>22</v>
      </c>
      <c r="E3127" t="s">
        <v>8</v>
      </c>
      <c r="F3127" t="s">
        <v>29</v>
      </c>
      <c r="H3127">
        <v>1</v>
      </c>
      <c r="V3127">
        <v>1</v>
      </c>
      <c r="AI3127">
        <v>1</v>
      </c>
      <c r="AU3127">
        <v>1</v>
      </c>
      <c r="BA3127">
        <f>SUM(Pre[[#This Row],[1]:[46]])</f>
        <v>4</v>
      </c>
    </row>
    <row r="3128" spans="1:53" x14ac:dyDescent="0.2">
      <c r="A3128" t="s">
        <v>62</v>
      </c>
      <c r="B3128" t="s">
        <v>54</v>
      </c>
      <c r="C3128">
        <v>5444</v>
      </c>
      <c r="D3128" t="s">
        <v>22</v>
      </c>
      <c r="E3128" t="s">
        <v>8</v>
      </c>
      <c r="F3128" t="s">
        <v>9</v>
      </c>
      <c r="V3128">
        <v>1</v>
      </c>
      <c r="AB3128">
        <v>1</v>
      </c>
      <c r="AY3128">
        <v>1</v>
      </c>
      <c r="BA3128">
        <f>SUM(Pre[[#This Row],[1]:[46]])</f>
        <v>3</v>
      </c>
    </row>
    <row r="3129" spans="1:53" x14ac:dyDescent="0.2">
      <c r="A3129" t="s">
        <v>62</v>
      </c>
      <c r="B3129" t="s">
        <v>54</v>
      </c>
      <c r="C3129">
        <v>6083</v>
      </c>
      <c r="D3129" t="s">
        <v>22</v>
      </c>
      <c r="E3129" t="s">
        <v>8</v>
      </c>
      <c r="F3129" t="s">
        <v>23</v>
      </c>
      <c r="P3129">
        <v>1</v>
      </c>
      <c r="AE3129">
        <v>1</v>
      </c>
      <c r="AT3129">
        <v>1</v>
      </c>
      <c r="BA3129">
        <f>SUM(Pre[[#This Row],[1]:[46]])</f>
        <v>3</v>
      </c>
    </row>
    <row r="3130" spans="1:53" x14ac:dyDescent="0.2">
      <c r="A3130" t="s">
        <v>62</v>
      </c>
      <c r="B3130" t="s">
        <v>54</v>
      </c>
      <c r="C3130">
        <v>7311</v>
      </c>
      <c r="D3130" t="s">
        <v>22</v>
      </c>
      <c r="E3130" t="s">
        <v>8</v>
      </c>
      <c r="F3130" t="s">
        <v>23</v>
      </c>
      <c r="U3130">
        <v>1</v>
      </c>
      <c r="AI3130">
        <v>1</v>
      </c>
      <c r="AY3130">
        <v>1</v>
      </c>
      <c r="BA3130">
        <f>SUM(Pre[[#This Row],[1]:[46]])</f>
        <v>3</v>
      </c>
    </row>
    <row r="3131" spans="1:53" x14ac:dyDescent="0.2">
      <c r="A3131" t="s">
        <v>62</v>
      </c>
      <c r="B3131" t="s">
        <v>54</v>
      </c>
      <c r="C3131">
        <v>9706</v>
      </c>
      <c r="D3131" t="s">
        <v>22</v>
      </c>
      <c r="E3131" t="s">
        <v>8</v>
      </c>
      <c r="F3131" t="s">
        <v>23</v>
      </c>
      <c r="O3131">
        <v>2</v>
      </c>
      <c r="U3131">
        <v>1</v>
      </c>
      <c r="AH3131">
        <v>2</v>
      </c>
      <c r="AP3131">
        <v>1</v>
      </c>
      <c r="AS3131">
        <v>1</v>
      </c>
      <c r="BA3131">
        <f>SUM(Pre[[#This Row],[1]:[46]])</f>
        <v>7</v>
      </c>
    </row>
    <row r="3132" spans="1:53" x14ac:dyDescent="0.2">
      <c r="A3132" t="s">
        <v>62</v>
      </c>
      <c r="B3132" t="s">
        <v>54</v>
      </c>
      <c r="C3132">
        <v>9706</v>
      </c>
      <c r="D3132" t="s">
        <v>22</v>
      </c>
      <c r="E3132" t="s">
        <v>26</v>
      </c>
      <c r="F3132" t="s">
        <v>27</v>
      </c>
      <c r="AM3132">
        <v>2</v>
      </c>
      <c r="AR3132">
        <v>1</v>
      </c>
      <c r="BA3132">
        <f>SUM(Pre[[#This Row],[1]:[46]])</f>
        <v>3</v>
      </c>
    </row>
    <row r="3133" spans="1:53" x14ac:dyDescent="0.2">
      <c r="A3133" t="s">
        <v>62</v>
      </c>
      <c r="B3133" t="s">
        <v>54</v>
      </c>
      <c r="C3133">
        <v>10565</v>
      </c>
      <c r="D3133" t="s">
        <v>22</v>
      </c>
      <c r="E3133" t="s">
        <v>8</v>
      </c>
      <c r="F3133" t="s">
        <v>23</v>
      </c>
      <c r="R3133">
        <v>1</v>
      </c>
      <c r="AE3133">
        <v>1</v>
      </c>
      <c r="BA3133">
        <f>SUM(Pre[[#This Row],[1]:[46]])</f>
        <v>2</v>
      </c>
    </row>
    <row r="3134" spans="1:53" x14ac:dyDescent="0.2">
      <c r="A3134" t="s">
        <v>62</v>
      </c>
      <c r="B3134" t="s">
        <v>54</v>
      </c>
      <c r="C3134">
        <v>10705</v>
      </c>
      <c r="D3134" t="s">
        <v>22</v>
      </c>
      <c r="E3134" t="s">
        <v>8</v>
      </c>
      <c r="F3134" t="s">
        <v>23</v>
      </c>
      <c r="U3134">
        <v>1</v>
      </c>
      <c r="AA3134">
        <v>1</v>
      </c>
      <c r="BA3134">
        <f>SUM(Pre[[#This Row],[1]:[46]])</f>
        <v>2</v>
      </c>
    </row>
    <row r="3135" spans="1:53" x14ac:dyDescent="0.2">
      <c r="A3135" t="s">
        <v>62</v>
      </c>
      <c r="B3135" t="s">
        <v>54</v>
      </c>
      <c r="C3135">
        <v>13066</v>
      </c>
      <c r="D3135" t="s">
        <v>22</v>
      </c>
      <c r="E3135" t="s">
        <v>8</v>
      </c>
      <c r="F3135" t="s">
        <v>29</v>
      </c>
      <c r="BA3135">
        <f>SUM(Pre[[#This Row],[1]:[46]])</f>
        <v>0</v>
      </c>
    </row>
    <row r="3136" spans="1:53" x14ac:dyDescent="0.2">
      <c r="A3136" t="s">
        <v>147</v>
      </c>
      <c r="G3136">
        <f>SUBTOTAL(109,Pre[1])</f>
        <v>320</v>
      </c>
      <c r="H3136">
        <f>SUBTOTAL(109,Pre[2])</f>
        <v>308</v>
      </c>
      <c r="I3136">
        <f>SUBTOTAL(109,Pre[3])</f>
        <v>314</v>
      </c>
      <c r="J3136">
        <f>SUBTOTAL(109,Pre[4])</f>
        <v>307</v>
      </c>
      <c r="K3136">
        <f>SUBTOTAL(109,Pre[5])</f>
        <v>319</v>
      </c>
      <c r="L3136">
        <f>SUBTOTAL(109,Pre[6])</f>
        <v>297</v>
      </c>
      <c r="M3136">
        <f>SUBTOTAL(109,Pre[7])</f>
        <v>307</v>
      </c>
      <c r="N3136">
        <f>SUBTOTAL(109,Pre[8])</f>
        <v>279</v>
      </c>
      <c r="O3136">
        <f>SUBTOTAL(109,Pre[9])</f>
        <v>316</v>
      </c>
      <c r="P3136">
        <f>SUBTOTAL(109,Pre[10])</f>
        <v>320</v>
      </c>
      <c r="Q3136">
        <f>SUBTOTAL(109,Pre[11])</f>
        <v>336</v>
      </c>
      <c r="R3136">
        <f>SUBTOTAL(109,Pre[12])</f>
        <v>313</v>
      </c>
      <c r="S3136">
        <f>SUBTOTAL(109,Pre[13])</f>
        <v>334</v>
      </c>
      <c r="T3136">
        <f>SUBTOTAL(109,Pre[14])</f>
        <v>330</v>
      </c>
      <c r="U3136">
        <f>SUBTOTAL(109,Pre[15])</f>
        <v>361</v>
      </c>
      <c r="V3136">
        <f>SUBTOTAL(109,Pre[16])</f>
        <v>300</v>
      </c>
      <c r="W3136">
        <f>SUBTOTAL(109,Pre[17])</f>
        <v>329</v>
      </c>
      <c r="X3136">
        <f>SUBTOTAL(109,Pre[18])</f>
        <v>338</v>
      </c>
      <c r="Y3136">
        <f>SUBTOTAL(109,Pre[19])</f>
        <v>370</v>
      </c>
      <c r="Z3136">
        <f>SUBTOTAL(109,Pre[20])</f>
        <v>312</v>
      </c>
      <c r="AA3136">
        <f>SUBTOTAL(109,Pre[21])</f>
        <v>287</v>
      </c>
      <c r="AB3136">
        <f>SUBTOTAL(109,Pre[22])</f>
        <v>324</v>
      </c>
      <c r="AC3136">
        <f>SUBTOTAL(109,Pre[23])</f>
        <v>308</v>
      </c>
      <c r="AD3136">
        <f>SUBTOTAL(109,Pre[24])</f>
        <v>362</v>
      </c>
      <c r="AE3136">
        <f>SUBTOTAL(109,Pre[25])</f>
        <v>345</v>
      </c>
      <c r="AF3136">
        <f>SUBTOTAL(109,Pre[26])</f>
        <v>305</v>
      </c>
      <c r="AG3136">
        <f>SUBTOTAL(109,Pre[27])</f>
        <v>363</v>
      </c>
      <c r="AH3136">
        <f>SUBTOTAL(109,Pre[28])</f>
        <v>318</v>
      </c>
      <c r="AI3136">
        <f>SUBTOTAL(109,Pre[29])</f>
        <v>326</v>
      </c>
      <c r="AJ3136">
        <f>SUBTOTAL(109,Pre[30])</f>
        <v>329</v>
      </c>
      <c r="AK3136">
        <f>SUBTOTAL(109,Pre[31])</f>
        <v>312</v>
      </c>
      <c r="AL3136">
        <f>SUBTOTAL(109,Pre[32])</f>
        <v>337</v>
      </c>
      <c r="AM3136">
        <f>SUBTOTAL(109,Pre[33])</f>
        <v>338</v>
      </c>
      <c r="AN3136">
        <f>SUBTOTAL(109,Pre[34])</f>
        <v>330</v>
      </c>
      <c r="AO3136">
        <f>SUBTOTAL(109,Pre[35])</f>
        <v>323</v>
      </c>
      <c r="AP3136">
        <f>SUBTOTAL(109,Pre[36])</f>
        <v>320</v>
      </c>
      <c r="AQ3136">
        <f>SUBTOTAL(109,Pre[37])</f>
        <v>338</v>
      </c>
      <c r="AR3136">
        <f>SUBTOTAL(109,Pre[38])</f>
        <v>330</v>
      </c>
      <c r="AS3136">
        <f>SUBTOTAL(109,Pre[39])</f>
        <v>301</v>
      </c>
      <c r="AT3136">
        <f>SUBTOTAL(109,Pre[40])</f>
        <v>349</v>
      </c>
      <c r="AU3136">
        <f>SUBTOTAL(109,Pre[41])</f>
        <v>290</v>
      </c>
      <c r="AV3136">
        <f>SUBTOTAL(109,Pre[42])</f>
        <v>346</v>
      </c>
      <c r="AW3136">
        <f>SUBTOTAL(109,Pre[43])</f>
        <v>370</v>
      </c>
      <c r="AX3136">
        <f>SUBTOTAL(109,Pre[44])</f>
        <v>327</v>
      </c>
      <c r="AY3136">
        <f>SUBTOTAL(109,Pre[45])</f>
        <v>290</v>
      </c>
      <c r="AZ3136">
        <f>SUBTOTAL(109,Pre[46])</f>
        <v>297</v>
      </c>
      <c r="BA3136">
        <f>SUBTOTAL(109,Pre[SCRIPTS])</f>
        <v>14875</v>
      </c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0E39-2371-C443-944F-31E7EE6D78C5}">
  <dimension ref="A2:X26"/>
  <sheetViews>
    <sheetView workbookViewId="0">
      <selection activeCell="B19" sqref="B19"/>
    </sheetView>
  </sheetViews>
  <sheetFormatPr baseColWidth="10" defaultRowHeight="15" x14ac:dyDescent="0.2"/>
  <cols>
    <col min="1" max="1" width="67.1640625" bestFit="1" customWidth="1"/>
    <col min="2" max="2" width="14.83203125" bestFit="1" customWidth="1"/>
    <col min="3" max="4" width="4.1640625" bestFit="1" customWidth="1"/>
    <col min="5" max="6" width="5.1640625" bestFit="1" customWidth="1"/>
    <col min="7" max="7" width="7.33203125" bestFit="1" customWidth="1"/>
    <col min="8" max="8" width="5.1640625" bestFit="1" customWidth="1"/>
    <col min="9" max="9" width="7.83203125" bestFit="1" customWidth="1"/>
    <col min="10" max="10" width="5.83203125" bestFit="1" customWidth="1"/>
    <col min="11" max="12" width="5.1640625" bestFit="1" customWidth="1"/>
    <col min="13" max="13" width="4.1640625" bestFit="1" customWidth="1"/>
    <col min="14" max="15" width="5.1640625" bestFit="1" customWidth="1"/>
    <col min="16" max="17" width="4.1640625" bestFit="1" customWidth="1"/>
    <col min="18" max="18" width="5.1640625" bestFit="1" customWidth="1"/>
    <col min="19" max="19" width="8.33203125" bestFit="1" customWidth="1"/>
    <col min="20" max="20" width="10" bestFit="1" customWidth="1"/>
    <col min="21" max="21" width="6.33203125" bestFit="1" customWidth="1"/>
    <col min="22" max="22" width="4.1640625" bestFit="1" customWidth="1"/>
    <col min="23" max="23" width="6.1640625" bestFit="1" customWidth="1"/>
    <col min="24" max="24" width="5.1640625" bestFit="1" customWidth="1"/>
    <col min="25" max="25" width="7" bestFit="1" customWidth="1"/>
    <col min="26" max="26" width="5.1640625" bestFit="1" customWidth="1"/>
    <col min="27" max="27" width="6.5" bestFit="1" customWidth="1"/>
    <col min="28" max="28" width="4.1640625" bestFit="1" customWidth="1"/>
    <col min="29" max="29" width="6.5" bestFit="1" customWidth="1"/>
    <col min="30" max="30" width="4.1640625" bestFit="1" customWidth="1"/>
    <col min="31" max="31" width="6.33203125" bestFit="1" customWidth="1"/>
    <col min="32" max="32" width="5.1640625" bestFit="1" customWidth="1"/>
    <col min="33" max="33" width="6.6640625" bestFit="1" customWidth="1"/>
    <col min="34" max="34" width="10" bestFit="1" customWidth="1"/>
    <col min="35" max="64" width="16.33203125" bestFit="1" customWidth="1"/>
    <col min="65" max="65" width="18.6640625" bestFit="1" customWidth="1"/>
    <col min="66" max="66" width="14.83203125" bestFit="1" customWidth="1"/>
    <col min="67" max="67" width="20.5" bestFit="1" customWidth="1"/>
    <col min="68" max="68" width="17" bestFit="1" customWidth="1"/>
  </cols>
  <sheetData>
    <row r="2" spans="1:24" x14ac:dyDescent="0.2">
      <c r="A2" s="8" t="s">
        <v>2</v>
      </c>
      <c r="B2" t="s">
        <v>152</v>
      </c>
    </row>
    <row r="4" spans="1:24" x14ac:dyDescent="0.2">
      <c r="A4" s="8" t="s">
        <v>151</v>
      </c>
      <c r="B4" s="8" t="s">
        <v>153</v>
      </c>
      <c r="V4" s="13" t="s">
        <v>158</v>
      </c>
      <c r="W4" s="12" t="s">
        <v>159</v>
      </c>
      <c r="X4" s="14" t="s">
        <v>160</v>
      </c>
    </row>
    <row r="5" spans="1:24" x14ac:dyDescent="0.2">
      <c r="B5" t="s">
        <v>6</v>
      </c>
      <c r="I5" t="s">
        <v>154</v>
      </c>
      <c r="J5" t="s">
        <v>54</v>
      </c>
      <c r="S5" t="s">
        <v>155</v>
      </c>
      <c r="T5" t="s">
        <v>150</v>
      </c>
    </row>
    <row r="6" spans="1:24" x14ac:dyDescent="0.2">
      <c r="A6" s="8" t="s">
        <v>149</v>
      </c>
      <c r="B6" t="s">
        <v>5</v>
      </c>
      <c r="C6" t="s">
        <v>42</v>
      </c>
      <c r="D6" t="s">
        <v>46</v>
      </c>
      <c r="E6" t="s">
        <v>48</v>
      </c>
      <c r="F6" t="s">
        <v>7</v>
      </c>
      <c r="G6" t="s">
        <v>50</v>
      </c>
      <c r="H6" t="s">
        <v>51</v>
      </c>
      <c r="J6" t="s">
        <v>53</v>
      </c>
      <c r="K6" t="s">
        <v>56</v>
      </c>
      <c r="L6" t="s">
        <v>57</v>
      </c>
      <c r="M6" t="s">
        <v>58</v>
      </c>
      <c r="N6" t="s">
        <v>22</v>
      </c>
      <c r="O6" t="s">
        <v>59</v>
      </c>
      <c r="P6" t="s">
        <v>60</v>
      </c>
      <c r="Q6" t="s">
        <v>61</v>
      </c>
      <c r="R6" t="s">
        <v>62</v>
      </c>
    </row>
    <row r="7" spans="1:24" x14ac:dyDescent="0.2">
      <c r="A7" s="9" t="s">
        <v>40</v>
      </c>
      <c r="B7">
        <v>2</v>
      </c>
      <c r="C7">
        <v>0</v>
      </c>
      <c r="D7">
        <v>2</v>
      </c>
      <c r="E7">
        <v>10</v>
      </c>
      <c r="F7">
        <v>6</v>
      </c>
      <c r="G7">
        <v>1</v>
      </c>
      <c r="H7">
        <v>4</v>
      </c>
      <c r="I7">
        <v>25</v>
      </c>
      <c r="K7">
        <v>18</v>
      </c>
      <c r="M7">
        <v>15</v>
      </c>
      <c r="O7">
        <v>9</v>
      </c>
      <c r="Q7">
        <v>2</v>
      </c>
      <c r="R7">
        <v>2</v>
      </c>
      <c r="S7">
        <v>46</v>
      </c>
      <c r="T7">
        <v>71</v>
      </c>
    </row>
    <row r="8" spans="1:24" x14ac:dyDescent="0.2">
      <c r="A8" s="9" t="s">
        <v>37</v>
      </c>
      <c r="B8">
        <v>15</v>
      </c>
      <c r="C8">
        <v>9</v>
      </c>
      <c r="D8">
        <v>2</v>
      </c>
      <c r="E8">
        <v>66</v>
      </c>
      <c r="F8">
        <v>22</v>
      </c>
      <c r="H8">
        <v>36</v>
      </c>
      <c r="I8">
        <v>150</v>
      </c>
      <c r="J8">
        <v>2</v>
      </c>
      <c r="K8">
        <v>19</v>
      </c>
      <c r="L8">
        <v>3</v>
      </c>
      <c r="M8">
        <v>18</v>
      </c>
      <c r="N8">
        <v>11</v>
      </c>
      <c r="O8">
        <v>15</v>
      </c>
      <c r="P8">
        <v>7</v>
      </c>
      <c r="Q8">
        <v>7</v>
      </c>
      <c r="R8">
        <v>6</v>
      </c>
      <c r="S8">
        <v>88</v>
      </c>
      <c r="T8">
        <v>238</v>
      </c>
      <c r="V8" t="s">
        <v>156</v>
      </c>
      <c r="W8" t="s">
        <v>157</v>
      </c>
    </row>
    <row r="9" spans="1:24" x14ac:dyDescent="0.2">
      <c r="A9" s="10" t="s">
        <v>10</v>
      </c>
      <c r="B9" s="11">
        <v>70</v>
      </c>
      <c r="C9" s="11">
        <v>18</v>
      </c>
      <c r="D9" s="11">
        <v>18</v>
      </c>
      <c r="E9" s="11">
        <v>22</v>
      </c>
      <c r="F9" s="11">
        <v>25</v>
      </c>
      <c r="G9" s="11">
        <v>15</v>
      </c>
      <c r="H9" s="11">
        <v>119</v>
      </c>
      <c r="I9" s="11">
        <v>287</v>
      </c>
      <c r="J9" s="14"/>
      <c r="K9" s="11">
        <v>25</v>
      </c>
      <c r="L9" s="13">
        <v>172</v>
      </c>
      <c r="M9" s="11">
        <v>27</v>
      </c>
      <c r="N9" s="11">
        <v>156</v>
      </c>
      <c r="O9" s="11">
        <v>56</v>
      </c>
      <c r="P9" s="12">
        <v>7</v>
      </c>
      <c r="Q9" s="11">
        <v>38</v>
      </c>
      <c r="R9" s="11">
        <v>103</v>
      </c>
      <c r="S9" s="11">
        <v>584</v>
      </c>
      <c r="T9" s="11">
        <v>871</v>
      </c>
      <c r="V9">
        <f>MAX(B9:H9,J9:R9)</f>
        <v>172</v>
      </c>
      <c r="W9">
        <f>MIN(B9:H9,J9:R9)</f>
        <v>7</v>
      </c>
    </row>
    <row r="10" spans="1:24" x14ac:dyDescent="0.2">
      <c r="A10" s="10" t="s">
        <v>8</v>
      </c>
      <c r="B10" s="11">
        <v>614</v>
      </c>
      <c r="C10" s="11">
        <v>151</v>
      </c>
      <c r="D10" s="11">
        <v>304</v>
      </c>
      <c r="E10" s="11">
        <v>723</v>
      </c>
      <c r="F10" s="11">
        <v>383</v>
      </c>
      <c r="G10" s="11">
        <v>134</v>
      </c>
      <c r="H10" s="11">
        <v>547</v>
      </c>
      <c r="I10" s="11">
        <v>2856</v>
      </c>
      <c r="J10" s="13">
        <v>64</v>
      </c>
      <c r="K10" s="11">
        <v>603</v>
      </c>
      <c r="L10" s="11">
        <v>505</v>
      </c>
      <c r="M10" s="11">
        <v>285</v>
      </c>
      <c r="N10" s="12">
        <v>776</v>
      </c>
      <c r="O10" s="11">
        <v>733</v>
      </c>
      <c r="P10" s="11">
        <v>210</v>
      </c>
      <c r="Q10" s="11">
        <v>473</v>
      </c>
      <c r="R10" s="11">
        <v>500</v>
      </c>
      <c r="S10" s="11">
        <v>4149</v>
      </c>
      <c r="T10" s="11">
        <v>7005</v>
      </c>
      <c r="V10">
        <f>MAX(B10:H10,J10:R10)</f>
        <v>776</v>
      </c>
      <c r="W10">
        <f>MIN(B10:H10,J10:R10)</f>
        <v>64</v>
      </c>
    </row>
    <row r="11" spans="1:24" x14ac:dyDescent="0.2">
      <c r="A11" s="9" t="s">
        <v>24</v>
      </c>
      <c r="B11">
        <v>22</v>
      </c>
      <c r="F11">
        <v>1</v>
      </c>
      <c r="I11">
        <v>23</v>
      </c>
      <c r="T11">
        <v>23</v>
      </c>
    </row>
    <row r="12" spans="1:24" x14ac:dyDescent="0.2">
      <c r="A12" s="9" t="s">
        <v>32</v>
      </c>
      <c r="B12">
        <v>11</v>
      </c>
      <c r="E12">
        <v>6</v>
      </c>
      <c r="F12">
        <v>56</v>
      </c>
      <c r="H12">
        <v>8</v>
      </c>
      <c r="I12">
        <v>81</v>
      </c>
      <c r="K12">
        <v>3</v>
      </c>
      <c r="L12">
        <v>9</v>
      </c>
      <c r="O12">
        <v>5</v>
      </c>
      <c r="P12">
        <v>9</v>
      </c>
      <c r="Q12">
        <v>0</v>
      </c>
      <c r="R12">
        <v>10</v>
      </c>
      <c r="S12">
        <v>36</v>
      </c>
      <c r="T12">
        <v>117</v>
      </c>
    </row>
    <row r="13" spans="1:24" x14ac:dyDescent="0.2">
      <c r="A13" s="9" t="s">
        <v>17</v>
      </c>
      <c r="B13">
        <v>13</v>
      </c>
      <c r="E13">
        <v>3</v>
      </c>
      <c r="F13">
        <v>62</v>
      </c>
      <c r="H13">
        <v>13</v>
      </c>
      <c r="I13">
        <v>91</v>
      </c>
      <c r="L13">
        <v>1</v>
      </c>
      <c r="O13">
        <v>1</v>
      </c>
      <c r="P13">
        <v>1</v>
      </c>
      <c r="Q13">
        <v>7</v>
      </c>
      <c r="R13">
        <v>13</v>
      </c>
      <c r="S13">
        <v>23</v>
      </c>
      <c r="T13">
        <v>114</v>
      </c>
    </row>
    <row r="14" spans="1:24" x14ac:dyDescent="0.2">
      <c r="A14" s="9" t="s">
        <v>26</v>
      </c>
      <c r="B14">
        <v>7</v>
      </c>
      <c r="D14">
        <v>10</v>
      </c>
      <c r="E14">
        <v>19</v>
      </c>
      <c r="F14">
        <v>3</v>
      </c>
      <c r="H14">
        <v>18</v>
      </c>
      <c r="I14">
        <v>57</v>
      </c>
      <c r="J14">
        <v>13</v>
      </c>
      <c r="K14">
        <v>57</v>
      </c>
      <c r="L14">
        <v>3</v>
      </c>
      <c r="M14">
        <v>7</v>
      </c>
      <c r="N14">
        <v>18</v>
      </c>
      <c r="O14">
        <v>9</v>
      </c>
      <c r="P14">
        <v>41</v>
      </c>
      <c r="R14">
        <v>6</v>
      </c>
      <c r="S14">
        <v>154</v>
      </c>
      <c r="T14">
        <v>211</v>
      </c>
    </row>
    <row r="15" spans="1:24" x14ac:dyDescent="0.2">
      <c r="A15" s="9" t="s">
        <v>12</v>
      </c>
      <c r="B15">
        <v>4</v>
      </c>
      <c r="D15">
        <v>11</v>
      </c>
      <c r="E15">
        <v>1</v>
      </c>
      <c r="F15">
        <v>4</v>
      </c>
      <c r="G15">
        <v>6</v>
      </c>
      <c r="H15">
        <v>4</v>
      </c>
      <c r="I15">
        <v>30</v>
      </c>
      <c r="K15">
        <v>2</v>
      </c>
      <c r="L15">
        <v>2</v>
      </c>
      <c r="N15">
        <v>1</v>
      </c>
      <c r="O15">
        <v>49</v>
      </c>
      <c r="Q15">
        <v>0</v>
      </c>
      <c r="R15">
        <v>2</v>
      </c>
      <c r="S15">
        <v>56</v>
      </c>
      <c r="T15">
        <v>86</v>
      </c>
    </row>
    <row r="16" spans="1:24" x14ac:dyDescent="0.2">
      <c r="A16" s="10" t="s">
        <v>14</v>
      </c>
      <c r="B16" s="11">
        <v>371</v>
      </c>
      <c r="C16" s="11">
        <v>293</v>
      </c>
      <c r="D16" s="11">
        <v>371</v>
      </c>
      <c r="E16" s="12">
        <v>764</v>
      </c>
      <c r="F16" s="11">
        <v>488</v>
      </c>
      <c r="G16" s="11">
        <v>73</v>
      </c>
      <c r="H16" s="11">
        <v>643</v>
      </c>
      <c r="I16" s="11">
        <v>3003</v>
      </c>
      <c r="J16" s="13">
        <v>3</v>
      </c>
      <c r="K16" s="11">
        <v>438</v>
      </c>
      <c r="L16" s="11">
        <v>654</v>
      </c>
      <c r="M16" s="11">
        <v>187</v>
      </c>
      <c r="N16" s="11">
        <v>356</v>
      </c>
      <c r="O16" s="11">
        <v>466</v>
      </c>
      <c r="P16" s="11">
        <v>217</v>
      </c>
      <c r="Q16" s="11">
        <v>316</v>
      </c>
      <c r="R16" s="11">
        <v>499</v>
      </c>
      <c r="S16" s="11">
        <v>3136</v>
      </c>
      <c r="T16" s="11">
        <v>6139</v>
      </c>
      <c r="V16">
        <f>MAX(B16:H16,J16:R16)</f>
        <v>764</v>
      </c>
      <c r="W16">
        <f>MIN(B16:H16,J16:R16)</f>
        <v>3</v>
      </c>
    </row>
    <row r="17" spans="1:23" x14ac:dyDescent="0.2">
      <c r="A17" s="9" t="s">
        <v>150</v>
      </c>
      <c r="B17">
        <v>1129</v>
      </c>
      <c r="C17">
        <v>471</v>
      </c>
      <c r="D17">
        <v>718</v>
      </c>
      <c r="E17">
        <v>1614</v>
      </c>
      <c r="F17">
        <v>1050</v>
      </c>
      <c r="G17">
        <v>229</v>
      </c>
      <c r="H17">
        <v>1392</v>
      </c>
      <c r="I17">
        <v>6603</v>
      </c>
      <c r="J17">
        <v>82</v>
      </c>
      <c r="K17">
        <v>1165</v>
      </c>
      <c r="L17">
        <v>1349</v>
      </c>
      <c r="M17">
        <v>539</v>
      </c>
      <c r="N17">
        <v>1318</v>
      </c>
      <c r="O17">
        <v>1343</v>
      </c>
      <c r="P17">
        <v>492</v>
      </c>
      <c r="Q17">
        <v>843</v>
      </c>
      <c r="R17">
        <v>1141</v>
      </c>
      <c r="S17">
        <v>8272</v>
      </c>
      <c r="T17">
        <v>14875</v>
      </c>
      <c r="W17" t="s">
        <v>161</v>
      </c>
    </row>
    <row r="19" spans="1:23" x14ac:dyDescent="0.2">
      <c r="A19" s="15" t="s">
        <v>162</v>
      </c>
      <c r="B19">
        <f>GETPIVOTDATA("SCRIPTS",$A$4,"DOCTOR","A","GROUPING","Jan","CATEGORY","H2-RECEPTOR ANTAGONISTS")/46</f>
        <v>1.5217391304347827</v>
      </c>
      <c r="C19">
        <f>GETPIVOTDATA("SCRIPTS",$A$4,"DOCTOR","B","GROUPING","Jan","CATEGORY","H2-RECEPTOR ANTAGONISTS")/46</f>
        <v>0.39130434782608697</v>
      </c>
      <c r="D19">
        <f>GETPIVOTDATA("SCRIPTS",$A$4,"DOCTOR","C","GROUPING","Jan","CATEGORY","H2-RECEPTOR ANTAGONISTS")/46</f>
        <v>0.39130434782608697</v>
      </c>
      <c r="E19">
        <f>GETPIVOTDATA("SCRIPTS",$A$4,"DOCTOR","E","GROUPING","Jan","CATEGORY","H2-RECEPTOR ANTAGONISTS")/46</f>
        <v>0.47826086956521741</v>
      </c>
      <c r="F19">
        <f>GETPIVOTDATA("SCRIPTS",$A$4,"DOCTOR","F","GROUPING","Jan","CATEGORY","H2-RECEPTOR ANTAGONISTS")/46</f>
        <v>0.54347826086956519</v>
      </c>
      <c r="G19">
        <f>GETPIVOTDATA("SCRIPTS",$A$4,"DOCTOR","G","GROUPING","Jan","CATEGORY","H2-RECEPTOR ANTAGONISTS")/46</f>
        <v>0.32608695652173914</v>
      </c>
      <c r="H19">
        <f>GETPIVOTDATA("SCRIPTS",$A$4,"DOCTOR","H","GROUPING","Jan","CATEGORY","H2-RECEPTOR ANTAGONISTS")/46</f>
        <v>2.5869565217391304</v>
      </c>
      <c r="I19">
        <f>GETPIVOTDATA("SCRIPTS",$A$4,"GROUPING","Jan","CATEGORY","H2-RECEPTOR ANTAGONISTS")/46</f>
        <v>6.2391304347826084</v>
      </c>
      <c r="J19">
        <f>GETPIVOTDATA("SCRIPTS",$A$4,"DOCTOR","I","GROUPING","Nov","CATEGORY","H2-RECEPTOR ANTAGONISTS")/46</f>
        <v>0</v>
      </c>
      <c r="K19">
        <f>GETPIVOTDATA("SCRIPTS",$A$4,"DOCTOR","J","GROUPING","Nov","CATEGORY","H2-RECEPTOR ANTAGONISTS")/46</f>
        <v>0.54347826086956519</v>
      </c>
      <c r="L19">
        <f>GETPIVOTDATA("SCRIPTS",$A$4,"DOCTOR","K","GROUPING","Nov","CATEGORY","H2-RECEPTOR ANTAGONISTS")/46</f>
        <v>3.7391304347826089</v>
      </c>
      <c r="M19">
        <f>GETPIVOTDATA("SCRIPTS",$A$4,"DOCTOR","L","GROUPING","Nov","CATEGORY","H2-RECEPTOR ANTAGONISTS")/46</f>
        <v>0.58695652173913049</v>
      </c>
      <c r="N19">
        <f>GETPIVOTDATA("SCRIPTS",$A$4,"DOCTOR","M","GROUPING","Nov","CATEGORY","H2-RECEPTOR ANTAGONISTS")/46</f>
        <v>3.3913043478260869</v>
      </c>
      <c r="O19">
        <f>GETPIVOTDATA("SCRIPTS",$A$4,"DOCTOR","N","GROUPING","Nov","CATEGORY","H2-RECEPTOR ANTAGONISTS")/46</f>
        <v>1.2173913043478262</v>
      </c>
      <c r="P19">
        <f>GETPIVOTDATA("SCRIPTS",$A$4,"DOCTOR","O","GROUPING","Nov","CATEGORY","H2-RECEPTOR ANTAGONISTS")/46</f>
        <v>0.15217391304347827</v>
      </c>
      <c r="Q19">
        <f>GETPIVOTDATA("SCRIPTS",$A$4,"DOCTOR","P","GROUPING","Nov","CATEGORY","H2-RECEPTOR ANTAGONISTS")/46</f>
        <v>0.82608695652173914</v>
      </c>
      <c r="R19">
        <f>GETPIVOTDATA("SCRIPTS",$A$4,"DOCTOR","Q","GROUPING","Nov","CATEGORY","H2-RECEPTOR ANTAGONISTS")/46</f>
        <v>2.2391304347826089</v>
      </c>
      <c r="S19">
        <f>GETPIVOTDATA("SCRIPTS",$A$4,"GROUPING","Nov","CATEGORY","H2-RECEPTOR ANTAGONISTS")/46</f>
        <v>12.695652173913043</v>
      </c>
      <c r="T19">
        <f>GETPIVOTDATA("SCRIPTS",$A$4,"CATEGORY","H2-RECEPTOR ANTAGONISTS")/46</f>
        <v>18.934782608695652</v>
      </c>
    </row>
    <row r="20" spans="1:23" x14ac:dyDescent="0.2">
      <c r="A20" s="15" t="s">
        <v>163</v>
      </c>
      <c r="B20">
        <f>GETPIVOTDATA("SCRIPTS",$A$4,"DOCTOR","A","GROUPING","Jan","CATEGORY","HMG COA REDUCTASE INHIBITORS")/46</f>
        <v>13.347826086956522</v>
      </c>
      <c r="C20">
        <f>GETPIVOTDATA("SCRIPTS",$A$4,"DOCTOR","B","GROUPING","Jan","CATEGORY","HMG COA REDUCTASE INHIBITORS")/46</f>
        <v>3.2826086956521738</v>
      </c>
      <c r="D20">
        <f>GETPIVOTDATA("SCRIPTS",$A$4,"DOCTOR","C","GROUPING","Jan","CATEGORY","HMG COA REDUCTASE INHIBITORS")/46</f>
        <v>6.6086956521739131</v>
      </c>
      <c r="E20">
        <f>GETPIVOTDATA("SCRIPTS",$A$4,"DOCTOR","E","GROUPING","Jan","CATEGORY","HMG COA REDUCTASE INHIBITORS")/46</f>
        <v>15.717391304347826</v>
      </c>
      <c r="F20">
        <f>GETPIVOTDATA("SCRIPTS",$A$4,"DOCTOR","F","GROUPING","Jan","CATEGORY","HMG COA REDUCTASE INHIBITORS")/46</f>
        <v>8.3260869565217384</v>
      </c>
      <c r="G20">
        <f>GETPIVOTDATA("SCRIPTS",$A$4,"DOCTOR","G","GROUPING","Jan","CATEGORY","HMG COA REDUCTASE INHIBITORS")/46</f>
        <v>2.9130434782608696</v>
      </c>
      <c r="H20">
        <f>GETPIVOTDATA("SCRIPTS",$A$4,"DOCTOR","H","GROUPING","Jan","CATEGORY","HMG COA REDUCTASE INHIBITORS")/46</f>
        <v>11.891304347826088</v>
      </c>
      <c r="I20">
        <f>GETPIVOTDATA("SCRIPTS",$A$4,"GROUPING","Jan","CATEGORY","HMG COA REDUCTASE INHIBITORS")/46</f>
        <v>62.086956521739133</v>
      </c>
      <c r="J20">
        <f>GETPIVOTDATA("SCRIPTS",$A$4,"DOCTOR","I","GROUPING","Nov","CATEGORY","HMG COA REDUCTASE INHIBITORS")/46</f>
        <v>1.3913043478260869</v>
      </c>
      <c r="K20">
        <f>GETPIVOTDATA("SCRIPTS",$A$4,"DOCTOR","J","GROUPING","Nov","CATEGORY","HMG COA REDUCTASE INHIBITORS")/46</f>
        <v>13.108695652173912</v>
      </c>
      <c r="L20">
        <f>GETPIVOTDATA("SCRIPTS",$A$4,"DOCTOR","K","GROUPING","Nov","CATEGORY","HMG COA REDUCTASE INHIBITORS")/46</f>
        <v>10.978260869565217</v>
      </c>
      <c r="M20">
        <f>GETPIVOTDATA("SCRIPTS",$A$4,"DOCTOR","L","GROUPING","Nov","CATEGORY","HMG COA REDUCTASE INHIBITORS")/46</f>
        <v>6.1956521739130439</v>
      </c>
      <c r="N20">
        <f>GETPIVOTDATA("SCRIPTS",$A$4,"DOCTOR","M","GROUPING","Nov","CATEGORY","HMG COA REDUCTASE INHIBITORS")/46</f>
        <v>16.869565217391305</v>
      </c>
      <c r="O20">
        <f>GETPIVOTDATA("SCRIPTS",$A$4,"DOCTOR","N","GROUPING","Nov","CATEGORY","HMG COA REDUCTASE INHIBITORS")/46</f>
        <v>15.934782608695652</v>
      </c>
      <c r="P20">
        <f>GETPIVOTDATA("SCRIPTS",$A$4,"DOCTOR","O","GROUPING","Nov","CATEGORY","HMG COA REDUCTASE INHIBITORS")/46</f>
        <v>4.5652173913043477</v>
      </c>
      <c r="Q20">
        <f>GETPIVOTDATA("SCRIPTS",$A$4,"DOCTOR","P","GROUPING","Nov","CATEGORY","HMG COA REDUCTASE INHIBITORS")/46</f>
        <v>10.282608695652174</v>
      </c>
      <c r="R20">
        <f>GETPIVOTDATA("SCRIPTS",$A$4,"DOCTOR","Q","GROUPING","Nov","CATEGORY","HMG COA REDUCTASE INHIBITORS")/46</f>
        <v>10.869565217391305</v>
      </c>
      <c r="S20">
        <f>GETPIVOTDATA("SCRIPTS",$A$4,"GROUPING","Nov","CATEGORY","HMG COA REDUCTASE INHIBITORS")/46</f>
        <v>90.195652173913047</v>
      </c>
      <c r="T20">
        <f>GETPIVOTDATA("SCRIPTS",$A$4,"CATEGORY","HMG COA REDUCTASE INHIBITORS")/46</f>
        <v>152.28260869565219</v>
      </c>
    </row>
    <row r="21" spans="1:23" x14ac:dyDescent="0.2">
      <c r="A21" s="15" t="s">
        <v>164</v>
      </c>
      <c r="B21">
        <f>GETPIVOTDATA("SCRIPTS",$A$4,"DOCTOR","A","GROUPING","Jan","CATEGORY","PROTON PUMP INHIBITORS")/46</f>
        <v>8.0652173913043477</v>
      </c>
      <c r="C21">
        <f>GETPIVOTDATA("SCRIPTS",$A$4,"DOCTOR","B","GROUPING","Jan","CATEGORY","PROTON PUMP INHIBITORS")/46</f>
        <v>6.3695652173913047</v>
      </c>
      <c r="D21">
        <f>GETPIVOTDATA("SCRIPTS",$A$4,"DOCTOR","C","GROUPING","Jan","CATEGORY","PROTON PUMP INHIBITORS")/46</f>
        <v>8.0652173913043477</v>
      </c>
      <c r="E21">
        <f>GETPIVOTDATA("SCRIPTS",$A$4,"DOCTOR","E","GROUPING","Jan","CATEGORY","PROTON PUMP INHIBITORS")/46</f>
        <v>16.608695652173914</v>
      </c>
      <c r="F21">
        <f>GETPIVOTDATA("SCRIPTS",$A$4,"DOCTOR","F","GROUPING","Jan","CATEGORY","PROTON PUMP INHIBITORS")/46</f>
        <v>10.608695652173912</v>
      </c>
      <c r="G21">
        <f>GETPIVOTDATA("SCRIPTS",$A$4,"DOCTOR","G","GROUPING","Jan","CATEGORY","PROTON PUMP INHIBITORS")/46</f>
        <v>1.5869565217391304</v>
      </c>
      <c r="H21">
        <f>GETPIVOTDATA("SCRIPTS",$A$4,"DOCTOR","H","GROUPING","Jan","CATEGORY","PROTON PUMP INHIBITORS")/46</f>
        <v>13.978260869565217</v>
      </c>
      <c r="I21">
        <f>GETPIVOTDATA("SCRIPTS",$A$4,"GROUPING","Jan","CATEGORY","HMG COA REDUCTASE INHIBITORS")/46</f>
        <v>62.086956521739133</v>
      </c>
      <c r="J21">
        <f>GETPIVOTDATA("SCRIPTS",$A$4,"DOCTOR","I","GROUPING","Nov","CATEGORY","PROTON PUMP INHIBITORS")/46</f>
        <v>6.5217391304347824E-2</v>
      </c>
      <c r="K21">
        <f>GETPIVOTDATA("SCRIPTS",$A$4,"DOCTOR","J","GROUPING","Nov","CATEGORY","PROTON PUMP INHIBITORS")/46</f>
        <v>9.5217391304347831</v>
      </c>
      <c r="L21">
        <f>GETPIVOTDATA("SCRIPTS",$A$4,"DOCTOR","K","GROUPING","Nov","CATEGORY","PROTON PUMP INHIBITORS")/46</f>
        <v>14.217391304347826</v>
      </c>
      <c r="M21">
        <f>GETPIVOTDATA("SCRIPTS",$A$4,"DOCTOR","L","GROUPING","Nov","CATEGORY","PROTON PUMP INHIBITORS")/46</f>
        <v>4.0652173913043477</v>
      </c>
      <c r="N21">
        <f>GETPIVOTDATA("SCRIPTS",$A$4,"DOCTOR","M","GROUPING","Nov","CATEGORY","PROTON PUMP INHIBITORS")/46</f>
        <v>7.7391304347826084</v>
      </c>
      <c r="O21">
        <f>GETPIVOTDATA("SCRIPTS",$A$4,"DOCTOR","N","GROUPING","Nov","CATEGORY","PROTON PUMP INHIBITORS")/46</f>
        <v>10.130434782608695</v>
      </c>
      <c r="P21">
        <f>GETPIVOTDATA("SCRIPTS",$A$4,"DOCTOR","O","GROUPING","Nov","CATEGORY","PROTON PUMP INHIBITORS")/46</f>
        <v>4.7173913043478262</v>
      </c>
      <c r="Q21">
        <f>GETPIVOTDATA("SCRIPTS",$A$4,"DOCTOR","P","GROUPING","Nov","CATEGORY","PROTON PUMP INHIBITORS")/46</f>
        <v>6.8695652173913047</v>
      </c>
      <c r="R21">
        <f>GETPIVOTDATA("SCRIPTS",$A$4,"DOCTOR","Q","GROUPING","Nov","CATEGORY","PROTON PUMP INHIBITORS")/46</f>
        <v>10.847826086956522</v>
      </c>
      <c r="S21">
        <f>GETPIVOTDATA("SCRIPTS",$A$4,"GROUPING","Nov","CATEGORY","PROTON PUMP INHIBITORS")/46</f>
        <v>68.173913043478265</v>
      </c>
      <c r="T21">
        <f>GETPIVOTDATA("SCRIPTS",$A$4,"CATEGORY","PROTON PUMP INHIBITORS")/46</f>
        <v>133.45652173913044</v>
      </c>
    </row>
    <row r="24" spans="1:23" x14ac:dyDescent="0.2">
      <c r="A24" s="15" t="s">
        <v>165</v>
      </c>
    </row>
    <row r="25" spans="1:23" x14ac:dyDescent="0.2">
      <c r="B25" t="s">
        <v>166</v>
      </c>
      <c r="C25" t="s">
        <v>168</v>
      </c>
    </row>
    <row r="26" spans="1:23" x14ac:dyDescent="0.2">
      <c r="B26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4407-8ECF-3D4A-B551-37E840992C0F}">
  <dimension ref="A1:AV41"/>
  <sheetViews>
    <sheetView topLeftCell="A10" zoomScale="51" workbookViewId="0">
      <selection activeCell="W48" sqref="W48"/>
    </sheetView>
  </sheetViews>
  <sheetFormatPr baseColWidth="10" defaultRowHeight="15" x14ac:dyDescent="0.2"/>
  <cols>
    <col min="1" max="1" width="67.1640625" bestFit="1" customWidth="1"/>
    <col min="2" max="10" width="4.6640625" bestFit="1" customWidth="1"/>
    <col min="11" max="47" width="5.6640625" bestFit="1" customWidth="1"/>
  </cols>
  <sheetData>
    <row r="1" spans="1:48" x14ac:dyDescent="0.2">
      <c r="A1" t="s">
        <v>148</v>
      </c>
    </row>
    <row r="2" spans="1:48" x14ac:dyDescent="0.2">
      <c r="A2" t="s">
        <v>3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</row>
    <row r="3" spans="1:48" x14ac:dyDescent="0.2">
      <c r="A3" t="s">
        <v>8</v>
      </c>
      <c r="B3">
        <f>SUMIFS(Pre[1],Pre[CATEGORY],Table11[[#This Row],[CATEGORY]])</f>
        <v>141</v>
      </c>
      <c r="C3">
        <f>SUMIFS(Pre[2],Pre[CATEGORY],Table11[[#This Row],[CATEGORY]])</f>
        <v>145</v>
      </c>
      <c r="D3">
        <f>SUMIFS(Pre[3],Pre[CATEGORY],Table11[[#This Row],[CATEGORY]])</f>
        <v>156</v>
      </c>
      <c r="E3">
        <f>SUMIFS(Pre[4],Pre[CATEGORY],Table11[[#This Row],[CATEGORY]])</f>
        <v>136</v>
      </c>
      <c r="F3">
        <f>SUMIFS(Pre[5],Pre[CATEGORY],Table11[[#This Row],[CATEGORY]])</f>
        <v>146</v>
      </c>
      <c r="G3">
        <f>SUMIFS(Pre[6],Pre[CATEGORY],Table11[[#This Row],[CATEGORY]])</f>
        <v>144</v>
      </c>
      <c r="H3">
        <f>SUMIFS(Pre[7],Pre[CATEGORY],Table11[[#This Row],[CATEGORY]])</f>
        <v>142</v>
      </c>
      <c r="I3">
        <f>SUMIFS(Pre[8],Pre[CATEGORY],Table11[[#This Row],[CATEGORY]])</f>
        <v>127</v>
      </c>
      <c r="J3">
        <f>SUMIFS(Pre[9],Pre[CATEGORY],Table11[[#This Row],[CATEGORY]])</f>
        <v>150</v>
      </c>
      <c r="K3">
        <f>SUMIFS(Pre[10],Pre[CATEGORY],Table11[[#This Row],[CATEGORY]])</f>
        <v>147</v>
      </c>
      <c r="L3">
        <f>SUMIFS(Pre[11],Pre[CATEGORY],Table11[[#This Row],[CATEGORY]])</f>
        <v>150</v>
      </c>
      <c r="M3">
        <f>SUMIFS(Pre[12],Pre[CATEGORY],Table11[[#This Row],[CATEGORY]])</f>
        <v>160</v>
      </c>
      <c r="N3">
        <f>SUMIFS(Pre[13],Pre[CATEGORY],Table11[[#This Row],[CATEGORY]])</f>
        <v>157</v>
      </c>
      <c r="O3">
        <f>SUMIFS(Pre[14],Pre[CATEGORY],Table11[[#This Row],[CATEGORY]])</f>
        <v>157</v>
      </c>
      <c r="P3">
        <f>SUMIFS(Pre[15],Pre[CATEGORY],Table11[[#This Row],[CATEGORY]])</f>
        <v>180</v>
      </c>
      <c r="Q3">
        <f>SUMIFS(Pre[16],Pre[CATEGORY],Table11[[#This Row],[CATEGORY]])</f>
        <v>143</v>
      </c>
      <c r="R3">
        <f>SUMIFS(Pre[17],Pre[CATEGORY],Table11[[#This Row],[CATEGORY]])</f>
        <v>150</v>
      </c>
      <c r="S3">
        <f>SUMIFS(Pre[18],Pre[CATEGORY],Table11[[#This Row],[CATEGORY]])</f>
        <v>149</v>
      </c>
      <c r="T3">
        <f>SUMIFS(Pre[19],Pre[CATEGORY],Table11[[#This Row],[CATEGORY]])</f>
        <v>184</v>
      </c>
      <c r="U3">
        <f>SUMIFS(Pre[20],Pre[CATEGORY],Table11[[#This Row],[CATEGORY]])</f>
        <v>149</v>
      </c>
      <c r="V3">
        <f>SUMIFS(Pre[21],Pre[CATEGORY],Table11[[#This Row],[CATEGORY]])</f>
        <v>131</v>
      </c>
      <c r="W3">
        <f>SUMIFS(Pre[22],Pre[CATEGORY],Table11[[#This Row],[CATEGORY]])</f>
        <v>138</v>
      </c>
      <c r="X3">
        <f>SUMIFS(Pre[23],Pre[CATEGORY],Table11[[#This Row],[CATEGORY]])</f>
        <v>154</v>
      </c>
      <c r="Y3">
        <f>SUMIFS(Pre[24],Pre[CATEGORY],Table11[[#This Row],[CATEGORY]])</f>
        <v>181</v>
      </c>
      <c r="Z3">
        <f>SUMIFS(Pre[25],Pre[CATEGORY],Table11[[#This Row],[CATEGORY]])</f>
        <v>162</v>
      </c>
      <c r="AA3">
        <f>SUMIFS(Pre[26],Pre[CATEGORY],Table11[[#This Row],[CATEGORY]])</f>
        <v>139</v>
      </c>
      <c r="AB3">
        <f>SUMIFS(Pre[27],Pre[CATEGORY],Table11[[#This Row],[CATEGORY]])</f>
        <v>166</v>
      </c>
      <c r="AC3">
        <f>SUMIFS(Pre[28],Pre[CATEGORY],Table11[[#This Row],[CATEGORY]])</f>
        <v>156</v>
      </c>
      <c r="AD3">
        <f>SUMIFS(Pre[29],Pre[CATEGORY],Table11[[#This Row],[CATEGORY]])</f>
        <v>165</v>
      </c>
      <c r="AE3">
        <f>SUMIFS(Pre[30],Pre[CATEGORY],Table11[[#This Row],[CATEGORY]])</f>
        <v>155</v>
      </c>
      <c r="AF3">
        <f>SUMIFS(Pre[31],Pre[CATEGORY],Table11[[#This Row],[CATEGORY]])</f>
        <v>135</v>
      </c>
      <c r="AG3">
        <f>SUMIFS(Pre[32],Pre[CATEGORY],Table11[[#This Row],[CATEGORY]])</f>
        <v>166</v>
      </c>
      <c r="AH3">
        <f>SUMIFS(Pre[33],Pre[CATEGORY],Table11[[#This Row],[CATEGORY]])</f>
        <v>157</v>
      </c>
      <c r="AI3">
        <f>SUMIFS(Pre[34],Pre[CATEGORY],Table11[[#This Row],[CATEGORY]])</f>
        <v>142</v>
      </c>
      <c r="AJ3">
        <f>SUMIFS(Pre[35],Pre[CATEGORY],Table11[[#This Row],[CATEGORY]])</f>
        <v>151</v>
      </c>
      <c r="AK3">
        <f>SUMIFS(Pre[36],Pre[CATEGORY],Table11[[#This Row],[CATEGORY]])</f>
        <v>151</v>
      </c>
      <c r="AL3">
        <f>SUMIFS(Pre[37],Pre[CATEGORY],Table11[[#This Row],[CATEGORY]])</f>
        <v>166</v>
      </c>
      <c r="AM3">
        <f>SUMIFS(Pre[38],Pre[CATEGORY],Table11[[#This Row],[CATEGORY]])</f>
        <v>145</v>
      </c>
      <c r="AN3">
        <f>SUMIFS(Pre[39],Pre[CATEGORY],Table11[[#This Row],[CATEGORY]])</f>
        <v>149</v>
      </c>
      <c r="AO3">
        <f>SUMIFS(Pre[40],Pre[CATEGORY],Table11[[#This Row],[CATEGORY]])</f>
        <v>181</v>
      </c>
      <c r="AP3">
        <f>SUMIFS(Pre[41],Pre[CATEGORY],Table11[[#This Row],[CATEGORY]])</f>
        <v>125</v>
      </c>
      <c r="AQ3">
        <f>SUMIFS(Pre[42],Pre[CATEGORY],Table11[[#This Row],[CATEGORY]])</f>
        <v>174</v>
      </c>
      <c r="AR3">
        <f>SUMIFS(Pre[43],Pre[CATEGORY],Table11[[#This Row],[CATEGORY]])</f>
        <v>166</v>
      </c>
      <c r="AS3">
        <f>SUMIFS(Pre[44],Pre[CATEGORY],Table11[[#This Row],[CATEGORY]])</f>
        <v>147</v>
      </c>
      <c r="AT3">
        <f>SUMIFS(Pre[45],Pre[CATEGORY],Table11[[#This Row],[CATEGORY]])</f>
        <v>147</v>
      </c>
      <c r="AU3">
        <f>SUMIFS(Pre[46],Pre[CATEGORY],Table11[[#This Row],[CATEGORY]])</f>
        <v>143</v>
      </c>
      <c r="AV3">
        <f>SUM(Table11[[#This Row],[1]:[46]])</f>
        <v>7005</v>
      </c>
    </row>
    <row r="4" spans="1:48" x14ac:dyDescent="0.2">
      <c r="A4" t="s">
        <v>10</v>
      </c>
      <c r="B4">
        <f>SUMIFS(Pre[1],Pre[CATEGORY],Table11[[#This Row],[CATEGORY]])</f>
        <v>14</v>
      </c>
      <c r="C4">
        <f>SUMIFS(Pre[2],Pre[CATEGORY],Table11[[#This Row],[CATEGORY]])</f>
        <v>23</v>
      </c>
      <c r="D4">
        <f>SUMIFS(Pre[3],Pre[CATEGORY],Table11[[#This Row],[CATEGORY]])</f>
        <v>23</v>
      </c>
      <c r="E4">
        <f>SUMIFS(Pre[4],Pre[CATEGORY],Table11[[#This Row],[CATEGORY]])</f>
        <v>22</v>
      </c>
      <c r="F4">
        <f>SUMIFS(Pre[5],Pre[CATEGORY],Table11[[#This Row],[CATEGORY]])</f>
        <v>16</v>
      </c>
      <c r="G4">
        <f>SUMIFS(Pre[6],Pre[CATEGORY],Table11[[#This Row],[CATEGORY]])</f>
        <v>10</v>
      </c>
      <c r="H4">
        <f>SUMIFS(Pre[7],Pre[CATEGORY],Table11[[#This Row],[CATEGORY]])</f>
        <v>19</v>
      </c>
      <c r="I4">
        <f>SUMIFS(Pre[8],Pre[CATEGORY],Table11[[#This Row],[CATEGORY]])</f>
        <v>18</v>
      </c>
      <c r="J4">
        <f>SUMIFS(Pre[9],Pre[CATEGORY],Table11[[#This Row],[CATEGORY]])</f>
        <v>14</v>
      </c>
      <c r="K4">
        <f>SUMIFS(Pre[10],Pre[CATEGORY],Table11[[#This Row],[CATEGORY]])</f>
        <v>17</v>
      </c>
      <c r="L4">
        <f>SUMIFS(Pre[11],Pre[CATEGORY],Table11[[#This Row],[CATEGORY]])</f>
        <v>18</v>
      </c>
      <c r="M4">
        <f>SUMIFS(Pre[12],Pre[CATEGORY],Table11[[#This Row],[CATEGORY]])</f>
        <v>15</v>
      </c>
      <c r="N4">
        <f>SUMIFS(Pre[13],Pre[CATEGORY],Table11[[#This Row],[CATEGORY]])</f>
        <v>16</v>
      </c>
      <c r="O4">
        <f>SUMIFS(Pre[14],Pre[CATEGORY],Table11[[#This Row],[CATEGORY]])</f>
        <v>12</v>
      </c>
      <c r="P4">
        <f>SUMIFS(Pre[15],Pre[CATEGORY],Table11[[#This Row],[CATEGORY]])</f>
        <v>22</v>
      </c>
      <c r="Q4">
        <f>SUMIFS(Pre[16],Pre[CATEGORY],Table11[[#This Row],[CATEGORY]])</f>
        <v>21</v>
      </c>
      <c r="R4">
        <f>SUMIFS(Pre[17],Pre[CATEGORY],Table11[[#This Row],[CATEGORY]])</f>
        <v>24</v>
      </c>
      <c r="S4">
        <f>SUMIFS(Pre[18],Pre[CATEGORY],Table11[[#This Row],[CATEGORY]])</f>
        <v>24</v>
      </c>
      <c r="T4">
        <f>SUMIFS(Pre[19],Pre[CATEGORY],Table11[[#This Row],[CATEGORY]])</f>
        <v>24</v>
      </c>
      <c r="U4">
        <f>SUMIFS(Pre[20],Pre[CATEGORY],Table11[[#This Row],[CATEGORY]])</f>
        <v>21</v>
      </c>
      <c r="V4">
        <f>SUMIFS(Pre[21],Pre[CATEGORY],Table11[[#This Row],[CATEGORY]])</f>
        <v>12</v>
      </c>
      <c r="W4">
        <f>SUMIFS(Pre[22],Pre[CATEGORY],Table11[[#This Row],[CATEGORY]])</f>
        <v>27</v>
      </c>
      <c r="X4">
        <f>SUMIFS(Pre[23],Pre[CATEGORY],Table11[[#This Row],[CATEGORY]])</f>
        <v>17</v>
      </c>
      <c r="Y4">
        <f>SUMIFS(Pre[24],Pre[CATEGORY],Table11[[#This Row],[CATEGORY]])</f>
        <v>18</v>
      </c>
      <c r="Z4">
        <f>SUMIFS(Pre[25],Pre[CATEGORY],Table11[[#This Row],[CATEGORY]])</f>
        <v>16</v>
      </c>
      <c r="AA4">
        <f>SUMIFS(Pre[26],Pre[CATEGORY],Table11[[#This Row],[CATEGORY]])</f>
        <v>17</v>
      </c>
      <c r="AB4">
        <f>SUMIFS(Pre[27],Pre[CATEGORY],Table11[[#This Row],[CATEGORY]])</f>
        <v>32</v>
      </c>
      <c r="AC4">
        <f>SUMIFS(Pre[28],Pre[CATEGORY],Table11[[#This Row],[CATEGORY]])</f>
        <v>14</v>
      </c>
      <c r="AD4">
        <f>SUMIFS(Pre[29],Pre[CATEGORY],Table11[[#This Row],[CATEGORY]])</f>
        <v>16</v>
      </c>
      <c r="AE4">
        <f>SUMIFS(Pre[30],Pre[CATEGORY],Table11[[#This Row],[CATEGORY]])</f>
        <v>15</v>
      </c>
      <c r="AF4">
        <f>SUMIFS(Pre[31],Pre[CATEGORY],Table11[[#This Row],[CATEGORY]])</f>
        <v>25</v>
      </c>
      <c r="AG4">
        <f>SUMIFS(Pre[32],Pre[CATEGORY],Table11[[#This Row],[CATEGORY]])</f>
        <v>20</v>
      </c>
      <c r="AH4">
        <f>SUMIFS(Pre[33],Pre[CATEGORY],Table11[[#This Row],[CATEGORY]])</f>
        <v>24</v>
      </c>
      <c r="AI4">
        <f>SUMIFS(Pre[34],Pre[CATEGORY],Table11[[#This Row],[CATEGORY]])</f>
        <v>18</v>
      </c>
      <c r="AJ4">
        <f>SUMIFS(Pre[35],Pre[CATEGORY],Table11[[#This Row],[CATEGORY]])</f>
        <v>24</v>
      </c>
      <c r="AK4">
        <f>SUMIFS(Pre[36],Pre[CATEGORY],Table11[[#This Row],[CATEGORY]])</f>
        <v>14</v>
      </c>
      <c r="AL4">
        <f>SUMIFS(Pre[37],Pre[CATEGORY],Table11[[#This Row],[CATEGORY]])</f>
        <v>21</v>
      </c>
      <c r="AM4">
        <f>SUMIFS(Pre[38],Pre[CATEGORY],Table11[[#This Row],[CATEGORY]])</f>
        <v>18</v>
      </c>
      <c r="AN4">
        <f>SUMIFS(Pre[39],Pre[CATEGORY],Table11[[#This Row],[CATEGORY]])</f>
        <v>16</v>
      </c>
      <c r="AO4">
        <f>SUMIFS(Pre[40],Pre[CATEGORY],Table11[[#This Row],[CATEGORY]])</f>
        <v>19</v>
      </c>
      <c r="AP4">
        <f>SUMIFS(Pre[41],Pre[CATEGORY],Table11[[#This Row],[CATEGORY]])</f>
        <v>20</v>
      </c>
      <c r="AQ4">
        <f>SUMIFS(Pre[42],Pre[CATEGORY],Table11[[#This Row],[CATEGORY]])</f>
        <v>18</v>
      </c>
      <c r="AR4">
        <f>SUMIFS(Pre[43],Pre[CATEGORY],Table11[[#This Row],[CATEGORY]])</f>
        <v>21</v>
      </c>
      <c r="AS4">
        <f>SUMIFS(Pre[44],Pre[CATEGORY],Table11[[#This Row],[CATEGORY]])</f>
        <v>18</v>
      </c>
      <c r="AT4">
        <f>SUMIFS(Pre[45],Pre[CATEGORY],Table11[[#This Row],[CATEGORY]])</f>
        <v>17</v>
      </c>
      <c r="AU4">
        <f>SUMIFS(Pre[46],Pre[CATEGORY],Table11[[#This Row],[CATEGORY]])</f>
        <v>21</v>
      </c>
      <c r="AV4">
        <f>SUM(Table11[[#This Row],[1]:[46]])</f>
        <v>871</v>
      </c>
    </row>
    <row r="5" spans="1:48" x14ac:dyDescent="0.2">
      <c r="A5" t="s">
        <v>12</v>
      </c>
      <c r="B5">
        <f>SUMIFS(Pre[1],Pre[CATEGORY],Table11[[#This Row],[CATEGORY]])</f>
        <v>1</v>
      </c>
      <c r="C5">
        <f>SUMIFS(Pre[2],Pre[CATEGORY],Table11[[#This Row],[CATEGORY]])</f>
        <v>1</v>
      </c>
      <c r="D5">
        <f>SUMIFS(Pre[3],Pre[CATEGORY],Table11[[#This Row],[CATEGORY]])</f>
        <v>1</v>
      </c>
      <c r="E5">
        <f>SUMIFS(Pre[4],Pre[CATEGORY],Table11[[#This Row],[CATEGORY]])</f>
        <v>3</v>
      </c>
      <c r="F5">
        <f>SUMIFS(Pre[5],Pre[CATEGORY],Table11[[#This Row],[CATEGORY]])</f>
        <v>1</v>
      </c>
      <c r="G5">
        <f>SUMIFS(Pre[6],Pre[CATEGORY],Table11[[#This Row],[CATEGORY]])</f>
        <v>2</v>
      </c>
      <c r="H5">
        <f>SUMIFS(Pre[7],Pre[CATEGORY],Table11[[#This Row],[CATEGORY]])</f>
        <v>1</v>
      </c>
      <c r="I5">
        <f>SUMIFS(Pre[8],Pre[CATEGORY],Table11[[#This Row],[CATEGORY]])</f>
        <v>1</v>
      </c>
      <c r="J5">
        <f>SUMIFS(Pre[9],Pre[CATEGORY],Table11[[#This Row],[CATEGORY]])</f>
        <v>2</v>
      </c>
      <c r="K5">
        <f>SUMIFS(Pre[10],Pre[CATEGORY],Table11[[#This Row],[CATEGORY]])</f>
        <v>3</v>
      </c>
      <c r="L5">
        <f>SUMIFS(Pre[11],Pre[CATEGORY],Table11[[#This Row],[CATEGORY]])</f>
        <v>2</v>
      </c>
      <c r="M5">
        <f>SUMIFS(Pre[12],Pre[CATEGORY],Table11[[#This Row],[CATEGORY]])</f>
        <v>1</v>
      </c>
      <c r="N5">
        <f>SUMIFS(Pre[13],Pre[CATEGORY],Table11[[#This Row],[CATEGORY]])</f>
        <v>3</v>
      </c>
      <c r="O5">
        <f>SUMIFS(Pre[14],Pre[CATEGORY],Table11[[#This Row],[CATEGORY]])</f>
        <v>1</v>
      </c>
      <c r="P5">
        <f>SUMIFS(Pre[15],Pre[CATEGORY],Table11[[#This Row],[CATEGORY]])</f>
        <v>1</v>
      </c>
      <c r="Q5">
        <f>SUMIFS(Pre[16],Pre[CATEGORY],Table11[[#This Row],[CATEGORY]])</f>
        <v>2</v>
      </c>
      <c r="R5">
        <f>SUMIFS(Pre[17],Pre[CATEGORY],Table11[[#This Row],[CATEGORY]])</f>
        <v>5</v>
      </c>
      <c r="S5">
        <f>SUMIFS(Pre[18],Pre[CATEGORY],Table11[[#This Row],[CATEGORY]])</f>
        <v>1</v>
      </c>
      <c r="T5">
        <f>SUMIFS(Pre[19],Pre[CATEGORY],Table11[[#This Row],[CATEGORY]])</f>
        <v>1</v>
      </c>
      <c r="U5">
        <f>SUMIFS(Pre[20],Pre[CATEGORY],Table11[[#This Row],[CATEGORY]])</f>
        <v>1</v>
      </c>
      <c r="V5">
        <f>SUMIFS(Pre[21],Pre[CATEGORY],Table11[[#This Row],[CATEGORY]])</f>
        <v>2</v>
      </c>
      <c r="W5">
        <f>SUMIFS(Pre[22],Pre[CATEGORY],Table11[[#This Row],[CATEGORY]])</f>
        <v>2</v>
      </c>
      <c r="X5">
        <f>SUMIFS(Pre[23],Pre[CATEGORY],Table11[[#This Row],[CATEGORY]])</f>
        <v>1</v>
      </c>
      <c r="Y5">
        <f>SUMIFS(Pre[24],Pre[CATEGORY],Table11[[#This Row],[CATEGORY]])</f>
        <v>1</v>
      </c>
      <c r="Z5">
        <f>SUMIFS(Pre[25],Pre[CATEGORY],Table11[[#This Row],[CATEGORY]])</f>
        <v>5</v>
      </c>
      <c r="AA5">
        <f>SUMIFS(Pre[26],Pre[CATEGORY],Table11[[#This Row],[CATEGORY]])</f>
        <v>1</v>
      </c>
      <c r="AB5">
        <f>SUMIFS(Pre[27],Pre[CATEGORY],Table11[[#This Row],[CATEGORY]])</f>
        <v>1</v>
      </c>
      <c r="AC5">
        <f>SUMIFS(Pre[28],Pre[CATEGORY],Table11[[#This Row],[CATEGORY]])</f>
        <v>1</v>
      </c>
      <c r="AD5">
        <f>SUMIFS(Pre[29],Pre[CATEGORY],Table11[[#This Row],[CATEGORY]])</f>
        <v>4</v>
      </c>
      <c r="AE5">
        <f>SUMIFS(Pre[30],Pre[CATEGORY],Table11[[#This Row],[CATEGORY]])</f>
        <v>2</v>
      </c>
      <c r="AF5">
        <f>SUMIFS(Pre[31],Pre[CATEGORY],Table11[[#This Row],[CATEGORY]])</f>
        <v>1</v>
      </c>
      <c r="AG5">
        <f>SUMIFS(Pre[32],Pre[CATEGORY],Table11[[#This Row],[CATEGORY]])</f>
        <v>0</v>
      </c>
      <c r="AH5">
        <f>SUMIFS(Pre[33],Pre[CATEGORY],Table11[[#This Row],[CATEGORY]])</f>
        <v>3</v>
      </c>
      <c r="AI5">
        <f>SUMIFS(Pre[34],Pre[CATEGORY],Table11[[#This Row],[CATEGORY]])</f>
        <v>1</v>
      </c>
      <c r="AJ5">
        <f>SUMIFS(Pre[35],Pre[CATEGORY],Table11[[#This Row],[CATEGORY]])</f>
        <v>2</v>
      </c>
      <c r="AK5">
        <f>SUMIFS(Pre[36],Pre[CATEGORY],Table11[[#This Row],[CATEGORY]])</f>
        <v>2</v>
      </c>
      <c r="AL5">
        <f>SUMIFS(Pre[37],Pre[CATEGORY],Table11[[#This Row],[CATEGORY]])</f>
        <v>2</v>
      </c>
      <c r="AM5">
        <f>SUMIFS(Pre[38],Pre[CATEGORY],Table11[[#This Row],[CATEGORY]])</f>
        <v>2</v>
      </c>
      <c r="AN5">
        <f>SUMIFS(Pre[39],Pre[CATEGORY],Table11[[#This Row],[CATEGORY]])</f>
        <v>1</v>
      </c>
      <c r="AO5">
        <f>SUMIFS(Pre[40],Pre[CATEGORY],Table11[[#This Row],[CATEGORY]])</f>
        <v>2</v>
      </c>
      <c r="AP5">
        <f>SUMIFS(Pre[41],Pre[CATEGORY],Table11[[#This Row],[CATEGORY]])</f>
        <v>1</v>
      </c>
      <c r="AQ5">
        <f>SUMIFS(Pre[42],Pre[CATEGORY],Table11[[#This Row],[CATEGORY]])</f>
        <v>4</v>
      </c>
      <c r="AR5">
        <f>SUMIFS(Pre[43],Pre[CATEGORY],Table11[[#This Row],[CATEGORY]])</f>
        <v>6</v>
      </c>
      <c r="AS5">
        <f>SUMIFS(Pre[44],Pre[CATEGORY],Table11[[#This Row],[CATEGORY]])</f>
        <v>2</v>
      </c>
      <c r="AT5">
        <f>SUMIFS(Pre[45],Pre[CATEGORY],Table11[[#This Row],[CATEGORY]])</f>
        <v>2</v>
      </c>
      <c r="AU5">
        <f>SUMIFS(Pre[46],Pre[CATEGORY],Table11[[#This Row],[CATEGORY]])</f>
        <v>1</v>
      </c>
      <c r="AV5">
        <f>SUM(Table11[[#This Row],[1]:[46]])</f>
        <v>86</v>
      </c>
    </row>
    <row r="6" spans="1:48" x14ac:dyDescent="0.2">
      <c r="A6" t="s">
        <v>14</v>
      </c>
      <c r="B6">
        <f>SUMIFS(Pre[1],Pre[CATEGORY],Table11[[#This Row],[CATEGORY]])</f>
        <v>151</v>
      </c>
      <c r="C6">
        <f>SUMIFS(Pre[2],Pre[CATEGORY],Table11[[#This Row],[CATEGORY]])</f>
        <v>128</v>
      </c>
      <c r="D6">
        <f>SUMIFS(Pre[3],Pre[CATEGORY],Table11[[#This Row],[CATEGORY]])</f>
        <v>120</v>
      </c>
      <c r="E6">
        <f>SUMIFS(Pre[4],Pre[CATEGORY],Table11[[#This Row],[CATEGORY]])</f>
        <v>129</v>
      </c>
      <c r="F6">
        <f>SUMIFS(Pre[5],Pre[CATEGORY],Table11[[#This Row],[CATEGORY]])</f>
        <v>139</v>
      </c>
      <c r="G6">
        <f>SUMIFS(Pre[6],Pre[CATEGORY],Table11[[#This Row],[CATEGORY]])</f>
        <v>122</v>
      </c>
      <c r="H6">
        <f>SUMIFS(Pre[7],Pre[CATEGORY],Table11[[#This Row],[CATEGORY]])</f>
        <v>127</v>
      </c>
      <c r="I6">
        <f>SUMIFS(Pre[8],Pre[CATEGORY],Table11[[#This Row],[CATEGORY]])</f>
        <v>118</v>
      </c>
      <c r="J6">
        <f>SUMIFS(Pre[9],Pre[CATEGORY],Table11[[#This Row],[CATEGORY]])</f>
        <v>133</v>
      </c>
      <c r="K6">
        <f>SUMIFS(Pre[10],Pre[CATEGORY],Table11[[#This Row],[CATEGORY]])</f>
        <v>136</v>
      </c>
      <c r="L6">
        <f>SUMIFS(Pre[11],Pre[CATEGORY],Table11[[#This Row],[CATEGORY]])</f>
        <v>149</v>
      </c>
      <c r="M6">
        <f>SUMIFS(Pre[12],Pre[CATEGORY],Table11[[#This Row],[CATEGORY]])</f>
        <v>116</v>
      </c>
      <c r="N6">
        <f>SUMIFS(Pre[13],Pre[CATEGORY],Table11[[#This Row],[CATEGORY]])</f>
        <v>146</v>
      </c>
      <c r="O6">
        <f>SUMIFS(Pre[14],Pre[CATEGORY],Table11[[#This Row],[CATEGORY]])</f>
        <v>138</v>
      </c>
      <c r="P6">
        <f>SUMIFS(Pre[15],Pre[CATEGORY],Table11[[#This Row],[CATEGORY]])</f>
        <v>143</v>
      </c>
      <c r="Q6">
        <f>SUMIFS(Pre[16],Pre[CATEGORY],Table11[[#This Row],[CATEGORY]])</f>
        <v>116</v>
      </c>
      <c r="R6">
        <f>SUMIFS(Pre[17],Pre[CATEGORY],Table11[[#This Row],[CATEGORY]])</f>
        <v>127</v>
      </c>
      <c r="S6">
        <f>SUMIFS(Pre[18],Pre[CATEGORY],Table11[[#This Row],[CATEGORY]])</f>
        <v>149</v>
      </c>
      <c r="T6">
        <f>SUMIFS(Pre[19],Pre[CATEGORY],Table11[[#This Row],[CATEGORY]])</f>
        <v>150</v>
      </c>
      <c r="U6">
        <f>SUMIFS(Pre[20],Pre[CATEGORY],Table11[[#This Row],[CATEGORY]])</f>
        <v>123</v>
      </c>
      <c r="V6">
        <f>SUMIFS(Pre[21],Pre[CATEGORY],Table11[[#This Row],[CATEGORY]])</f>
        <v>126</v>
      </c>
      <c r="W6">
        <f>SUMIFS(Pre[22],Pre[CATEGORY],Table11[[#This Row],[CATEGORY]])</f>
        <v>139</v>
      </c>
      <c r="X6">
        <f>SUMIFS(Pre[23],Pre[CATEGORY],Table11[[#This Row],[CATEGORY]])</f>
        <v>117</v>
      </c>
      <c r="Y6">
        <f>SUMIFS(Pre[24],Pre[CATEGORY],Table11[[#This Row],[CATEGORY]])</f>
        <v>142</v>
      </c>
      <c r="Z6">
        <f>SUMIFS(Pre[25],Pre[CATEGORY],Table11[[#This Row],[CATEGORY]])</f>
        <v>143</v>
      </c>
      <c r="AA6">
        <f>SUMIFS(Pre[26],Pre[CATEGORY],Table11[[#This Row],[CATEGORY]])</f>
        <v>132</v>
      </c>
      <c r="AB6">
        <f>SUMIFS(Pre[27],Pre[CATEGORY],Table11[[#This Row],[CATEGORY]])</f>
        <v>143</v>
      </c>
      <c r="AC6">
        <f>SUMIFS(Pre[28],Pre[CATEGORY],Table11[[#This Row],[CATEGORY]])</f>
        <v>128</v>
      </c>
      <c r="AD6">
        <f>SUMIFS(Pre[29],Pre[CATEGORY],Table11[[#This Row],[CATEGORY]])</f>
        <v>132</v>
      </c>
      <c r="AE6">
        <f>SUMIFS(Pre[30],Pre[CATEGORY],Table11[[#This Row],[CATEGORY]])</f>
        <v>147</v>
      </c>
      <c r="AF6">
        <f>SUMIFS(Pre[31],Pre[CATEGORY],Table11[[#This Row],[CATEGORY]])</f>
        <v>133</v>
      </c>
      <c r="AG6">
        <f>SUMIFS(Pre[32],Pre[CATEGORY],Table11[[#This Row],[CATEGORY]])</f>
        <v>129</v>
      </c>
      <c r="AH6">
        <f>SUMIFS(Pre[33],Pre[CATEGORY],Table11[[#This Row],[CATEGORY]])</f>
        <v>137</v>
      </c>
      <c r="AI6">
        <f>SUMIFS(Pre[34],Pre[CATEGORY],Table11[[#This Row],[CATEGORY]])</f>
        <v>148</v>
      </c>
      <c r="AJ6">
        <f>SUMIFS(Pre[35],Pre[CATEGORY],Table11[[#This Row],[CATEGORY]])</f>
        <v>133</v>
      </c>
      <c r="AK6">
        <f>SUMIFS(Pre[36],Pre[CATEGORY],Table11[[#This Row],[CATEGORY]])</f>
        <v>135</v>
      </c>
      <c r="AL6">
        <f>SUMIFS(Pre[37],Pre[CATEGORY],Table11[[#This Row],[CATEGORY]])</f>
        <v>127</v>
      </c>
      <c r="AM6">
        <f>SUMIFS(Pre[38],Pre[CATEGORY],Table11[[#This Row],[CATEGORY]])</f>
        <v>143</v>
      </c>
      <c r="AN6">
        <f>SUMIFS(Pre[39],Pre[CATEGORY],Table11[[#This Row],[CATEGORY]])</f>
        <v>121</v>
      </c>
      <c r="AO6">
        <f>SUMIFS(Pre[40],Pre[CATEGORY],Table11[[#This Row],[CATEGORY]])</f>
        <v>135</v>
      </c>
      <c r="AP6">
        <f>SUMIFS(Pre[41],Pre[CATEGORY],Table11[[#This Row],[CATEGORY]])</f>
        <v>121</v>
      </c>
      <c r="AQ6">
        <f>SUMIFS(Pre[42],Pre[CATEGORY],Table11[[#This Row],[CATEGORY]])</f>
        <v>136</v>
      </c>
      <c r="AR6">
        <f>SUMIFS(Pre[43],Pre[CATEGORY],Table11[[#This Row],[CATEGORY]])</f>
        <v>162</v>
      </c>
      <c r="AS6">
        <f>SUMIFS(Pre[44],Pre[CATEGORY],Table11[[#This Row],[CATEGORY]])</f>
        <v>143</v>
      </c>
      <c r="AT6">
        <f>SUMIFS(Pre[45],Pre[CATEGORY],Table11[[#This Row],[CATEGORY]])</f>
        <v>110</v>
      </c>
      <c r="AU6">
        <f>SUMIFS(Pre[46],Pre[CATEGORY],Table11[[#This Row],[CATEGORY]])</f>
        <v>117</v>
      </c>
      <c r="AV6">
        <f>SUM(Table11[[#This Row],[1]:[46]])</f>
        <v>6139</v>
      </c>
    </row>
    <row r="7" spans="1:48" x14ac:dyDescent="0.2">
      <c r="A7" t="s">
        <v>17</v>
      </c>
      <c r="B7">
        <f>SUMIFS(Pre[1],Pre[CATEGORY],Table11[[#This Row],[CATEGORY]])</f>
        <v>2</v>
      </c>
      <c r="C7">
        <f>SUMIFS(Pre[2],Pre[CATEGORY],Table11[[#This Row],[CATEGORY]])</f>
        <v>1</v>
      </c>
      <c r="D7">
        <f>SUMIFS(Pre[3],Pre[CATEGORY],Table11[[#This Row],[CATEGORY]])</f>
        <v>4</v>
      </c>
      <c r="E7">
        <f>SUMIFS(Pre[4],Pre[CATEGORY],Table11[[#This Row],[CATEGORY]])</f>
        <v>3</v>
      </c>
      <c r="F7">
        <f>SUMIFS(Pre[5],Pre[CATEGORY],Table11[[#This Row],[CATEGORY]])</f>
        <v>2</v>
      </c>
      <c r="G7">
        <f>SUMIFS(Pre[6],Pre[CATEGORY],Table11[[#This Row],[CATEGORY]])</f>
        <v>3</v>
      </c>
      <c r="H7">
        <f>SUMIFS(Pre[7],Pre[CATEGORY],Table11[[#This Row],[CATEGORY]])</f>
        <v>2</v>
      </c>
      <c r="I7">
        <f>SUMIFS(Pre[8],Pre[CATEGORY],Table11[[#This Row],[CATEGORY]])</f>
        <v>4</v>
      </c>
      <c r="J7">
        <f>SUMIFS(Pre[9],Pre[CATEGORY],Table11[[#This Row],[CATEGORY]])</f>
        <v>2</v>
      </c>
      <c r="K7">
        <f>SUMIFS(Pre[10],Pre[CATEGORY],Table11[[#This Row],[CATEGORY]])</f>
        <v>5</v>
      </c>
      <c r="L7">
        <f>SUMIFS(Pre[11],Pre[CATEGORY],Table11[[#This Row],[CATEGORY]])</f>
        <v>1</v>
      </c>
      <c r="M7">
        <f>SUMIFS(Pre[12],Pre[CATEGORY],Table11[[#This Row],[CATEGORY]])</f>
        <v>5</v>
      </c>
      <c r="N7">
        <f>SUMIFS(Pre[13],Pre[CATEGORY],Table11[[#This Row],[CATEGORY]])</f>
        <v>1</v>
      </c>
      <c r="O7">
        <f>SUMIFS(Pre[14],Pre[CATEGORY],Table11[[#This Row],[CATEGORY]])</f>
        <v>1</v>
      </c>
      <c r="P7">
        <f>SUMIFS(Pre[15],Pre[CATEGORY],Table11[[#This Row],[CATEGORY]])</f>
        <v>3</v>
      </c>
      <c r="Q7">
        <f>SUMIFS(Pre[16],Pre[CATEGORY],Table11[[#This Row],[CATEGORY]])</f>
        <v>6</v>
      </c>
      <c r="R7">
        <f>SUMIFS(Pre[17],Pre[CATEGORY],Table11[[#This Row],[CATEGORY]])</f>
        <v>3</v>
      </c>
      <c r="S7">
        <f>SUMIFS(Pre[18],Pre[CATEGORY],Table11[[#This Row],[CATEGORY]])</f>
        <v>3</v>
      </c>
      <c r="T7">
        <f>SUMIFS(Pre[19],Pre[CATEGORY],Table11[[#This Row],[CATEGORY]])</f>
        <v>1</v>
      </c>
      <c r="U7">
        <f>SUMIFS(Pre[20],Pre[CATEGORY],Table11[[#This Row],[CATEGORY]])</f>
        <v>6</v>
      </c>
      <c r="V7">
        <f>SUMIFS(Pre[21],Pre[CATEGORY],Table11[[#This Row],[CATEGORY]])</f>
        <v>1</v>
      </c>
      <c r="W7">
        <f>SUMIFS(Pre[22],Pre[CATEGORY],Table11[[#This Row],[CATEGORY]])</f>
        <v>1</v>
      </c>
      <c r="X7">
        <f>SUMIFS(Pre[23],Pre[CATEGORY],Table11[[#This Row],[CATEGORY]])</f>
        <v>1</v>
      </c>
      <c r="Y7">
        <f>SUMIFS(Pre[24],Pre[CATEGORY],Table11[[#This Row],[CATEGORY]])</f>
        <v>4</v>
      </c>
      <c r="Z7">
        <f>SUMIFS(Pre[25],Pre[CATEGORY],Table11[[#This Row],[CATEGORY]])</f>
        <v>1</v>
      </c>
      <c r="AA7">
        <f>SUMIFS(Pre[26],Pre[CATEGORY],Table11[[#This Row],[CATEGORY]])</f>
        <v>1</v>
      </c>
      <c r="AB7">
        <f>SUMIFS(Pre[27],Pre[CATEGORY],Table11[[#This Row],[CATEGORY]])</f>
        <v>4</v>
      </c>
      <c r="AC7">
        <f>SUMIFS(Pre[28],Pre[CATEGORY],Table11[[#This Row],[CATEGORY]])</f>
        <v>4</v>
      </c>
      <c r="AD7">
        <f>SUMIFS(Pre[29],Pre[CATEGORY],Table11[[#This Row],[CATEGORY]])</f>
        <v>1</v>
      </c>
      <c r="AE7">
        <f>SUMIFS(Pre[30],Pre[CATEGORY],Table11[[#This Row],[CATEGORY]])</f>
        <v>1</v>
      </c>
      <c r="AF7">
        <f>SUMIFS(Pre[31],Pre[CATEGORY],Table11[[#This Row],[CATEGORY]])</f>
        <v>3</v>
      </c>
      <c r="AG7">
        <f>SUMIFS(Pre[32],Pre[CATEGORY],Table11[[#This Row],[CATEGORY]])</f>
        <v>3</v>
      </c>
      <c r="AH7">
        <f>SUMIFS(Pre[33],Pre[CATEGORY],Table11[[#This Row],[CATEGORY]])</f>
        <v>1</v>
      </c>
      <c r="AI7">
        <f>SUMIFS(Pre[34],Pre[CATEGORY],Table11[[#This Row],[CATEGORY]])</f>
        <v>4</v>
      </c>
      <c r="AJ7">
        <f>SUMIFS(Pre[35],Pre[CATEGORY],Table11[[#This Row],[CATEGORY]])</f>
        <v>2</v>
      </c>
      <c r="AK7">
        <f>SUMIFS(Pre[36],Pre[CATEGORY],Table11[[#This Row],[CATEGORY]])</f>
        <v>3</v>
      </c>
      <c r="AL7">
        <f>SUMIFS(Pre[37],Pre[CATEGORY],Table11[[#This Row],[CATEGORY]])</f>
        <v>4</v>
      </c>
      <c r="AM7">
        <f>SUMIFS(Pre[38],Pre[CATEGORY],Table11[[#This Row],[CATEGORY]])</f>
        <v>1</v>
      </c>
      <c r="AN7">
        <f>SUMIFS(Pre[39],Pre[CATEGORY],Table11[[#This Row],[CATEGORY]])</f>
        <v>2</v>
      </c>
      <c r="AO7">
        <f>SUMIFS(Pre[40],Pre[CATEGORY],Table11[[#This Row],[CATEGORY]])</f>
        <v>3</v>
      </c>
      <c r="AP7">
        <f>SUMIFS(Pre[41],Pre[CATEGORY],Table11[[#This Row],[CATEGORY]])</f>
        <v>2</v>
      </c>
      <c r="AQ7">
        <f>SUMIFS(Pre[42],Pre[CATEGORY],Table11[[#This Row],[CATEGORY]])</f>
        <v>2</v>
      </c>
      <c r="AR7">
        <f>SUMIFS(Pre[43],Pre[CATEGORY],Table11[[#This Row],[CATEGORY]])</f>
        <v>1</v>
      </c>
      <c r="AS7">
        <f>SUMIFS(Pre[44],Pre[CATEGORY],Table11[[#This Row],[CATEGORY]])</f>
        <v>2</v>
      </c>
      <c r="AT7">
        <f>SUMIFS(Pre[45],Pre[CATEGORY],Table11[[#This Row],[CATEGORY]])</f>
        <v>1</v>
      </c>
      <c r="AU7">
        <f>SUMIFS(Pre[46],Pre[CATEGORY],Table11[[#This Row],[CATEGORY]])</f>
        <v>3</v>
      </c>
      <c r="AV7">
        <f>SUM(Table11[[#This Row],[1]:[46]])</f>
        <v>114</v>
      </c>
    </row>
    <row r="8" spans="1:48" x14ac:dyDescent="0.2">
      <c r="A8" t="s">
        <v>24</v>
      </c>
      <c r="B8">
        <f>SUMIFS(Pre[1],Pre[CATEGORY],Table11[[#This Row],[CATEGORY]])</f>
        <v>0</v>
      </c>
      <c r="C8">
        <f>SUMIFS(Pre[2],Pre[CATEGORY],Table11[[#This Row],[CATEGORY]])</f>
        <v>0</v>
      </c>
      <c r="D8">
        <f>SUMIFS(Pre[3],Pre[CATEGORY],Table11[[#This Row],[CATEGORY]])</f>
        <v>0</v>
      </c>
      <c r="E8">
        <f>SUMIFS(Pre[4],Pre[CATEGORY],Table11[[#This Row],[CATEGORY]])</f>
        <v>0</v>
      </c>
      <c r="F8">
        <f>SUMIFS(Pre[5],Pre[CATEGORY],Table11[[#This Row],[CATEGORY]])</f>
        <v>0</v>
      </c>
      <c r="G8">
        <f>SUMIFS(Pre[6],Pre[CATEGORY],Table11[[#This Row],[CATEGORY]])</f>
        <v>0</v>
      </c>
      <c r="H8">
        <f>SUMIFS(Pre[7],Pre[CATEGORY],Table11[[#This Row],[CATEGORY]])</f>
        <v>0</v>
      </c>
      <c r="I8">
        <f>SUMIFS(Pre[8],Pre[CATEGORY],Table11[[#This Row],[CATEGORY]])</f>
        <v>0</v>
      </c>
      <c r="J8">
        <f>SUMIFS(Pre[9],Pre[CATEGORY],Table11[[#This Row],[CATEGORY]])</f>
        <v>0</v>
      </c>
      <c r="K8">
        <f>SUMIFS(Pre[10],Pre[CATEGORY],Table11[[#This Row],[CATEGORY]])</f>
        <v>1</v>
      </c>
      <c r="L8">
        <f>SUMIFS(Pre[11],Pre[CATEGORY],Table11[[#This Row],[CATEGORY]])</f>
        <v>1</v>
      </c>
      <c r="M8">
        <f>SUMIFS(Pre[12],Pre[CATEGORY],Table11[[#This Row],[CATEGORY]])</f>
        <v>0</v>
      </c>
      <c r="N8">
        <f>SUMIFS(Pre[13],Pre[CATEGORY],Table11[[#This Row],[CATEGORY]])</f>
        <v>0</v>
      </c>
      <c r="O8">
        <f>SUMIFS(Pre[14],Pre[CATEGORY],Table11[[#This Row],[CATEGORY]])</f>
        <v>1</v>
      </c>
      <c r="P8">
        <f>SUMIFS(Pre[15],Pre[CATEGORY],Table11[[#This Row],[CATEGORY]])</f>
        <v>0</v>
      </c>
      <c r="Q8">
        <f>SUMIFS(Pre[16],Pre[CATEGORY],Table11[[#This Row],[CATEGORY]])</f>
        <v>2</v>
      </c>
      <c r="R8">
        <f>SUMIFS(Pre[17],Pre[CATEGORY],Table11[[#This Row],[CATEGORY]])</f>
        <v>1</v>
      </c>
      <c r="S8">
        <f>SUMIFS(Pre[18],Pre[CATEGORY],Table11[[#This Row],[CATEGORY]])</f>
        <v>0</v>
      </c>
      <c r="T8">
        <f>SUMIFS(Pre[19],Pre[CATEGORY],Table11[[#This Row],[CATEGORY]])</f>
        <v>0</v>
      </c>
      <c r="U8">
        <f>SUMIFS(Pre[20],Pre[CATEGORY],Table11[[#This Row],[CATEGORY]])</f>
        <v>0</v>
      </c>
      <c r="V8">
        <f>SUMIFS(Pre[21],Pre[CATEGORY],Table11[[#This Row],[CATEGORY]])</f>
        <v>1</v>
      </c>
      <c r="W8">
        <f>SUMIFS(Pre[22],Pre[CATEGORY],Table11[[#This Row],[CATEGORY]])</f>
        <v>2</v>
      </c>
      <c r="X8">
        <f>SUMIFS(Pre[23],Pre[CATEGORY],Table11[[#This Row],[CATEGORY]])</f>
        <v>1</v>
      </c>
      <c r="Y8">
        <f>SUMIFS(Pre[24],Pre[CATEGORY],Table11[[#This Row],[CATEGORY]])</f>
        <v>0</v>
      </c>
      <c r="Z8">
        <f>SUMIFS(Pre[25],Pre[CATEGORY],Table11[[#This Row],[CATEGORY]])</f>
        <v>1</v>
      </c>
      <c r="AA8">
        <f>SUMIFS(Pre[26],Pre[CATEGORY],Table11[[#This Row],[CATEGORY]])</f>
        <v>4</v>
      </c>
      <c r="AB8">
        <f>SUMIFS(Pre[27],Pre[CATEGORY],Table11[[#This Row],[CATEGORY]])</f>
        <v>0</v>
      </c>
      <c r="AC8">
        <f>SUMIFS(Pre[28],Pre[CATEGORY],Table11[[#This Row],[CATEGORY]])</f>
        <v>0</v>
      </c>
      <c r="AD8">
        <f>SUMIFS(Pre[29],Pre[CATEGORY],Table11[[#This Row],[CATEGORY]])</f>
        <v>0</v>
      </c>
      <c r="AE8">
        <f>SUMIFS(Pre[30],Pre[CATEGORY],Table11[[#This Row],[CATEGORY]])</f>
        <v>0</v>
      </c>
      <c r="AF8">
        <f>SUMIFS(Pre[31],Pre[CATEGORY],Table11[[#This Row],[CATEGORY]])</f>
        <v>1</v>
      </c>
      <c r="AG8">
        <f>SUMIFS(Pre[32],Pre[CATEGORY],Table11[[#This Row],[CATEGORY]])</f>
        <v>0</v>
      </c>
      <c r="AH8">
        <f>SUMIFS(Pre[33],Pre[CATEGORY],Table11[[#This Row],[CATEGORY]])</f>
        <v>0</v>
      </c>
      <c r="AI8">
        <f>SUMIFS(Pre[34],Pre[CATEGORY],Table11[[#This Row],[CATEGORY]])</f>
        <v>0</v>
      </c>
      <c r="AJ8">
        <f>SUMIFS(Pre[35],Pre[CATEGORY],Table11[[#This Row],[CATEGORY]])</f>
        <v>0</v>
      </c>
      <c r="AK8">
        <f>SUMIFS(Pre[36],Pre[CATEGORY],Table11[[#This Row],[CATEGORY]])</f>
        <v>1</v>
      </c>
      <c r="AL8">
        <f>SUMIFS(Pre[37],Pre[CATEGORY],Table11[[#This Row],[CATEGORY]])</f>
        <v>1</v>
      </c>
      <c r="AM8">
        <f>SUMIFS(Pre[38],Pre[CATEGORY],Table11[[#This Row],[CATEGORY]])</f>
        <v>0</v>
      </c>
      <c r="AN8">
        <f>SUMIFS(Pre[39],Pre[CATEGORY],Table11[[#This Row],[CATEGORY]])</f>
        <v>0</v>
      </c>
      <c r="AO8">
        <f>SUMIFS(Pre[40],Pre[CATEGORY],Table11[[#This Row],[CATEGORY]])</f>
        <v>1</v>
      </c>
      <c r="AP8">
        <f>SUMIFS(Pre[41],Pre[CATEGORY],Table11[[#This Row],[CATEGORY]])</f>
        <v>4</v>
      </c>
      <c r="AQ8">
        <f>SUMIFS(Pre[42],Pre[CATEGORY],Table11[[#This Row],[CATEGORY]])</f>
        <v>0</v>
      </c>
      <c r="AR8">
        <f>SUMIFS(Pre[43],Pre[CATEGORY],Table11[[#This Row],[CATEGORY]])</f>
        <v>0</v>
      </c>
      <c r="AS8">
        <f>SUMIFS(Pre[44],Pre[CATEGORY],Table11[[#This Row],[CATEGORY]])</f>
        <v>0</v>
      </c>
      <c r="AT8">
        <f>SUMIFS(Pre[45],Pre[CATEGORY],Table11[[#This Row],[CATEGORY]])</f>
        <v>0</v>
      </c>
      <c r="AU8">
        <f>SUMIFS(Pre[46],Pre[CATEGORY],Table11[[#This Row],[CATEGORY]])</f>
        <v>0</v>
      </c>
      <c r="AV8">
        <f>SUM(Table11[[#This Row],[1]:[46]])</f>
        <v>23</v>
      </c>
    </row>
    <row r="9" spans="1:48" x14ac:dyDescent="0.2">
      <c r="A9" t="s">
        <v>26</v>
      </c>
      <c r="B9">
        <f>SUMIFS(Pre[1],Pre[CATEGORY],Table11[[#This Row],[CATEGORY]])</f>
        <v>4</v>
      </c>
      <c r="C9">
        <f>SUMIFS(Pre[2],Pre[CATEGORY],Table11[[#This Row],[CATEGORY]])</f>
        <v>4</v>
      </c>
      <c r="D9">
        <f>SUMIFS(Pre[3],Pre[CATEGORY],Table11[[#This Row],[CATEGORY]])</f>
        <v>7</v>
      </c>
      <c r="E9">
        <f>SUMIFS(Pre[4],Pre[CATEGORY],Table11[[#This Row],[CATEGORY]])</f>
        <v>4</v>
      </c>
      <c r="F9">
        <f>SUMIFS(Pre[5],Pre[CATEGORY],Table11[[#This Row],[CATEGORY]])</f>
        <v>4</v>
      </c>
      <c r="G9">
        <f>SUMIFS(Pre[6],Pre[CATEGORY],Table11[[#This Row],[CATEGORY]])</f>
        <v>2</v>
      </c>
      <c r="H9">
        <f>SUMIFS(Pre[7],Pre[CATEGORY],Table11[[#This Row],[CATEGORY]])</f>
        <v>9</v>
      </c>
      <c r="I9">
        <f>SUMIFS(Pre[8],Pre[CATEGORY],Table11[[#This Row],[CATEGORY]])</f>
        <v>2</v>
      </c>
      <c r="J9">
        <f>SUMIFS(Pre[9],Pre[CATEGORY],Table11[[#This Row],[CATEGORY]])</f>
        <v>6</v>
      </c>
      <c r="K9">
        <f>SUMIFS(Pre[10],Pre[CATEGORY],Table11[[#This Row],[CATEGORY]])</f>
        <v>1</v>
      </c>
      <c r="L9">
        <f>SUMIFS(Pre[11],Pre[CATEGORY],Table11[[#This Row],[CATEGORY]])</f>
        <v>9</v>
      </c>
      <c r="M9">
        <f>SUMIFS(Pre[12],Pre[CATEGORY],Table11[[#This Row],[CATEGORY]])</f>
        <v>3</v>
      </c>
      <c r="N9">
        <f>SUMIFS(Pre[13],Pre[CATEGORY],Table11[[#This Row],[CATEGORY]])</f>
        <v>6</v>
      </c>
      <c r="O9">
        <f>SUMIFS(Pre[14],Pre[CATEGORY],Table11[[#This Row],[CATEGORY]])</f>
        <v>4</v>
      </c>
      <c r="P9">
        <f>SUMIFS(Pre[15],Pre[CATEGORY],Table11[[#This Row],[CATEGORY]])</f>
        <v>4</v>
      </c>
      <c r="Q9">
        <f>SUMIFS(Pre[16],Pre[CATEGORY],Table11[[#This Row],[CATEGORY]])</f>
        <v>2</v>
      </c>
      <c r="R9">
        <f>SUMIFS(Pre[17],Pre[CATEGORY],Table11[[#This Row],[CATEGORY]])</f>
        <v>3</v>
      </c>
      <c r="S9">
        <f>SUMIFS(Pre[18],Pre[CATEGORY],Table11[[#This Row],[CATEGORY]])</f>
        <v>5</v>
      </c>
      <c r="T9">
        <f>SUMIFS(Pre[19],Pre[CATEGORY],Table11[[#This Row],[CATEGORY]])</f>
        <v>4</v>
      </c>
      <c r="U9">
        <f>SUMIFS(Pre[20],Pre[CATEGORY],Table11[[#This Row],[CATEGORY]])</f>
        <v>6</v>
      </c>
      <c r="V9">
        <f>SUMIFS(Pre[21],Pre[CATEGORY],Table11[[#This Row],[CATEGORY]])</f>
        <v>6</v>
      </c>
      <c r="W9">
        <f>SUMIFS(Pre[22],Pre[CATEGORY],Table11[[#This Row],[CATEGORY]])</f>
        <v>5</v>
      </c>
      <c r="X9">
        <f>SUMIFS(Pre[23],Pre[CATEGORY],Table11[[#This Row],[CATEGORY]])</f>
        <v>6</v>
      </c>
      <c r="Y9">
        <f>SUMIFS(Pre[24],Pre[CATEGORY],Table11[[#This Row],[CATEGORY]])</f>
        <v>6</v>
      </c>
      <c r="Z9">
        <f>SUMIFS(Pre[25],Pre[CATEGORY],Table11[[#This Row],[CATEGORY]])</f>
        <v>9</v>
      </c>
      <c r="AA9">
        <f>SUMIFS(Pre[26],Pre[CATEGORY],Table11[[#This Row],[CATEGORY]])</f>
        <v>1</v>
      </c>
      <c r="AB9">
        <f>SUMIFS(Pre[27],Pre[CATEGORY],Table11[[#This Row],[CATEGORY]])</f>
        <v>7</v>
      </c>
      <c r="AC9">
        <f>SUMIFS(Pre[28],Pre[CATEGORY],Table11[[#This Row],[CATEGORY]])</f>
        <v>3</v>
      </c>
      <c r="AD9">
        <f>SUMIFS(Pre[29],Pre[CATEGORY],Table11[[#This Row],[CATEGORY]])</f>
        <v>2</v>
      </c>
      <c r="AE9">
        <f>SUMIFS(Pre[30],Pre[CATEGORY],Table11[[#This Row],[CATEGORY]])</f>
        <v>2</v>
      </c>
      <c r="AF9">
        <f>SUMIFS(Pre[31],Pre[CATEGORY],Table11[[#This Row],[CATEGORY]])</f>
        <v>5</v>
      </c>
      <c r="AG9">
        <f>SUMIFS(Pre[32],Pre[CATEGORY],Table11[[#This Row],[CATEGORY]])</f>
        <v>9</v>
      </c>
      <c r="AH9">
        <f>SUMIFS(Pre[33],Pre[CATEGORY],Table11[[#This Row],[CATEGORY]])</f>
        <v>6</v>
      </c>
      <c r="AI9">
        <f>SUMIFS(Pre[34],Pre[CATEGORY],Table11[[#This Row],[CATEGORY]])</f>
        <v>5</v>
      </c>
      <c r="AJ9">
        <f>SUMIFS(Pre[35],Pre[CATEGORY],Table11[[#This Row],[CATEGORY]])</f>
        <v>6</v>
      </c>
      <c r="AK9">
        <f>SUMIFS(Pre[36],Pre[CATEGORY],Table11[[#This Row],[CATEGORY]])</f>
        <v>7</v>
      </c>
      <c r="AL9">
        <f>SUMIFS(Pre[37],Pre[CATEGORY],Table11[[#This Row],[CATEGORY]])</f>
        <v>3</v>
      </c>
      <c r="AM9">
        <f>SUMIFS(Pre[38],Pre[CATEGORY],Table11[[#This Row],[CATEGORY]])</f>
        <v>7</v>
      </c>
      <c r="AN9">
        <f>SUMIFS(Pre[39],Pre[CATEGORY],Table11[[#This Row],[CATEGORY]])</f>
        <v>4</v>
      </c>
      <c r="AO9">
        <f>SUMIFS(Pre[40],Pre[CATEGORY],Table11[[#This Row],[CATEGORY]])</f>
        <v>3</v>
      </c>
      <c r="AP9">
        <f>SUMIFS(Pre[41],Pre[CATEGORY],Table11[[#This Row],[CATEGORY]])</f>
        <v>5</v>
      </c>
      <c r="AQ9">
        <f>SUMIFS(Pre[42],Pre[CATEGORY],Table11[[#This Row],[CATEGORY]])</f>
        <v>3</v>
      </c>
      <c r="AR9">
        <f>SUMIFS(Pre[43],Pre[CATEGORY],Table11[[#This Row],[CATEGORY]])</f>
        <v>2</v>
      </c>
      <c r="AS9">
        <f>SUMIFS(Pre[44],Pre[CATEGORY],Table11[[#This Row],[CATEGORY]])</f>
        <v>3</v>
      </c>
      <c r="AT9">
        <f>SUMIFS(Pre[45],Pre[CATEGORY],Table11[[#This Row],[CATEGORY]])</f>
        <v>6</v>
      </c>
      <c r="AU9">
        <f>SUMIFS(Pre[46],Pre[CATEGORY],Table11[[#This Row],[CATEGORY]])</f>
        <v>1</v>
      </c>
      <c r="AV9">
        <f>SUM(Table11[[#This Row],[1]:[46]])</f>
        <v>211</v>
      </c>
    </row>
    <row r="10" spans="1:48" x14ac:dyDescent="0.2">
      <c r="A10" t="s">
        <v>32</v>
      </c>
      <c r="B10">
        <f>SUMIFS(Pre[1],Pre[CATEGORY],Table11[[#This Row],[CATEGORY]])</f>
        <v>4</v>
      </c>
      <c r="C10">
        <f>SUMIFS(Pre[2],Pre[CATEGORY],Table11[[#This Row],[CATEGORY]])</f>
        <v>2</v>
      </c>
      <c r="D10">
        <f>SUMIFS(Pre[3],Pre[CATEGORY],Table11[[#This Row],[CATEGORY]])</f>
        <v>1</v>
      </c>
      <c r="E10">
        <f>SUMIFS(Pre[4],Pre[CATEGORY],Table11[[#This Row],[CATEGORY]])</f>
        <v>3</v>
      </c>
      <c r="F10">
        <f>SUMIFS(Pre[5],Pre[CATEGORY],Table11[[#This Row],[CATEGORY]])</f>
        <v>2</v>
      </c>
      <c r="G10">
        <f>SUMIFS(Pre[6],Pre[CATEGORY],Table11[[#This Row],[CATEGORY]])</f>
        <v>2</v>
      </c>
      <c r="H10">
        <f>SUMIFS(Pre[7],Pre[CATEGORY],Table11[[#This Row],[CATEGORY]])</f>
        <v>1</v>
      </c>
      <c r="I10">
        <f>SUMIFS(Pre[8],Pre[CATEGORY],Table11[[#This Row],[CATEGORY]])</f>
        <v>4</v>
      </c>
      <c r="J10">
        <f>SUMIFS(Pre[9],Pre[CATEGORY],Table11[[#This Row],[CATEGORY]])</f>
        <v>3</v>
      </c>
      <c r="K10">
        <f>SUMIFS(Pre[10],Pre[CATEGORY],Table11[[#This Row],[CATEGORY]])</f>
        <v>5</v>
      </c>
      <c r="L10">
        <f>SUMIFS(Pre[11],Pre[CATEGORY],Table11[[#This Row],[CATEGORY]])</f>
        <v>2</v>
      </c>
      <c r="M10">
        <f>SUMIFS(Pre[12],Pre[CATEGORY],Table11[[#This Row],[CATEGORY]])</f>
        <v>5</v>
      </c>
      <c r="N10">
        <f>SUMIFS(Pre[13],Pre[CATEGORY],Table11[[#This Row],[CATEGORY]])</f>
        <v>2</v>
      </c>
      <c r="O10">
        <f>SUMIFS(Pre[14],Pre[CATEGORY],Table11[[#This Row],[CATEGORY]])</f>
        <v>2</v>
      </c>
      <c r="P10">
        <f>SUMIFS(Pre[15],Pre[CATEGORY],Table11[[#This Row],[CATEGORY]])</f>
        <v>2</v>
      </c>
      <c r="Q10">
        <f>SUMIFS(Pre[16],Pre[CATEGORY],Table11[[#This Row],[CATEGORY]])</f>
        <v>3</v>
      </c>
      <c r="R10">
        <f>SUMIFS(Pre[17],Pre[CATEGORY],Table11[[#This Row],[CATEGORY]])</f>
        <v>3</v>
      </c>
      <c r="S10">
        <f>SUMIFS(Pre[18],Pre[CATEGORY],Table11[[#This Row],[CATEGORY]])</f>
        <v>1</v>
      </c>
      <c r="T10">
        <f>SUMIFS(Pre[19],Pre[CATEGORY],Table11[[#This Row],[CATEGORY]])</f>
        <v>2</v>
      </c>
      <c r="U10">
        <f>SUMIFS(Pre[20],Pre[CATEGORY],Table11[[#This Row],[CATEGORY]])</f>
        <v>2</v>
      </c>
      <c r="V10">
        <f>SUMIFS(Pre[21],Pre[CATEGORY],Table11[[#This Row],[CATEGORY]])</f>
        <v>4</v>
      </c>
      <c r="W10">
        <f>SUMIFS(Pre[22],Pre[CATEGORY],Table11[[#This Row],[CATEGORY]])</f>
        <v>2</v>
      </c>
      <c r="X10">
        <f>SUMIFS(Pre[23],Pre[CATEGORY],Table11[[#This Row],[CATEGORY]])</f>
        <v>1</v>
      </c>
      <c r="Y10">
        <f>SUMIFS(Pre[24],Pre[CATEGORY],Table11[[#This Row],[CATEGORY]])</f>
        <v>1</v>
      </c>
      <c r="Z10">
        <f>SUMIFS(Pre[25],Pre[CATEGORY],Table11[[#This Row],[CATEGORY]])</f>
        <v>4</v>
      </c>
      <c r="AA10">
        <f>SUMIFS(Pre[26],Pre[CATEGORY],Table11[[#This Row],[CATEGORY]])</f>
        <v>4</v>
      </c>
      <c r="AB10">
        <f>SUMIFS(Pre[27],Pre[CATEGORY],Table11[[#This Row],[CATEGORY]])</f>
        <v>3</v>
      </c>
      <c r="AC10">
        <f>SUMIFS(Pre[28],Pre[CATEGORY],Table11[[#This Row],[CATEGORY]])</f>
        <v>2</v>
      </c>
      <c r="AD10">
        <f>SUMIFS(Pre[29],Pre[CATEGORY],Table11[[#This Row],[CATEGORY]])</f>
        <v>2</v>
      </c>
      <c r="AE10">
        <f>SUMIFS(Pre[30],Pre[CATEGORY],Table11[[#This Row],[CATEGORY]])</f>
        <v>2</v>
      </c>
      <c r="AF10">
        <f>SUMIFS(Pre[31],Pre[CATEGORY],Table11[[#This Row],[CATEGORY]])</f>
        <v>1</v>
      </c>
      <c r="AG10">
        <f>SUMIFS(Pre[32],Pre[CATEGORY],Table11[[#This Row],[CATEGORY]])</f>
        <v>2</v>
      </c>
      <c r="AH10">
        <f>SUMIFS(Pre[33],Pre[CATEGORY],Table11[[#This Row],[CATEGORY]])</f>
        <v>3</v>
      </c>
      <c r="AI10">
        <f>SUMIFS(Pre[34],Pre[CATEGORY],Table11[[#This Row],[CATEGORY]])</f>
        <v>6</v>
      </c>
      <c r="AJ10">
        <f>SUMIFS(Pre[35],Pre[CATEGORY],Table11[[#This Row],[CATEGORY]])</f>
        <v>2</v>
      </c>
      <c r="AK10">
        <f>SUMIFS(Pre[36],Pre[CATEGORY],Table11[[#This Row],[CATEGORY]])</f>
        <v>2</v>
      </c>
      <c r="AL10">
        <f>SUMIFS(Pre[37],Pre[CATEGORY],Table11[[#This Row],[CATEGORY]])</f>
        <v>3</v>
      </c>
      <c r="AM10">
        <f>SUMIFS(Pre[38],Pre[CATEGORY],Table11[[#This Row],[CATEGORY]])</f>
        <v>7</v>
      </c>
      <c r="AN10">
        <f>SUMIFS(Pre[39],Pre[CATEGORY],Table11[[#This Row],[CATEGORY]])</f>
        <v>2</v>
      </c>
      <c r="AO10">
        <f>SUMIFS(Pre[40],Pre[CATEGORY],Table11[[#This Row],[CATEGORY]])</f>
        <v>1</v>
      </c>
      <c r="AP10">
        <f>SUMIFS(Pre[41],Pre[CATEGORY],Table11[[#This Row],[CATEGORY]])</f>
        <v>3</v>
      </c>
      <c r="AQ10">
        <f>SUMIFS(Pre[42],Pre[CATEGORY],Table11[[#This Row],[CATEGORY]])</f>
        <v>1</v>
      </c>
      <c r="AR10">
        <f>SUMIFS(Pre[43],Pre[CATEGORY],Table11[[#This Row],[CATEGORY]])</f>
        <v>4</v>
      </c>
      <c r="AS10">
        <f>SUMIFS(Pre[44],Pre[CATEGORY],Table11[[#This Row],[CATEGORY]])</f>
        <v>1</v>
      </c>
      <c r="AT10">
        <f>SUMIFS(Pre[45],Pre[CATEGORY],Table11[[#This Row],[CATEGORY]])</f>
        <v>1</v>
      </c>
      <c r="AU10">
        <f>SUMIFS(Pre[46],Pre[CATEGORY],Table11[[#This Row],[CATEGORY]])</f>
        <v>2</v>
      </c>
      <c r="AV10">
        <f>SUM(Table11[[#This Row],[1]:[46]])</f>
        <v>117</v>
      </c>
    </row>
    <row r="11" spans="1:48" x14ac:dyDescent="0.2">
      <c r="A11" t="s">
        <v>37</v>
      </c>
      <c r="B11">
        <f>SUMIFS(Pre[1],Pre[CATEGORY],Table11[[#This Row],[CATEGORY]])</f>
        <v>2</v>
      </c>
      <c r="C11">
        <f>SUMIFS(Pre[2],Pre[CATEGORY],Table11[[#This Row],[CATEGORY]])</f>
        <v>3</v>
      </c>
      <c r="D11">
        <f>SUMIFS(Pre[3],Pre[CATEGORY],Table11[[#This Row],[CATEGORY]])</f>
        <v>1</v>
      </c>
      <c r="E11">
        <f>SUMIFS(Pre[4],Pre[CATEGORY],Table11[[#This Row],[CATEGORY]])</f>
        <v>6</v>
      </c>
      <c r="F11">
        <f>SUMIFS(Pre[5],Pre[CATEGORY],Table11[[#This Row],[CATEGORY]])</f>
        <v>9</v>
      </c>
      <c r="G11">
        <f>SUMIFS(Pre[6],Pre[CATEGORY],Table11[[#This Row],[CATEGORY]])</f>
        <v>10</v>
      </c>
      <c r="H11">
        <f>SUMIFS(Pre[7],Pre[CATEGORY],Table11[[#This Row],[CATEGORY]])</f>
        <v>4</v>
      </c>
      <c r="I11">
        <f>SUMIFS(Pre[8],Pre[CATEGORY],Table11[[#This Row],[CATEGORY]])</f>
        <v>5</v>
      </c>
      <c r="J11">
        <f>SUMIFS(Pre[9],Pre[CATEGORY],Table11[[#This Row],[CATEGORY]])</f>
        <v>4</v>
      </c>
      <c r="K11">
        <f>SUMIFS(Pre[10],Pre[CATEGORY],Table11[[#This Row],[CATEGORY]])</f>
        <v>5</v>
      </c>
      <c r="L11">
        <f>SUMIFS(Pre[11],Pre[CATEGORY],Table11[[#This Row],[CATEGORY]])</f>
        <v>3</v>
      </c>
      <c r="M11">
        <f>SUMIFS(Pre[12],Pre[CATEGORY],Table11[[#This Row],[CATEGORY]])</f>
        <v>8</v>
      </c>
      <c r="N11">
        <f>SUMIFS(Pre[13],Pre[CATEGORY],Table11[[#This Row],[CATEGORY]])</f>
        <v>2</v>
      </c>
      <c r="O11">
        <f>SUMIFS(Pre[14],Pre[CATEGORY],Table11[[#This Row],[CATEGORY]])</f>
        <v>10</v>
      </c>
      <c r="P11">
        <f>SUMIFS(Pre[15],Pre[CATEGORY],Table11[[#This Row],[CATEGORY]])</f>
        <v>4</v>
      </c>
      <c r="Q11">
        <f>SUMIFS(Pre[16],Pre[CATEGORY],Table11[[#This Row],[CATEGORY]])</f>
        <v>5</v>
      </c>
      <c r="R11">
        <f>SUMIFS(Pre[17],Pre[CATEGORY],Table11[[#This Row],[CATEGORY]])</f>
        <v>10</v>
      </c>
      <c r="S11">
        <f>SUMIFS(Pre[18],Pre[CATEGORY],Table11[[#This Row],[CATEGORY]])</f>
        <v>4</v>
      </c>
      <c r="T11">
        <f>SUMIFS(Pre[19],Pre[CATEGORY],Table11[[#This Row],[CATEGORY]])</f>
        <v>4</v>
      </c>
      <c r="U11">
        <f>SUMIFS(Pre[20],Pre[CATEGORY],Table11[[#This Row],[CATEGORY]])</f>
        <v>4</v>
      </c>
      <c r="V11">
        <f>SUMIFS(Pre[21],Pre[CATEGORY],Table11[[#This Row],[CATEGORY]])</f>
        <v>4</v>
      </c>
      <c r="W11">
        <f>SUMIFS(Pre[22],Pre[CATEGORY],Table11[[#This Row],[CATEGORY]])</f>
        <v>8</v>
      </c>
      <c r="X11">
        <f>SUMIFS(Pre[23],Pre[CATEGORY],Table11[[#This Row],[CATEGORY]])</f>
        <v>8</v>
      </c>
      <c r="Y11">
        <f>SUMIFS(Pre[24],Pre[CATEGORY],Table11[[#This Row],[CATEGORY]])</f>
        <v>6</v>
      </c>
      <c r="Z11">
        <f>SUMIFS(Pre[25],Pre[CATEGORY],Table11[[#This Row],[CATEGORY]])</f>
        <v>4</v>
      </c>
      <c r="AA11">
        <f>SUMIFS(Pre[26],Pre[CATEGORY],Table11[[#This Row],[CATEGORY]])</f>
        <v>6</v>
      </c>
      <c r="AB11">
        <f>SUMIFS(Pre[27],Pre[CATEGORY],Table11[[#This Row],[CATEGORY]])</f>
        <v>6</v>
      </c>
      <c r="AC11">
        <f>SUMIFS(Pre[28],Pre[CATEGORY],Table11[[#This Row],[CATEGORY]])</f>
        <v>5</v>
      </c>
      <c r="AD11">
        <f>SUMIFS(Pre[29],Pre[CATEGORY],Table11[[#This Row],[CATEGORY]])</f>
        <v>3</v>
      </c>
      <c r="AE11">
        <f>SUMIFS(Pre[30],Pre[CATEGORY],Table11[[#This Row],[CATEGORY]])</f>
        <v>3</v>
      </c>
      <c r="AF11">
        <f>SUMIFS(Pre[31],Pre[CATEGORY],Table11[[#This Row],[CATEGORY]])</f>
        <v>7</v>
      </c>
      <c r="AG11">
        <f>SUMIFS(Pre[32],Pre[CATEGORY],Table11[[#This Row],[CATEGORY]])</f>
        <v>7</v>
      </c>
      <c r="AH11">
        <f>SUMIFS(Pre[33],Pre[CATEGORY],Table11[[#This Row],[CATEGORY]])</f>
        <v>6</v>
      </c>
      <c r="AI11">
        <f>SUMIFS(Pre[34],Pre[CATEGORY],Table11[[#This Row],[CATEGORY]])</f>
        <v>6</v>
      </c>
      <c r="AJ11">
        <f>SUMIFS(Pre[35],Pre[CATEGORY],Table11[[#This Row],[CATEGORY]])</f>
        <v>3</v>
      </c>
      <c r="AK11">
        <f>SUMIFS(Pre[36],Pre[CATEGORY],Table11[[#This Row],[CATEGORY]])</f>
        <v>4</v>
      </c>
      <c r="AL11">
        <f>SUMIFS(Pre[37],Pre[CATEGORY],Table11[[#This Row],[CATEGORY]])</f>
        <v>6</v>
      </c>
      <c r="AM11">
        <f>SUMIFS(Pre[38],Pre[CATEGORY],Table11[[#This Row],[CATEGORY]])</f>
        <v>4</v>
      </c>
      <c r="AN11">
        <f>SUMIFS(Pre[39],Pre[CATEGORY],Table11[[#This Row],[CATEGORY]])</f>
        <v>4</v>
      </c>
      <c r="AO11">
        <f>SUMIFS(Pre[40],Pre[CATEGORY],Table11[[#This Row],[CATEGORY]])</f>
        <v>3</v>
      </c>
      <c r="AP11">
        <f>SUMIFS(Pre[41],Pre[CATEGORY],Table11[[#This Row],[CATEGORY]])</f>
        <v>7</v>
      </c>
      <c r="AQ11">
        <f>SUMIFS(Pre[42],Pre[CATEGORY],Table11[[#This Row],[CATEGORY]])</f>
        <v>5</v>
      </c>
      <c r="AR11">
        <f>SUMIFS(Pre[43],Pre[CATEGORY],Table11[[#This Row],[CATEGORY]])</f>
        <v>6</v>
      </c>
      <c r="AS11">
        <f>SUMIFS(Pre[44],Pre[CATEGORY],Table11[[#This Row],[CATEGORY]])</f>
        <v>7</v>
      </c>
      <c r="AT11">
        <f>SUMIFS(Pre[45],Pre[CATEGORY],Table11[[#This Row],[CATEGORY]])</f>
        <v>1</v>
      </c>
      <c r="AU11">
        <f>SUMIFS(Pre[46],Pre[CATEGORY],Table11[[#This Row],[CATEGORY]])</f>
        <v>6</v>
      </c>
      <c r="AV11">
        <f>SUM(Table11[[#This Row],[1]:[46]])</f>
        <v>238</v>
      </c>
    </row>
    <row r="12" spans="1:48" x14ac:dyDescent="0.2">
      <c r="A12" t="s">
        <v>40</v>
      </c>
      <c r="B12">
        <f>SUMIFS(Pre[1],Pre[CATEGORY],Table11[[#This Row],[CATEGORY]])</f>
        <v>1</v>
      </c>
      <c r="C12">
        <f>SUMIFS(Pre[2],Pre[CATEGORY],Table11[[#This Row],[CATEGORY]])</f>
        <v>1</v>
      </c>
      <c r="D12">
        <f>SUMIFS(Pre[3],Pre[CATEGORY],Table11[[#This Row],[CATEGORY]])</f>
        <v>1</v>
      </c>
      <c r="E12">
        <f>SUMIFS(Pre[4],Pre[CATEGORY],Table11[[#This Row],[CATEGORY]])</f>
        <v>1</v>
      </c>
      <c r="F12">
        <f>SUMIFS(Pre[5],Pre[CATEGORY],Table11[[#This Row],[CATEGORY]])</f>
        <v>0</v>
      </c>
      <c r="G12">
        <f>SUMIFS(Pre[6],Pre[CATEGORY],Table11[[#This Row],[CATEGORY]])</f>
        <v>2</v>
      </c>
      <c r="H12">
        <f>SUMIFS(Pre[7],Pre[CATEGORY],Table11[[#This Row],[CATEGORY]])</f>
        <v>2</v>
      </c>
      <c r="I12">
        <f>SUMIFS(Pre[8],Pre[CATEGORY],Table11[[#This Row],[CATEGORY]])</f>
        <v>0</v>
      </c>
      <c r="J12">
        <f>SUMIFS(Pre[9],Pre[CATEGORY],Table11[[#This Row],[CATEGORY]])</f>
        <v>2</v>
      </c>
      <c r="K12">
        <f>SUMIFS(Pre[10],Pre[CATEGORY],Table11[[#This Row],[CATEGORY]])</f>
        <v>0</v>
      </c>
      <c r="L12">
        <f>SUMIFS(Pre[11],Pre[CATEGORY],Table11[[#This Row],[CATEGORY]])</f>
        <v>1</v>
      </c>
      <c r="M12">
        <f>SUMIFS(Pre[12],Pre[CATEGORY],Table11[[#This Row],[CATEGORY]])</f>
        <v>0</v>
      </c>
      <c r="N12">
        <f>SUMIFS(Pre[13],Pre[CATEGORY],Table11[[#This Row],[CATEGORY]])</f>
        <v>1</v>
      </c>
      <c r="O12">
        <f>SUMIFS(Pre[14],Pre[CATEGORY],Table11[[#This Row],[CATEGORY]])</f>
        <v>4</v>
      </c>
      <c r="P12">
        <f>SUMIFS(Pre[15],Pre[CATEGORY],Table11[[#This Row],[CATEGORY]])</f>
        <v>2</v>
      </c>
      <c r="Q12">
        <f>SUMIFS(Pre[16],Pre[CATEGORY],Table11[[#This Row],[CATEGORY]])</f>
        <v>0</v>
      </c>
      <c r="R12">
        <f>SUMIFS(Pre[17],Pre[CATEGORY],Table11[[#This Row],[CATEGORY]])</f>
        <v>3</v>
      </c>
      <c r="S12">
        <f>SUMIFS(Pre[18],Pre[CATEGORY],Table11[[#This Row],[CATEGORY]])</f>
        <v>2</v>
      </c>
      <c r="T12">
        <f>SUMIFS(Pre[19],Pre[CATEGORY],Table11[[#This Row],[CATEGORY]])</f>
        <v>0</v>
      </c>
      <c r="U12">
        <f>SUMIFS(Pre[20],Pre[CATEGORY],Table11[[#This Row],[CATEGORY]])</f>
        <v>0</v>
      </c>
      <c r="V12">
        <f>SUMIFS(Pre[21],Pre[CATEGORY],Table11[[#This Row],[CATEGORY]])</f>
        <v>0</v>
      </c>
      <c r="W12">
        <f>SUMIFS(Pre[22],Pre[CATEGORY],Table11[[#This Row],[CATEGORY]])</f>
        <v>0</v>
      </c>
      <c r="X12">
        <f>SUMIFS(Pre[23],Pre[CATEGORY],Table11[[#This Row],[CATEGORY]])</f>
        <v>2</v>
      </c>
      <c r="Y12">
        <f>SUMIFS(Pre[24],Pre[CATEGORY],Table11[[#This Row],[CATEGORY]])</f>
        <v>3</v>
      </c>
      <c r="Z12">
        <f>SUMIFS(Pre[25],Pre[CATEGORY],Table11[[#This Row],[CATEGORY]])</f>
        <v>0</v>
      </c>
      <c r="AA12">
        <f>SUMIFS(Pre[26],Pre[CATEGORY],Table11[[#This Row],[CATEGORY]])</f>
        <v>0</v>
      </c>
      <c r="AB12">
        <f>SUMIFS(Pre[27],Pre[CATEGORY],Table11[[#This Row],[CATEGORY]])</f>
        <v>1</v>
      </c>
      <c r="AC12">
        <f>SUMIFS(Pre[28],Pre[CATEGORY],Table11[[#This Row],[CATEGORY]])</f>
        <v>5</v>
      </c>
      <c r="AD12">
        <f>SUMIFS(Pre[29],Pre[CATEGORY],Table11[[#This Row],[CATEGORY]])</f>
        <v>1</v>
      </c>
      <c r="AE12">
        <f>SUMIFS(Pre[30],Pre[CATEGORY],Table11[[#This Row],[CATEGORY]])</f>
        <v>2</v>
      </c>
      <c r="AF12">
        <f>SUMIFS(Pre[31],Pre[CATEGORY],Table11[[#This Row],[CATEGORY]])</f>
        <v>1</v>
      </c>
      <c r="AG12">
        <f>SUMIFS(Pre[32],Pre[CATEGORY],Table11[[#This Row],[CATEGORY]])</f>
        <v>1</v>
      </c>
      <c r="AH12">
        <f>SUMIFS(Pre[33],Pre[CATEGORY],Table11[[#This Row],[CATEGORY]])</f>
        <v>1</v>
      </c>
      <c r="AI12">
        <f>SUMIFS(Pre[34],Pre[CATEGORY],Table11[[#This Row],[CATEGORY]])</f>
        <v>0</v>
      </c>
      <c r="AJ12">
        <f>SUMIFS(Pre[35],Pre[CATEGORY],Table11[[#This Row],[CATEGORY]])</f>
        <v>0</v>
      </c>
      <c r="AK12">
        <f>SUMIFS(Pre[36],Pre[CATEGORY],Table11[[#This Row],[CATEGORY]])</f>
        <v>1</v>
      </c>
      <c r="AL12">
        <f>SUMIFS(Pre[37],Pre[CATEGORY],Table11[[#This Row],[CATEGORY]])</f>
        <v>5</v>
      </c>
      <c r="AM12">
        <f>SUMIFS(Pre[38],Pre[CATEGORY],Table11[[#This Row],[CATEGORY]])</f>
        <v>3</v>
      </c>
      <c r="AN12">
        <f>SUMIFS(Pre[39],Pre[CATEGORY],Table11[[#This Row],[CATEGORY]])</f>
        <v>2</v>
      </c>
      <c r="AO12">
        <f>SUMIFS(Pre[40],Pre[CATEGORY],Table11[[#This Row],[CATEGORY]])</f>
        <v>1</v>
      </c>
      <c r="AP12">
        <f>SUMIFS(Pre[41],Pre[CATEGORY],Table11[[#This Row],[CATEGORY]])</f>
        <v>2</v>
      </c>
      <c r="AQ12">
        <f>SUMIFS(Pre[42],Pre[CATEGORY],Table11[[#This Row],[CATEGORY]])</f>
        <v>3</v>
      </c>
      <c r="AR12">
        <f>SUMIFS(Pre[43],Pre[CATEGORY],Table11[[#This Row],[CATEGORY]])</f>
        <v>2</v>
      </c>
      <c r="AS12">
        <f>SUMIFS(Pre[44],Pre[CATEGORY],Table11[[#This Row],[CATEGORY]])</f>
        <v>4</v>
      </c>
      <c r="AT12">
        <f>SUMIFS(Pre[45],Pre[CATEGORY],Table11[[#This Row],[CATEGORY]])</f>
        <v>5</v>
      </c>
      <c r="AU12">
        <f>SUMIFS(Pre[46],Pre[CATEGORY],Table11[[#This Row],[CATEGORY]])</f>
        <v>3</v>
      </c>
      <c r="AV12">
        <f>SUM(Table11[[#This Row],[1]:[46]])</f>
        <v>71</v>
      </c>
    </row>
    <row r="13" spans="1:48" x14ac:dyDescent="0.2">
      <c r="A13" t="s">
        <v>147</v>
      </c>
      <c r="B13">
        <f>SUBTOTAL(109,Table11[1])</f>
        <v>320</v>
      </c>
      <c r="C13">
        <f>SUBTOTAL(109,Table11[2])</f>
        <v>308</v>
      </c>
      <c r="D13">
        <f>SUBTOTAL(109,Table11[3])</f>
        <v>314</v>
      </c>
      <c r="E13">
        <f>SUBTOTAL(109,Table11[4])</f>
        <v>307</v>
      </c>
      <c r="F13">
        <f>SUBTOTAL(109,Table11[5])</f>
        <v>319</v>
      </c>
      <c r="G13">
        <f>SUBTOTAL(109,Table11[6])</f>
        <v>297</v>
      </c>
      <c r="H13">
        <f>SUBTOTAL(109,Table11[7])</f>
        <v>307</v>
      </c>
      <c r="I13">
        <f>SUBTOTAL(109,Table11[8])</f>
        <v>279</v>
      </c>
      <c r="J13">
        <f>SUBTOTAL(109,Table11[9])</f>
        <v>316</v>
      </c>
      <c r="K13">
        <f>SUBTOTAL(109,Table11[10])</f>
        <v>320</v>
      </c>
      <c r="L13">
        <f>SUBTOTAL(109,Table11[11])</f>
        <v>336</v>
      </c>
      <c r="M13">
        <f>SUBTOTAL(109,Table11[12])</f>
        <v>313</v>
      </c>
      <c r="N13">
        <f>SUBTOTAL(109,Table11[13])</f>
        <v>334</v>
      </c>
      <c r="O13">
        <f>SUBTOTAL(109,Table11[14])</f>
        <v>330</v>
      </c>
      <c r="P13">
        <f>SUBTOTAL(109,Table11[15])</f>
        <v>361</v>
      </c>
      <c r="Q13">
        <f>SUBTOTAL(109,Table11[16])</f>
        <v>300</v>
      </c>
      <c r="R13">
        <f>SUBTOTAL(109,Table11[17])</f>
        <v>329</v>
      </c>
      <c r="S13">
        <f>SUBTOTAL(109,Table11[18])</f>
        <v>338</v>
      </c>
      <c r="T13">
        <f>SUBTOTAL(109,Table11[19])</f>
        <v>370</v>
      </c>
      <c r="U13">
        <f>SUBTOTAL(109,Table11[20])</f>
        <v>312</v>
      </c>
      <c r="V13">
        <f>SUBTOTAL(109,Table11[21])</f>
        <v>287</v>
      </c>
      <c r="W13">
        <f>SUBTOTAL(109,Table11[22])</f>
        <v>324</v>
      </c>
      <c r="X13">
        <f>SUBTOTAL(109,Table11[23])</f>
        <v>308</v>
      </c>
      <c r="Y13">
        <f>SUBTOTAL(109,Table11[24])</f>
        <v>362</v>
      </c>
      <c r="Z13">
        <f>SUBTOTAL(109,Table11[25])</f>
        <v>345</v>
      </c>
      <c r="AA13">
        <f>SUBTOTAL(109,Table11[26])</f>
        <v>305</v>
      </c>
      <c r="AB13">
        <f>SUBTOTAL(109,Table11[27])</f>
        <v>363</v>
      </c>
      <c r="AC13">
        <f>SUBTOTAL(109,Table11[28])</f>
        <v>318</v>
      </c>
      <c r="AD13">
        <f>SUBTOTAL(109,Table11[29])</f>
        <v>326</v>
      </c>
      <c r="AE13">
        <f>SUBTOTAL(109,Table11[30])</f>
        <v>329</v>
      </c>
      <c r="AF13">
        <f>SUBTOTAL(109,Table11[31])</f>
        <v>312</v>
      </c>
      <c r="AG13">
        <f>SUBTOTAL(109,Table11[32])</f>
        <v>337</v>
      </c>
      <c r="AH13">
        <f>SUBTOTAL(109,Table11[33])</f>
        <v>338</v>
      </c>
      <c r="AI13">
        <f>SUBTOTAL(109,Table11[34])</f>
        <v>330</v>
      </c>
      <c r="AJ13">
        <f>SUBTOTAL(109,Table11[35])</f>
        <v>323</v>
      </c>
      <c r="AK13">
        <f>SUBTOTAL(109,Table11[36])</f>
        <v>320</v>
      </c>
      <c r="AL13">
        <f>SUBTOTAL(109,Table11[37])</f>
        <v>338</v>
      </c>
      <c r="AM13">
        <f>SUBTOTAL(109,Table11[38])</f>
        <v>330</v>
      </c>
      <c r="AN13">
        <f>SUBTOTAL(109,Table11[39])</f>
        <v>301</v>
      </c>
      <c r="AO13">
        <f>SUBTOTAL(109,Table11[40])</f>
        <v>349</v>
      </c>
      <c r="AP13">
        <f>SUBTOTAL(109,Table11[41])</f>
        <v>290</v>
      </c>
      <c r="AQ13">
        <f>SUBTOTAL(109,Table11[42])</f>
        <v>346</v>
      </c>
      <c r="AR13">
        <f>SUBTOTAL(109,Table11[43])</f>
        <v>370</v>
      </c>
      <c r="AS13">
        <f>SUBTOTAL(109,Table11[44])</f>
        <v>327</v>
      </c>
      <c r="AT13">
        <f>SUBTOTAL(109,Table11[45])</f>
        <v>290</v>
      </c>
      <c r="AU13">
        <f>SUBTOTAL(109,Table11[46])</f>
        <v>297</v>
      </c>
      <c r="AV13">
        <f>SUBTOTAL(109,Table11[SCRIPTS])</f>
        <v>14875</v>
      </c>
    </row>
    <row r="15" spans="1:48" x14ac:dyDescent="0.2">
      <c r="A15" t="s">
        <v>6</v>
      </c>
    </row>
    <row r="16" spans="1:48" x14ac:dyDescent="0.2">
      <c r="A16" t="s">
        <v>3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  <c r="P16" t="s">
        <v>85</v>
      </c>
      <c r="Q16" t="s">
        <v>86</v>
      </c>
      <c r="R16" t="s">
        <v>87</v>
      </c>
      <c r="S16" t="s">
        <v>88</v>
      </c>
      <c r="T16" t="s">
        <v>89</v>
      </c>
      <c r="U16" t="s">
        <v>90</v>
      </c>
      <c r="V16" t="s">
        <v>91</v>
      </c>
      <c r="W16" t="s">
        <v>92</v>
      </c>
      <c r="X16" t="s">
        <v>93</v>
      </c>
      <c r="Y16" t="s">
        <v>94</v>
      </c>
      <c r="Z16" t="s">
        <v>95</v>
      </c>
      <c r="AA16" t="s">
        <v>96</v>
      </c>
      <c r="AB16" t="s">
        <v>97</v>
      </c>
      <c r="AC16" t="s">
        <v>98</v>
      </c>
      <c r="AD16" t="s">
        <v>99</v>
      </c>
      <c r="AE16" t="s">
        <v>100</v>
      </c>
      <c r="AF16" t="s">
        <v>101</v>
      </c>
      <c r="AG16" t="s">
        <v>102</v>
      </c>
      <c r="AH16" t="s">
        <v>103</v>
      </c>
      <c r="AI16" t="s">
        <v>104</v>
      </c>
      <c r="AJ16" t="s">
        <v>105</v>
      </c>
      <c r="AK16" t="s">
        <v>106</v>
      </c>
      <c r="AL16" t="s">
        <v>107</v>
      </c>
      <c r="AM16" t="s">
        <v>108</v>
      </c>
      <c r="AN16" t="s">
        <v>109</v>
      </c>
      <c r="AO16" t="s">
        <v>110</v>
      </c>
      <c r="AP16" t="s">
        <v>111</v>
      </c>
      <c r="AQ16" t="s">
        <v>112</v>
      </c>
      <c r="AR16" t="s">
        <v>113</v>
      </c>
      <c r="AS16" t="s">
        <v>114</v>
      </c>
      <c r="AT16" t="s">
        <v>115</v>
      </c>
      <c r="AU16" t="s">
        <v>116</v>
      </c>
      <c r="AV16" t="s">
        <v>117</v>
      </c>
    </row>
    <row r="17" spans="1:48" x14ac:dyDescent="0.2">
      <c r="A17" t="s">
        <v>8</v>
      </c>
      <c r="B17">
        <f>SUMIFS(Pre[1],Pre[CATEGORY],Table111521[[#This Row],[CATEGORY]],Pre[GROUPING],"Jan")</f>
        <v>59</v>
      </c>
      <c r="C17">
        <f>SUMIFS(Pre[2],Pre[CATEGORY],Table111521[[#This Row],[CATEGORY]],Pre[GROUPING],"Jan")</f>
        <v>58</v>
      </c>
      <c r="D17">
        <f>SUMIFS(Pre[3],Pre[CATEGORY],Table111521[[#This Row],[CATEGORY]],Pre[GROUPING],"Jan")</f>
        <v>61</v>
      </c>
      <c r="E17">
        <f>SUMIFS(Pre[4],Pre[CATEGORY],Table111521[[#This Row],[CATEGORY]],Pre[GROUPING],"Jan")</f>
        <v>59</v>
      </c>
      <c r="F17">
        <f>SUMIFS(Pre[5],Pre[CATEGORY],Table111521[[#This Row],[CATEGORY]],Pre[GROUPING],"Jan")</f>
        <v>64</v>
      </c>
      <c r="G17">
        <f>SUMIFS(Pre[6],Pre[CATEGORY],Table111521[[#This Row],[CATEGORY]],Pre[GROUPING],"Jan")</f>
        <v>68</v>
      </c>
      <c r="H17">
        <f>SUMIFS(Pre[7],Pre[CATEGORY],Table111521[[#This Row],[CATEGORY]],Pre[GROUPING],"Jan")</f>
        <v>54</v>
      </c>
      <c r="I17">
        <f>SUMIFS(Pre[8],Pre[CATEGORY],Table111521[[#This Row],[CATEGORY]],Pre[GROUPING],"Jan")</f>
        <v>45</v>
      </c>
      <c r="J17">
        <f>SUMIFS(Pre[9],Pre[CATEGORY],Table111521[[#This Row],[CATEGORY]],Pre[GROUPING],"Jan")</f>
        <v>70</v>
      </c>
      <c r="K17">
        <f>SUMIFS(Pre[10],Pre[CATEGORY],Table111521[[#This Row],[CATEGORY]],Pre[GROUPING],"Jan")</f>
        <v>63</v>
      </c>
      <c r="L17">
        <f>SUMIFS(Pre[11],Pre[CATEGORY],Table111521[[#This Row],[CATEGORY]],Pre[GROUPING],"Jan")</f>
        <v>49</v>
      </c>
      <c r="M17">
        <f>SUMIFS(Pre[12],Pre[CATEGORY],Table111521[[#This Row],[CATEGORY]],Pre[GROUPING],"Jan")</f>
        <v>58</v>
      </c>
      <c r="N17">
        <f>SUMIFS(Pre[13],Pre[CATEGORY],Table111521[[#This Row],[CATEGORY]],Pre[GROUPING],"Jan")</f>
        <v>68</v>
      </c>
      <c r="O17">
        <f>SUMIFS(Pre[14],Pre[CATEGORY],Table111521[[#This Row],[CATEGORY]],Pre[GROUPING],"Jan")</f>
        <v>62</v>
      </c>
      <c r="P17">
        <f>SUMIFS(Pre[15],Pre[CATEGORY],Table111521[[#This Row],[CATEGORY]],Pre[GROUPING],"Jan")</f>
        <v>92</v>
      </c>
      <c r="Q17">
        <f>SUMIFS(Pre[16],Pre[CATEGORY],Table111521[[#This Row],[CATEGORY]],Pre[GROUPING],"Jan")</f>
        <v>46</v>
      </c>
      <c r="R17">
        <f>SUMIFS(Pre[17],Pre[CATEGORY],Table111521[[#This Row],[CATEGORY]],Pre[GROUPING],"Jan")</f>
        <v>57</v>
      </c>
      <c r="S17">
        <f>SUMIFS(Pre[18],Pre[CATEGORY],Table111521[[#This Row],[CATEGORY]],Pre[GROUPING],"Jan")</f>
        <v>67</v>
      </c>
      <c r="T17">
        <f>SUMIFS(Pre[19],Pre[CATEGORY],Table111521[[#This Row],[CATEGORY]],Pre[GROUPING],"Jan")</f>
        <v>91</v>
      </c>
      <c r="U17">
        <f>SUMIFS(Pre[20],Pre[CATEGORY],Table111521[[#This Row],[CATEGORY]],Pre[GROUPING],"Jan")</f>
        <v>40</v>
      </c>
      <c r="V17">
        <f>SUMIFS(Pre[21],Pre[CATEGORY],Table111521[[#This Row],[CATEGORY]],Pre[GROUPING],"Jan")</f>
        <v>45</v>
      </c>
      <c r="W17">
        <f>SUMIFS(Pre[22],Pre[CATEGORY],Table111521[[#This Row],[CATEGORY]],Pre[GROUPING],"Jan")</f>
        <v>50</v>
      </c>
      <c r="X17">
        <f>SUMIFS(Pre[23],Pre[CATEGORY],Table111521[[#This Row],[CATEGORY]],Pre[GROUPING],"Jan")</f>
        <v>69</v>
      </c>
      <c r="Y17">
        <f>SUMIFS(Pre[24],Pre[CATEGORY],Table111521[[#This Row],[CATEGORY]],Pre[GROUPING],"Jan")</f>
        <v>73</v>
      </c>
      <c r="Z17">
        <f>SUMIFS(Pre[25],Pre[CATEGORY],Table111521[[#This Row],[CATEGORY]],Pre[GROUPING],"Jan")</f>
        <v>54</v>
      </c>
      <c r="AA17">
        <f>SUMIFS(Pre[26],Pre[CATEGORY],Table111521[[#This Row],[CATEGORY]],Pre[GROUPING],"Jan")</f>
        <v>65</v>
      </c>
      <c r="AB17">
        <f>SUMIFS(Pre[27],Pre[CATEGORY],Table111521[[#This Row],[CATEGORY]],Pre[GROUPING],"Jan")</f>
        <v>64</v>
      </c>
      <c r="AC17">
        <f>SUMIFS(Pre[28],Pre[CATEGORY],Table111521[[#This Row],[CATEGORY]],Pre[GROUPING],"Jan")</f>
        <v>61</v>
      </c>
      <c r="AD17">
        <f>SUMIFS(Pre[29],Pre[CATEGORY],Table111521[[#This Row],[CATEGORY]],Pre[GROUPING],"Jan")</f>
        <v>70</v>
      </c>
      <c r="AE17">
        <f>SUMIFS(Pre[30],Pre[CATEGORY],Table111521[[#This Row],[CATEGORY]],Pre[GROUPING],"Jan")</f>
        <v>62</v>
      </c>
      <c r="AF17">
        <f>SUMIFS(Pre[31],Pre[CATEGORY],Table111521[[#This Row],[CATEGORY]],Pre[GROUPING],"Jan")</f>
        <v>55</v>
      </c>
      <c r="AG17">
        <f>SUMIFS(Pre[32],Pre[CATEGORY],Table111521[[#This Row],[CATEGORY]],Pre[GROUPING],"Jan")</f>
        <v>74</v>
      </c>
      <c r="AH17">
        <f>SUMIFS(Pre[33],Pre[CATEGORY],Table111521[[#This Row],[CATEGORY]],Pre[GROUPING],"Jan")</f>
        <v>62</v>
      </c>
      <c r="AI17">
        <f>SUMIFS(Pre[34],Pre[CATEGORY],Table111521[[#This Row],[CATEGORY]],Pre[GROUPING],"Jan")</f>
        <v>53</v>
      </c>
      <c r="AJ17">
        <f>SUMIFS(Pre[35],Pre[CATEGORY],Table111521[[#This Row],[CATEGORY]],Pre[GROUPING],"Jan")</f>
        <v>55</v>
      </c>
      <c r="AK17">
        <f>SUMIFS(Pre[36],Pre[CATEGORY],Table111521[[#This Row],[CATEGORY]],Pre[GROUPING],"Jan")</f>
        <v>45</v>
      </c>
      <c r="AL17">
        <f>SUMIFS(Pre[37],Pre[CATEGORY],Table111521[[#This Row],[CATEGORY]],Pre[GROUPING],"Jan")</f>
        <v>81</v>
      </c>
      <c r="AM17">
        <f>SUMIFS(Pre[38],Pre[CATEGORY],Table111521[[#This Row],[CATEGORY]],Pre[GROUPING],"Jan")</f>
        <v>58</v>
      </c>
      <c r="AN17">
        <f>SUMIFS(Pre[39],Pre[CATEGORY],Table111521[[#This Row],[CATEGORY]],Pre[GROUPING],"Jan")</f>
        <v>71</v>
      </c>
      <c r="AO17">
        <f>SUMIFS(Pre[40],Pre[CATEGORY],Table111521[[#This Row],[CATEGORY]],Pre[GROUPING],"Jan")</f>
        <v>71</v>
      </c>
      <c r="AP17">
        <f>SUMIFS(Pre[41],Pre[CATEGORY],Table111521[[#This Row],[CATEGORY]],Pre[GROUPING],"Jan")</f>
        <v>56</v>
      </c>
      <c r="AQ17">
        <f>SUMIFS(Pre[42],Pre[CATEGORY],Table111521[[#This Row],[CATEGORY]],Pre[GROUPING],"Jan")</f>
        <v>82</v>
      </c>
      <c r="AR17">
        <f>SUMIFS(Pre[43],Pre[CATEGORY],Table111521[[#This Row],[CATEGORY]],Pre[GROUPING],"Jan")</f>
        <v>67</v>
      </c>
      <c r="AS17">
        <f>SUMIFS(Pre[44],Pre[CATEGORY],Table111521[[#This Row],[CATEGORY]],Pre[GROUPING],"Jan")</f>
        <v>58</v>
      </c>
      <c r="AT17">
        <f>SUMIFS(Pre[45],Pre[CATEGORY],Table111521[[#This Row],[CATEGORY]],Pre[GROUPING],"Jan")</f>
        <v>58</v>
      </c>
      <c r="AU17">
        <f>SUMIFS(Pre[46],Pre[CATEGORY],Table111521[[#This Row],[CATEGORY]],Pre[GROUPING],"Jan")</f>
        <v>66</v>
      </c>
      <c r="AV17">
        <f>SUM(Table111521[[#This Row],[1]:[46]])</f>
        <v>2856</v>
      </c>
    </row>
    <row r="18" spans="1:48" x14ac:dyDescent="0.2">
      <c r="A18" t="s">
        <v>10</v>
      </c>
      <c r="B18">
        <f>SUMIFS(Pre[1],Pre[CATEGORY],Table111521[[#This Row],[CATEGORY]],Pre[GROUPING],"Jan")</f>
        <v>4</v>
      </c>
      <c r="C18">
        <f>SUMIFS(Pre[2],Pre[CATEGORY],Table111521[[#This Row],[CATEGORY]],Pre[GROUPING],"Jan")</f>
        <v>9</v>
      </c>
      <c r="D18">
        <f>SUMIFS(Pre[3],Pre[CATEGORY],Table111521[[#This Row],[CATEGORY]],Pre[GROUPING],"Jan")</f>
        <v>10</v>
      </c>
      <c r="E18">
        <f>SUMIFS(Pre[4],Pre[CATEGORY],Table111521[[#This Row],[CATEGORY]],Pre[GROUPING],"Jan")</f>
        <v>8</v>
      </c>
      <c r="F18">
        <f>SUMIFS(Pre[5],Pre[CATEGORY],Table111521[[#This Row],[CATEGORY]],Pre[GROUPING],"Jan")</f>
        <v>4</v>
      </c>
      <c r="G18">
        <f>SUMIFS(Pre[6],Pre[CATEGORY],Table111521[[#This Row],[CATEGORY]],Pre[GROUPING],"Jan")</f>
        <v>2</v>
      </c>
      <c r="H18">
        <f>SUMIFS(Pre[7],Pre[CATEGORY],Table111521[[#This Row],[CATEGORY]],Pre[GROUPING],"Jan")</f>
        <v>6</v>
      </c>
      <c r="I18">
        <f>SUMIFS(Pre[8],Pre[CATEGORY],Table111521[[#This Row],[CATEGORY]],Pre[GROUPING],"Jan")</f>
        <v>9</v>
      </c>
      <c r="J18">
        <f>SUMIFS(Pre[9],Pre[CATEGORY],Table111521[[#This Row],[CATEGORY]],Pre[GROUPING],"Jan")</f>
        <v>3</v>
      </c>
      <c r="K18">
        <f>SUMIFS(Pre[10],Pre[CATEGORY],Table111521[[#This Row],[CATEGORY]],Pre[GROUPING],"Jan")</f>
        <v>6</v>
      </c>
      <c r="L18">
        <f>SUMIFS(Pre[11],Pre[CATEGORY],Table111521[[#This Row],[CATEGORY]],Pre[GROUPING],"Jan")</f>
        <v>8</v>
      </c>
      <c r="M18">
        <f>SUMIFS(Pre[12],Pre[CATEGORY],Table111521[[#This Row],[CATEGORY]],Pre[GROUPING],"Jan")</f>
        <v>4</v>
      </c>
      <c r="N18">
        <f>SUMIFS(Pre[13],Pre[CATEGORY],Table111521[[#This Row],[CATEGORY]],Pre[GROUPING],"Jan")</f>
        <v>5</v>
      </c>
      <c r="O18">
        <f>SUMIFS(Pre[14],Pre[CATEGORY],Table111521[[#This Row],[CATEGORY]],Pre[GROUPING],"Jan")</f>
        <v>2</v>
      </c>
      <c r="P18">
        <f>SUMIFS(Pre[15],Pre[CATEGORY],Table111521[[#This Row],[CATEGORY]],Pre[GROUPING],"Jan")</f>
        <v>9</v>
      </c>
      <c r="Q18">
        <f>SUMIFS(Pre[16],Pre[CATEGORY],Table111521[[#This Row],[CATEGORY]],Pre[GROUPING],"Jan")</f>
        <v>7</v>
      </c>
      <c r="R18">
        <f>SUMIFS(Pre[17],Pre[CATEGORY],Table111521[[#This Row],[CATEGORY]],Pre[GROUPING],"Jan")</f>
        <v>6</v>
      </c>
      <c r="S18">
        <f>SUMIFS(Pre[18],Pre[CATEGORY],Table111521[[#This Row],[CATEGORY]],Pre[GROUPING],"Jan")</f>
        <v>10</v>
      </c>
      <c r="T18">
        <f>SUMIFS(Pre[19],Pre[CATEGORY],Table111521[[#This Row],[CATEGORY]],Pre[GROUPING],"Jan")</f>
        <v>7</v>
      </c>
      <c r="U18">
        <f>SUMIFS(Pre[20],Pre[CATEGORY],Table111521[[#This Row],[CATEGORY]],Pre[GROUPING],"Jan")</f>
        <v>4</v>
      </c>
      <c r="V18">
        <f>SUMIFS(Pre[21],Pre[CATEGORY],Table111521[[#This Row],[CATEGORY]],Pre[GROUPING],"Jan")</f>
        <v>4</v>
      </c>
      <c r="W18">
        <f>SUMIFS(Pre[22],Pre[CATEGORY],Table111521[[#This Row],[CATEGORY]],Pre[GROUPING],"Jan")</f>
        <v>4</v>
      </c>
      <c r="X18">
        <f>SUMIFS(Pre[23],Pre[CATEGORY],Table111521[[#This Row],[CATEGORY]],Pre[GROUPING],"Jan")</f>
        <v>8</v>
      </c>
      <c r="Y18">
        <f>SUMIFS(Pre[24],Pre[CATEGORY],Table111521[[#This Row],[CATEGORY]],Pre[GROUPING],"Jan")</f>
        <v>4</v>
      </c>
      <c r="Z18">
        <f>SUMIFS(Pre[25],Pre[CATEGORY],Table111521[[#This Row],[CATEGORY]],Pre[GROUPING],"Jan")</f>
        <v>4</v>
      </c>
      <c r="AA18">
        <f>SUMIFS(Pre[26],Pre[CATEGORY],Table111521[[#This Row],[CATEGORY]],Pre[GROUPING],"Jan")</f>
        <v>7</v>
      </c>
      <c r="AB18">
        <f>SUMIFS(Pre[27],Pre[CATEGORY],Table111521[[#This Row],[CATEGORY]],Pre[GROUPING],"Jan")</f>
        <v>6</v>
      </c>
      <c r="AC18">
        <f>SUMIFS(Pre[28],Pre[CATEGORY],Table111521[[#This Row],[CATEGORY]],Pre[GROUPING],"Jan")</f>
        <v>5</v>
      </c>
      <c r="AD18">
        <f>SUMIFS(Pre[29],Pre[CATEGORY],Table111521[[#This Row],[CATEGORY]],Pre[GROUPING],"Jan")</f>
        <v>8</v>
      </c>
      <c r="AE18">
        <f>SUMIFS(Pre[30],Pre[CATEGORY],Table111521[[#This Row],[CATEGORY]],Pre[GROUPING],"Jan")</f>
        <v>3</v>
      </c>
      <c r="AF18">
        <f>SUMIFS(Pre[31],Pre[CATEGORY],Table111521[[#This Row],[CATEGORY]],Pre[GROUPING],"Jan")</f>
        <v>11</v>
      </c>
      <c r="AG18">
        <f>SUMIFS(Pre[32],Pre[CATEGORY],Table111521[[#This Row],[CATEGORY]],Pre[GROUPING],"Jan")</f>
        <v>8</v>
      </c>
      <c r="AH18">
        <f>SUMIFS(Pre[33],Pre[CATEGORY],Table111521[[#This Row],[CATEGORY]],Pre[GROUPING],"Jan")</f>
        <v>6</v>
      </c>
      <c r="AI18">
        <f>SUMIFS(Pre[34],Pre[CATEGORY],Table111521[[#This Row],[CATEGORY]],Pre[GROUPING],"Jan")</f>
        <v>5</v>
      </c>
      <c r="AJ18">
        <f>SUMIFS(Pre[35],Pre[CATEGORY],Table111521[[#This Row],[CATEGORY]],Pre[GROUPING],"Jan")</f>
        <v>7</v>
      </c>
      <c r="AK18">
        <f>SUMIFS(Pre[36],Pre[CATEGORY],Table111521[[#This Row],[CATEGORY]],Pre[GROUPING],"Jan")</f>
        <v>1</v>
      </c>
      <c r="AL18">
        <f>SUMIFS(Pre[37],Pre[CATEGORY],Table111521[[#This Row],[CATEGORY]],Pre[GROUPING],"Jan")</f>
        <v>7</v>
      </c>
      <c r="AM18">
        <f>SUMIFS(Pre[38],Pre[CATEGORY],Table111521[[#This Row],[CATEGORY]],Pre[GROUPING],"Jan")</f>
        <v>1</v>
      </c>
      <c r="AN18">
        <f>SUMIFS(Pre[39],Pre[CATEGORY],Table111521[[#This Row],[CATEGORY]],Pre[GROUPING],"Jan")</f>
        <v>8</v>
      </c>
      <c r="AO18">
        <f>SUMIFS(Pre[40],Pre[CATEGORY],Table111521[[#This Row],[CATEGORY]],Pre[GROUPING],"Jan")</f>
        <v>9</v>
      </c>
      <c r="AP18">
        <f>SUMIFS(Pre[41],Pre[CATEGORY],Table111521[[#This Row],[CATEGORY]],Pre[GROUPING],"Jan")</f>
        <v>6</v>
      </c>
      <c r="AQ18">
        <f>SUMIFS(Pre[42],Pre[CATEGORY],Table111521[[#This Row],[CATEGORY]],Pre[GROUPING],"Jan")</f>
        <v>7</v>
      </c>
      <c r="AR18">
        <f>SUMIFS(Pre[43],Pre[CATEGORY],Table111521[[#This Row],[CATEGORY]],Pre[GROUPING],"Jan")</f>
        <v>6</v>
      </c>
      <c r="AS18">
        <f>SUMIFS(Pre[44],Pre[CATEGORY],Table111521[[#This Row],[CATEGORY]],Pre[GROUPING],"Jan")</f>
        <v>10</v>
      </c>
      <c r="AT18">
        <f>SUMIFS(Pre[45],Pre[CATEGORY],Table111521[[#This Row],[CATEGORY]],Pre[GROUPING],"Jan")</f>
        <v>9</v>
      </c>
      <c r="AU18">
        <f>SUMIFS(Pre[46],Pre[CATEGORY],Table111521[[#This Row],[CATEGORY]],Pre[GROUPING],"Jan")</f>
        <v>10</v>
      </c>
      <c r="AV18">
        <f>SUM(Table111521[[#This Row],[1]:[46]])</f>
        <v>287</v>
      </c>
    </row>
    <row r="19" spans="1:48" x14ac:dyDescent="0.2">
      <c r="A19" t="s">
        <v>12</v>
      </c>
      <c r="B19">
        <f>SUMIFS(Pre[1],Pre[CATEGORY],Table111521[[#This Row],[CATEGORY]],Pre[GROUPING],"Jan")</f>
        <v>0</v>
      </c>
      <c r="C19">
        <f>SUMIFS(Pre[2],Pre[CATEGORY],Table111521[[#This Row],[CATEGORY]],Pre[GROUPING],"Jan")</f>
        <v>0</v>
      </c>
      <c r="D19">
        <f>SUMIFS(Pre[3],Pre[CATEGORY],Table111521[[#This Row],[CATEGORY]],Pre[GROUPING],"Jan")</f>
        <v>0</v>
      </c>
      <c r="E19">
        <f>SUMIFS(Pre[4],Pre[CATEGORY],Table111521[[#This Row],[CATEGORY]],Pre[GROUPING],"Jan")</f>
        <v>1</v>
      </c>
      <c r="F19">
        <f>SUMIFS(Pre[5],Pre[CATEGORY],Table111521[[#This Row],[CATEGORY]],Pre[GROUPING],"Jan")</f>
        <v>0</v>
      </c>
      <c r="G19">
        <f>SUMIFS(Pre[6],Pre[CATEGORY],Table111521[[#This Row],[CATEGORY]],Pre[GROUPING],"Jan")</f>
        <v>0</v>
      </c>
      <c r="H19">
        <f>SUMIFS(Pre[7],Pre[CATEGORY],Table111521[[#This Row],[CATEGORY]],Pre[GROUPING],"Jan")</f>
        <v>0</v>
      </c>
      <c r="I19">
        <f>SUMIFS(Pre[8],Pre[CATEGORY],Table111521[[#This Row],[CATEGORY]],Pre[GROUPING],"Jan")</f>
        <v>0</v>
      </c>
      <c r="J19">
        <f>SUMIFS(Pre[9],Pre[CATEGORY],Table111521[[#This Row],[CATEGORY]],Pre[GROUPING],"Jan")</f>
        <v>0</v>
      </c>
      <c r="K19">
        <f>SUMIFS(Pre[10],Pre[CATEGORY],Table111521[[#This Row],[CATEGORY]],Pre[GROUPING],"Jan")</f>
        <v>0</v>
      </c>
      <c r="L19">
        <f>SUMIFS(Pre[11],Pre[CATEGORY],Table111521[[#This Row],[CATEGORY]],Pre[GROUPING],"Jan")</f>
        <v>1</v>
      </c>
      <c r="M19">
        <f>SUMIFS(Pre[12],Pre[CATEGORY],Table111521[[#This Row],[CATEGORY]],Pre[GROUPING],"Jan")</f>
        <v>0</v>
      </c>
      <c r="N19">
        <f>SUMIFS(Pre[13],Pre[CATEGORY],Table111521[[#This Row],[CATEGORY]],Pre[GROUPING],"Jan")</f>
        <v>2</v>
      </c>
      <c r="O19">
        <f>SUMIFS(Pre[14],Pre[CATEGORY],Table111521[[#This Row],[CATEGORY]],Pre[GROUPING],"Jan")</f>
        <v>0</v>
      </c>
      <c r="P19">
        <f>SUMIFS(Pre[15],Pre[CATEGORY],Table111521[[#This Row],[CATEGORY]],Pre[GROUPING],"Jan")</f>
        <v>0</v>
      </c>
      <c r="Q19">
        <f>SUMIFS(Pre[16],Pre[CATEGORY],Table111521[[#This Row],[CATEGORY]],Pre[GROUPING],"Jan")</f>
        <v>1</v>
      </c>
      <c r="R19">
        <f>SUMIFS(Pre[17],Pre[CATEGORY],Table111521[[#This Row],[CATEGORY]],Pre[GROUPING],"Jan")</f>
        <v>4</v>
      </c>
      <c r="S19">
        <f>SUMIFS(Pre[18],Pre[CATEGORY],Table111521[[#This Row],[CATEGORY]],Pre[GROUPING],"Jan")</f>
        <v>0</v>
      </c>
      <c r="T19">
        <f>SUMIFS(Pre[19],Pre[CATEGORY],Table111521[[#This Row],[CATEGORY]],Pre[GROUPING],"Jan")</f>
        <v>0</v>
      </c>
      <c r="U19">
        <f>SUMIFS(Pre[20],Pre[CATEGORY],Table111521[[#This Row],[CATEGORY]],Pre[GROUPING],"Jan")</f>
        <v>0</v>
      </c>
      <c r="V19">
        <f>SUMIFS(Pre[21],Pre[CATEGORY],Table111521[[#This Row],[CATEGORY]],Pre[GROUPING],"Jan")</f>
        <v>0</v>
      </c>
      <c r="W19">
        <f>SUMIFS(Pre[22],Pre[CATEGORY],Table111521[[#This Row],[CATEGORY]],Pre[GROUPING],"Jan")</f>
        <v>0</v>
      </c>
      <c r="X19">
        <f>SUMIFS(Pre[23],Pre[CATEGORY],Table111521[[#This Row],[CATEGORY]],Pre[GROUPING],"Jan")</f>
        <v>0</v>
      </c>
      <c r="Y19">
        <f>SUMIFS(Pre[24],Pre[CATEGORY],Table111521[[#This Row],[CATEGORY]],Pre[GROUPING],"Jan")</f>
        <v>0</v>
      </c>
      <c r="Z19">
        <f>SUMIFS(Pre[25],Pre[CATEGORY],Table111521[[#This Row],[CATEGORY]],Pre[GROUPING],"Jan")</f>
        <v>4</v>
      </c>
      <c r="AA19">
        <f>SUMIFS(Pre[26],Pre[CATEGORY],Table111521[[#This Row],[CATEGORY]],Pre[GROUPING],"Jan")</f>
        <v>0</v>
      </c>
      <c r="AB19">
        <f>SUMIFS(Pre[27],Pre[CATEGORY],Table111521[[#This Row],[CATEGORY]],Pre[GROUPING],"Jan")</f>
        <v>0</v>
      </c>
      <c r="AC19">
        <f>SUMIFS(Pre[28],Pre[CATEGORY],Table111521[[#This Row],[CATEGORY]],Pre[GROUPING],"Jan")</f>
        <v>0</v>
      </c>
      <c r="AD19">
        <f>SUMIFS(Pre[29],Pre[CATEGORY],Table111521[[#This Row],[CATEGORY]],Pre[GROUPING],"Jan")</f>
        <v>2</v>
      </c>
      <c r="AE19">
        <f>SUMIFS(Pre[30],Pre[CATEGORY],Table111521[[#This Row],[CATEGORY]],Pre[GROUPING],"Jan")</f>
        <v>1</v>
      </c>
      <c r="AF19">
        <f>SUMIFS(Pre[31],Pre[CATEGORY],Table111521[[#This Row],[CATEGORY]],Pre[GROUPING],"Jan")</f>
        <v>0</v>
      </c>
      <c r="AG19">
        <f>SUMIFS(Pre[32],Pre[CATEGORY],Table111521[[#This Row],[CATEGORY]],Pre[GROUPING],"Jan")</f>
        <v>0</v>
      </c>
      <c r="AH19">
        <f>SUMIFS(Pre[33],Pre[CATEGORY],Table111521[[#This Row],[CATEGORY]],Pre[GROUPING],"Jan")</f>
        <v>1</v>
      </c>
      <c r="AI19">
        <f>SUMIFS(Pre[34],Pre[CATEGORY],Table111521[[#This Row],[CATEGORY]],Pre[GROUPING],"Jan")</f>
        <v>0</v>
      </c>
      <c r="AJ19">
        <f>SUMIFS(Pre[35],Pre[CATEGORY],Table111521[[#This Row],[CATEGORY]],Pre[GROUPING],"Jan")</f>
        <v>1</v>
      </c>
      <c r="AK19">
        <f>SUMIFS(Pre[36],Pre[CATEGORY],Table111521[[#This Row],[CATEGORY]],Pre[GROUPING],"Jan")</f>
        <v>1</v>
      </c>
      <c r="AL19">
        <f>SUMIFS(Pre[37],Pre[CATEGORY],Table111521[[#This Row],[CATEGORY]],Pre[GROUPING],"Jan")</f>
        <v>1</v>
      </c>
      <c r="AM19">
        <f>SUMIFS(Pre[38],Pre[CATEGORY],Table111521[[#This Row],[CATEGORY]],Pre[GROUPING],"Jan")</f>
        <v>0</v>
      </c>
      <c r="AN19">
        <f>SUMIFS(Pre[39],Pre[CATEGORY],Table111521[[#This Row],[CATEGORY]],Pre[GROUPING],"Jan")</f>
        <v>0</v>
      </c>
      <c r="AO19">
        <f>SUMIFS(Pre[40],Pre[CATEGORY],Table111521[[#This Row],[CATEGORY]],Pre[GROUPING],"Jan")</f>
        <v>1</v>
      </c>
      <c r="AP19">
        <f>SUMIFS(Pre[41],Pre[CATEGORY],Table111521[[#This Row],[CATEGORY]],Pre[GROUPING],"Jan")</f>
        <v>0</v>
      </c>
      <c r="AQ19">
        <f>SUMIFS(Pre[42],Pre[CATEGORY],Table111521[[#This Row],[CATEGORY]],Pre[GROUPING],"Jan")</f>
        <v>2</v>
      </c>
      <c r="AR19">
        <f>SUMIFS(Pre[43],Pre[CATEGORY],Table111521[[#This Row],[CATEGORY]],Pre[GROUPING],"Jan")</f>
        <v>5</v>
      </c>
      <c r="AS19">
        <f>SUMIFS(Pre[44],Pre[CATEGORY],Table111521[[#This Row],[CATEGORY]],Pre[GROUPING],"Jan")</f>
        <v>1</v>
      </c>
      <c r="AT19">
        <f>SUMIFS(Pre[45],Pre[CATEGORY],Table111521[[#This Row],[CATEGORY]],Pre[GROUPING],"Jan")</f>
        <v>1</v>
      </c>
      <c r="AU19">
        <f>SUMIFS(Pre[46],Pre[CATEGORY],Table111521[[#This Row],[CATEGORY]],Pre[GROUPING],"Jan")</f>
        <v>0</v>
      </c>
      <c r="AV19">
        <f>SUM(Table111521[[#This Row],[1]:[46]])</f>
        <v>30</v>
      </c>
    </row>
    <row r="20" spans="1:48" x14ac:dyDescent="0.2">
      <c r="A20" t="s">
        <v>14</v>
      </c>
      <c r="B20">
        <f>SUMIFS(Pre[1],Pre[CATEGORY],Table111521[[#This Row],[CATEGORY]],Pre[GROUPING],"Jan")</f>
        <v>68</v>
      </c>
      <c r="C20">
        <f>SUMIFS(Pre[2],Pre[CATEGORY],Table111521[[#This Row],[CATEGORY]],Pre[GROUPING],"Jan")</f>
        <v>72</v>
      </c>
      <c r="D20">
        <f>SUMIFS(Pre[3],Pre[CATEGORY],Table111521[[#This Row],[CATEGORY]],Pre[GROUPING],"Jan")</f>
        <v>63</v>
      </c>
      <c r="E20">
        <f>SUMIFS(Pre[4],Pre[CATEGORY],Table111521[[#This Row],[CATEGORY]],Pre[GROUPING],"Jan")</f>
        <v>65</v>
      </c>
      <c r="F20">
        <f>SUMIFS(Pre[5],Pre[CATEGORY],Table111521[[#This Row],[CATEGORY]],Pre[GROUPING],"Jan")</f>
        <v>61</v>
      </c>
      <c r="G20">
        <f>SUMIFS(Pre[6],Pre[CATEGORY],Table111521[[#This Row],[CATEGORY]],Pre[GROUPING],"Jan")</f>
        <v>65</v>
      </c>
      <c r="H20">
        <f>SUMIFS(Pre[7],Pre[CATEGORY],Table111521[[#This Row],[CATEGORY]],Pre[GROUPING],"Jan")</f>
        <v>61</v>
      </c>
      <c r="I20">
        <f>SUMIFS(Pre[8],Pre[CATEGORY],Table111521[[#This Row],[CATEGORY]],Pre[GROUPING],"Jan")</f>
        <v>58</v>
      </c>
      <c r="J20">
        <f>SUMIFS(Pre[9],Pre[CATEGORY],Table111521[[#This Row],[CATEGORY]],Pre[GROUPING],"Jan")</f>
        <v>64</v>
      </c>
      <c r="K20">
        <f>SUMIFS(Pre[10],Pre[CATEGORY],Table111521[[#This Row],[CATEGORY]],Pre[GROUPING],"Jan")</f>
        <v>68</v>
      </c>
      <c r="L20">
        <f>SUMIFS(Pre[11],Pre[CATEGORY],Table111521[[#This Row],[CATEGORY]],Pre[GROUPING],"Jan")</f>
        <v>75</v>
      </c>
      <c r="M20">
        <f>SUMIFS(Pre[12],Pre[CATEGORY],Table111521[[#This Row],[CATEGORY]],Pre[GROUPING],"Jan")</f>
        <v>55</v>
      </c>
      <c r="N20">
        <f>SUMIFS(Pre[13],Pre[CATEGORY],Table111521[[#This Row],[CATEGORY]],Pre[GROUPING],"Jan")</f>
        <v>75</v>
      </c>
      <c r="O20">
        <f>SUMIFS(Pre[14],Pre[CATEGORY],Table111521[[#This Row],[CATEGORY]],Pre[GROUPING],"Jan")</f>
        <v>71</v>
      </c>
      <c r="P20">
        <f>SUMIFS(Pre[15],Pre[CATEGORY],Table111521[[#This Row],[CATEGORY]],Pre[GROUPING],"Jan")</f>
        <v>75</v>
      </c>
      <c r="Q20">
        <f>SUMIFS(Pre[16],Pre[CATEGORY],Table111521[[#This Row],[CATEGORY]],Pre[GROUPING],"Jan")</f>
        <v>56</v>
      </c>
      <c r="R20">
        <f>SUMIFS(Pre[17],Pre[CATEGORY],Table111521[[#This Row],[CATEGORY]],Pre[GROUPING],"Jan")</f>
        <v>55</v>
      </c>
      <c r="S20">
        <f>SUMIFS(Pre[18],Pre[CATEGORY],Table111521[[#This Row],[CATEGORY]],Pre[GROUPING],"Jan")</f>
        <v>73</v>
      </c>
      <c r="T20">
        <f>SUMIFS(Pre[19],Pre[CATEGORY],Table111521[[#This Row],[CATEGORY]],Pre[GROUPING],"Jan")</f>
        <v>80</v>
      </c>
      <c r="U20">
        <f>SUMIFS(Pre[20],Pre[CATEGORY],Table111521[[#This Row],[CATEGORY]],Pre[GROUPING],"Jan")</f>
        <v>64</v>
      </c>
      <c r="V20">
        <f>SUMIFS(Pre[21],Pre[CATEGORY],Table111521[[#This Row],[CATEGORY]],Pre[GROUPING],"Jan")</f>
        <v>56</v>
      </c>
      <c r="W20">
        <f>SUMIFS(Pre[22],Pre[CATEGORY],Table111521[[#This Row],[CATEGORY]],Pre[GROUPING],"Jan")</f>
        <v>56</v>
      </c>
      <c r="X20">
        <f>SUMIFS(Pre[23],Pre[CATEGORY],Table111521[[#This Row],[CATEGORY]],Pre[GROUPING],"Jan")</f>
        <v>55</v>
      </c>
      <c r="Y20">
        <f>SUMIFS(Pre[24],Pre[CATEGORY],Table111521[[#This Row],[CATEGORY]],Pre[GROUPING],"Jan")</f>
        <v>64</v>
      </c>
      <c r="Z20">
        <f>SUMIFS(Pre[25],Pre[CATEGORY],Table111521[[#This Row],[CATEGORY]],Pre[GROUPING],"Jan")</f>
        <v>63</v>
      </c>
      <c r="AA20">
        <f>SUMIFS(Pre[26],Pre[CATEGORY],Table111521[[#This Row],[CATEGORY]],Pre[GROUPING],"Jan")</f>
        <v>72</v>
      </c>
      <c r="AB20">
        <f>SUMIFS(Pre[27],Pre[CATEGORY],Table111521[[#This Row],[CATEGORY]],Pre[GROUPING],"Jan")</f>
        <v>67</v>
      </c>
      <c r="AC20">
        <f>SUMIFS(Pre[28],Pre[CATEGORY],Table111521[[#This Row],[CATEGORY]],Pre[GROUPING],"Jan")</f>
        <v>62</v>
      </c>
      <c r="AD20">
        <f>SUMIFS(Pre[29],Pre[CATEGORY],Table111521[[#This Row],[CATEGORY]],Pre[GROUPING],"Jan")</f>
        <v>76</v>
      </c>
      <c r="AE20">
        <f>SUMIFS(Pre[30],Pre[CATEGORY],Table111521[[#This Row],[CATEGORY]],Pre[GROUPING],"Jan")</f>
        <v>72</v>
      </c>
      <c r="AF20">
        <f>SUMIFS(Pre[31],Pre[CATEGORY],Table111521[[#This Row],[CATEGORY]],Pre[GROUPING],"Jan")</f>
        <v>62</v>
      </c>
      <c r="AG20">
        <f>SUMIFS(Pre[32],Pre[CATEGORY],Table111521[[#This Row],[CATEGORY]],Pre[GROUPING],"Jan")</f>
        <v>71</v>
      </c>
      <c r="AH20">
        <f>SUMIFS(Pre[33],Pre[CATEGORY],Table111521[[#This Row],[CATEGORY]],Pre[GROUPING],"Jan")</f>
        <v>71</v>
      </c>
      <c r="AI20">
        <f>SUMIFS(Pre[34],Pre[CATEGORY],Table111521[[#This Row],[CATEGORY]],Pre[GROUPING],"Jan")</f>
        <v>74</v>
      </c>
      <c r="AJ20">
        <f>SUMIFS(Pre[35],Pre[CATEGORY],Table111521[[#This Row],[CATEGORY]],Pre[GROUPING],"Jan")</f>
        <v>62</v>
      </c>
      <c r="AK20">
        <f>SUMIFS(Pre[36],Pre[CATEGORY],Table111521[[#This Row],[CATEGORY]],Pre[GROUPING],"Jan")</f>
        <v>65</v>
      </c>
      <c r="AL20">
        <f>SUMIFS(Pre[37],Pre[CATEGORY],Table111521[[#This Row],[CATEGORY]],Pre[GROUPING],"Jan")</f>
        <v>63</v>
      </c>
      <c r="AM20">
        <f>SUMIFS(Pre[38],Pre[CATEGORY],Table111521[[#This Row],[CATEGORY]],Pre[GROUPING],"Jan")</f>
        <v>65</v>
      </c>
      <c r="AN20">
        <f>SUMIFS(Pre[39],Pre[CATEGORY],Table111521[[#This Row],[CATEGORY]],Pre[GROUPING],"Jan")</f>
        <v>53</v>
      </c>
      <c r="AO20">
        <f>SUMIFS(Pre[40],Pre[CATEGORY],Table111521[[#This Row],[CATEGORY]],Pre[GROUPING],"Jan")</f>
        <v>62</v>
      </c>
      <c r="AP20">
        <f>SUMIFS(Pre[41],Pre[CATEGORY],Table111521[[#This Row],[CATEGORY]],Pre[GROUPING],"Jan")</f>
        <v>62</v>
      </c>
      <c r="AQ20">
        <f>SUMIFS(Pre[42],Pre[CATEGORY],Table111521[[#This Row],[CATEGORY]],Pre[GROUPING],"Jan")</f>
        <v>69</v>
      </c>
      <c r="AR20">
        <f>SUMIFS(Pre[43],Pre[CATEGORY],Table111521[[#This Row],[CATEGORY]],Pre[GROUPING],"Jan")</f>
        <v>76</v>
      </c>
      <c r="AS20">
        <f>SUMIFS(Pre[44],Pre[CATEGORY],Table111521[[#This Row],[CATEGORY]],Pre[GROUPING],"Jan")</f>
        <v>68</v>
      </c>
      <c r="AT20">
        <f>SUMIFS(Pre[45],Pre[CATEGORY],Table111521[[#This Row],[CATEGORY]],Pre[GROUPING],"Jan")</f>
        <v>56</v>
      </c>
      <c r="AU20">
        <f>SUMIFS(Pre[46],Pre[CATEGORY],Table111521[[#This Row],[CATEGORY]],Pre[GROUPING],"Jan")</f>
        <v>57</v>
      </c>
      <c r="AV20">
        <f>SUM(Table111521[[#This Row],[1]:[46]])</f>
        <v>3003</v>
      </c>
    </row>
    <row r="21" spans="1:48" x14ac:dyDescent="0.2">
      <c r="A21" t="s">
        <v>17</v>
      </c>
      <c r="B21">
        <f>SUMIFS(Pre[1],Pre[CATEGORY],Table111521[[#This Row],[CATEGORY]],Pre[GROUPING],"Jan")</f>
        <v>1</v>
      </c>
      <c r="C21">
        <f>SUMIFS(Pre[2],Pre[CATEGORY],Table111521[[#This Row],[CATEGORY]],Pre[GROUPING],"Jan")</f>
        <v>1</v>
      </c>
      <c r="D21">
        <f>SUMIFS(Pre[3],Pre[CATEGORY],Table111521[[#This Row],[CATEGORY]],Pre[GROUPING],"Jan")</f>
        <v>4</v>
      </c>
      <c r="E21">
        <f>SUMIFS(Pre[4],Pre[CATEGORY],Table111521[[#This Row],[CATEGORY]],Pre[GROUPING],"Jan")</f>
        <v>2</v>
      </c>
      <c r="F21">
        <f>SUMIFS(Pre[5],Pre[CATEGORY],Table111521[[#This Row],[CATEGORY]],Pre[GROUPING],"Jan")</f>
        <v>1</v>
      </c>
      <c r="G21">
        <f>SUMIFS(Pre[6],Pre[CATEGORY],Table111521[[#This Row],[CATEGORY]],Pre[GROUPING],"Jan")</f>
        <v>3</v>
      </c>
      <c r="H21">
        <f>SUMIFS(Pre[7],Pre[CATEGORY],Table111521[[#This Row],[CATEGORY]],Pre[GROUPING],"Jan")</f>
        <v>2</v>
      </c>
      <c r="I21">
        <f>SUMIFS(Pre[8],Pre[CATEGORY],Table111521[[#This Row],[CATEGORY]],Pre[GROUPING],"Jan")</f>
        <v>3</v>
      </c>
      <c r="J21">
        <f>SUMIFS(Pre[9],Pre[CATEGORY],Table111521[[#This Row],[CATEGORY]],Pre[GROUPING],"Jan")</f>
        <v>1</v>
      </c>
      <c r="K21">
        <f>SUMIFS(Pre[10],Pre[CATEGORY],Table111521[[#This Row],[CATEGORY]],Pre[GROUPING],"Jan")</f>
        <v>4</v>
      </c>
      <c r="L21">
        <f>SUMIFS(Pre[11],Pre[CATEGORY],Table111521[[#This Row],[CATEGORY]],Pre[GROUPING],"Jan")</f>
        <v>1</v>
      </c>
      <c r="M21">
        <f>SUMIFS(Pre[12],Pre[CATEGORY],Table111521[[#This Row],[CATEGORY]],Pre[GROUPING],"Jan")</f>
        <v>4</v>
      </c>
      <c r="N21">
        <f>SUMIFS(Pre[13],Pre[CATEGORY],Table111521[[#This Row],[CATEGORY]],Pre[GROUPING],"Jan")</f>
        <v>1</v>
      </c>
      <c r="O21">
        <f>SUMIFS(Pre[14],Pre[CATEGORY],Table111521[[#This Row],[CATEGORY]],Pre[GROUPING],"Jan")</f>
        <v>1</v>
      </c>
      <c r="P21">
        <f>SUMIFS(Pre[15],Pre[CATEGORY],Table111521[[#This Row],[CATEGORY]],Pre[GROUPING],"Jan")</f>
        <v>3</v>
      </c>
      <c r="Q21">
        <f>SUMIFS(Pre[16],Pre[CATEGORY],Table111521[[#This Row],[CATEGORY]],Pre[GROUPING],"Jan")</f>
        <v>4</v>
      </c>
      <c r="R21">
        <f>SUMIFS(Pre[17],Pre[CATEGORY],Table111521[[#This Row],[CATEGORY]],Pre[GROUPING],"Jan")</f>
        <v>2</v>
      </c>
      <c r="S21">
        <f>SUMIFS(Pre[18],Pre[CATEGORY],Table111521[[#This Row],[CATEGORY]],Pre[GROUPING],"Jan")</f>
        <v>3</v>
      </c>
      <c r="T21">
        <f>SUMIFS(Pre[19],Pre[CATEGORY],Table111521[[#This Row],[CATEGORY]],Pre[GROUPING],"Jan")</f>
        <v>1</v>
      </c>
      <c r="U21">
        <f>SUMIFS(Pre[20],Pre[CATEGORY],Table111521[[#This Row],[CATEGORY]],Pre[GROUPING],"Jan")</f>
        <v>5</v>
      </c>
      <c r="V21">
        <f>SUMIFS(Pre[21],Pre[CATEGORY],Table111521[[#This Row],[CATEGORY]],Pre[GROUPING],"Jan")</f>
        <v>1</v>
      </c>
      <c r="W21">
        <f>SUMIFS(Pre[22],Pre[CATEGORY],Table111521[[#This Row],[CATEGORY]],Pre[GROUPING],"Jan")</f>
        <v>1</v>
      </c>
      <c r="X21">
        <f>SUMIFS(Pre[23],Pre[CATEGORY],Table111521[[#This Row],[CATEGORY]],Pre[GROUPING],"Jan")</f>
        <v>1</v>
      </c>
      <c r="Y21">
        <f>SUMIFS(Pre[24],Pre[CATEGORY],Table111521[[#This Row],[CATEGORY]],Pre[GROUPING],"Jan")</f>
        <v>2</v>
      </c>
      <c r="Z21">
        <f>SUMIFS(Pre[25],Pre[CATEGORY],Table111521[[#This Row],[CATEGORY]],Pre[GROUPING],"Jan")</f>
        <v>1</v>
      </c>
      <c r="AA21">
        <f>SUMIFS(Pre[26],Pre[CATEGORY],Table111521[[#This Row],[CATEGORY]],Pre[GROUPING],"Jan")</f>
        <v>1</v>
      </c>
      <c r="AB21">
        <f>SUMIFS(Pre[27],Pre[CATEGORY],Table111521[[#This Row],[CATEGORY]],Pre[GROUPING],"Jan")</f>
        <v>4</v>
      </c>
      <c r="AC21">
        <f>SUMIFS(Pre[28],Pre[CATEGORY],Table111521[[#This Row],[CATEGORY]],Pre[GROUPING],"Jan")</f>
        <v>3</v>
      </c>
      <c r="AD21">
        <f>SUMIFS(Pre[29],Pre[CATEGORY],Table111521[[#This Row],[CATEGORY]],Pre[GROUPING],"Jan")</f>
        <v>1</v>
      </c>
      <c r="AE21">
        <f>SUMIFS(Pre[30],Pre[CATEGORY],Table111521[[#This Row],[CATEGORY]],Pre[GROUPING],"Jan")</f>
        <v>1</v>
      </c>
      <c r="AF21">
        <f>SUMIFS(Pre[31],Pre[CATEGORY],Table111521[[#This Row],[CATEGORY]],Pre[GROUPING],"Jan")</f>
        <v>3</v>
      </c>
      <c r="AG21">
        <f>SUMIFS(Pre[32],Pre[CATEGORY],Table111521[[#This Row],[CATEGORY]],Pre[GROUPING],"Jan")</f>
        <v>2</v>
      </c>
      <c r="AH21">
        <f>SUMIFS(Pre[33],Pre[CATEGORY],Table111521[[#This Row],[CATEGORY]],Pre[GROUPING],"Jan")</f>
        <v>1</v>
      </c>
      <c r="AI21">
        <f>SUMIFS(Pre[34],Pre[CATEGORY],Table111521[[#This Row],[CATEGORY]],Pre[GROUPING],"Jan")</f>
        <v>2</v>
      </c>
      <c r="AJ21">
        <f>SUMIFS(Pre[35],Pre[CATEGORY],Table111521[[#This Row],[CATEGORY]],Pre[GROUPING],"Jan")</f>
        <v>2</v>
      </c>
      <c r="AK21">
        <f>SUMIFS(Pre[36],Pre[CATEGORY],Table111521[[#This Row],[CATEGORY]],Pre[GROUPING],"Jan")</f>
        <v>2</v>
      </c>
      <c r="AL21">
        <f>SUMIFS(Pre[37],Pre[CATEGORY],Table111521[[#This Row],[CATEGORY]],Pre[GROUPING],"Jan")</f>
        <v>2</v>
      </c>
      <c r="AM21">
        <f>SUMIFS(Pre[38],Pre[CATEGORY],Table111521[[#This Row],[CATEGORY]],Pre[GROUPING],"Jan")</f>
        <v>1</v>
      </c>
      <c r="AN21">
        <f>SUMIFS(Pre[39],Pre[CATEGORY],Table111521[[#This Row],[CATEGORY]],Pre[GROUPING],"Jan")</f>
        <v>2</v>
      </c>
      <c r="AO21">
        <f>SUMIFS(Pre[40],Pre[CATEGORY],Table111521[[#This Row],[CATEGORY]],Pre[GROUPING],"Jan")</f>
        <v>2</v>
      </c>
      <c r="AP21">
        <f>SUMIFS(Pre[41],Pre[CATEGORY],Table111521[[#This Row],[CATEGORY]],Pre[GROUPING],"Jan")</f>
        <v>1</v>
      </c>
      <c r="AQ21">
        <f>SUMIFS(Pre[42],Pre[CATEGORY],Table111521[[#This Row],[CATEGORY]],Pre[GROUPING],"Jan")</f>
        <v>2</v>
      </c>
      <c r="AR21">
        <f>SUMIFS(Pre[43],Pre[CATEGORY],Table111521[[#This Row],[CATEGORY]],Pre[GROUPING],"Jan")</f>
        <v>1</v>
      </c>
      <c r="AS21">
        <f>SUMIFS(Pre[44],Pre[CATEGORY],Table111521[[#This Row],[CATEGORY]],Pre[GROUPING],"Jan")</f>
        <v>2</v>
      </c>
      <c r="AT21">
        <f>SUMIFS(Pre[45],Pre[CATEGORY],Table111521[[#This Row],[CATEGORY]],Pre[GROUPING],"Jan")</f>
        <v>1</v>
      </c>
      <c r="AU21">
        <f>SUMIFS(Pre[46],Pre[CATEGORY],Table111521[[#This Row],[CATEGORY]],Pre[GROUPING],"Jan")</f>
        <v>2</v>
      </c>
      <c r="AV21">
        <f>SUM(Table111521[[#This Row],[1]:[46]])</f>
        <v>91</v>
      </c>
    </row>
    <row r="22" spans="1:48" x14ac:dyDescent="0.2">
      <c r="A22" t="s">
        <v>24</v>
      </c>
      <c r="B22">
        <f>SUMIFS(Pre[1],Pre[CATEGORY],Table111521[[#This Row],[CATEGORY]],Pre[GROUPING],"Jan")</f>
        <v>0</v>
      </c>
      <c r="C22">
        <f>SUMIFS(Pre[2],Pre[CATEGORY],Table111521[[#This Row],[CATEGORY]],Pre[GROUPING],"Jan")</f>
        <v>0</v>
      </c>
      <c r="D22">
        <f>SUMIFS(Pre[3],Pre[CATEGORY],Table111521[[#This Row],[CATEGORY]],Pre[GROUPING],"Jan")</f>
        <v>0</v>
      </c>
      <c r="E22">
        <f>SUMIFS(Pre[4],Pre[CATEGORY],Table111521[[#This Row],[CATEGORY]],Pre[GROUPING],"Jan")</f>
        <v>0</v>
      </c>
      <c r="F22">
        <f>SUMIFS(Pre[5],Pre[CATEGORY],Table111521[[#This Row],[CATEGORY]],Pre[GROUPING],"Jan")</f>
        <v>0</v>
      </c>
      <c r="G22">
        <f>SUMIFS(Pre[6],Pre[CATEGORY],Table111521[[#This Row],[CATEGORY]],Pre[GROUPING],"Jan")</f>
        <v>0</v>
      </c>
      <c r="H22">
        <f>SUMIFS(Pre[7],Pre[CATEGORY],Table111521[[#This Row],[CATEGORY]],Pre[GROUPING],"Jan")</f>
        <v>0</v>
      </c>
      <c r="I22">
        <f>SUMIFS(Pre[8],Pre[CATEGORY],Table111521[[#This Row],[CATEGORY]],Pre[GROUPING],"Jan")</f>
        <v>0</v>
      </c>
      <c r="J22">
        <f>SUMIFS(Pre[9],Pre[CATEGORY],Table111521[[#This Row],[CATEGORY]],Pre[GROUPING],"Jan")</f>
        <v>0</v>
      </c>
      <c r="K22">
        <f>SUMIFS(Pre[10],Pre[CATEGORY],Table111521[[#This Row],[CATEGORY]],Pre[GROUPING],"Jan")</f>
        <v>1</v>
      </c>
      <c r="L22">
        <f>SUMIFS(Pre[11],Pre[CATEGORY],Table111521[[#This Row],[CATEGORY]],Pre[GROUPING],"Jan")</f>
        <v>1</v>
      </c>
      <c r="M22">
        <f>SUMIFS(Pre[12],Pre[CATEGORY],Table111521[[#This Row],[CATEGORY]],Pre[GROUPING],"Jan")</f>
        <v>0</v>
      </c>
      <c r="N22">
        <f>SUMIFS(Pre[13],Pre[CATEGORY],Table111521[[#This Row],[CATEGORY]],Pre[GROUPING],"Jan")</f>
        <v>0</v>
      </c>
      <c r="O22">
        <f>SUMIFS(Pre[14],Pre[CATEGORY],Table111521[[#This Row],[CATEGORY]],Pre[GROUPING],"Jan")</f>
        <v>1</v>
      </c>
      <c r="P22">
        <f>SUMIFS(Pre[15],Pre[CATEGORY],Table111521[[#This Row],[CATEGORY]],Pre[GROUPING],"Jan")</f>
        <v>0</v>
      </c>
      <c r="Q22">
        <f>SUMIFS(Pre[16],Pre[CATEGORY],Table111521[[#This Row],[CATEGORY]],Pre[GROUPING],"Jan")</f>
        <v>2</v>
      </c>
      <c r="R22">
        <f>SUMIFS(Pre[17],Pre[CATEGORY],Table111521[[#This Row],[CATEGORY]],Pre[GROUPING],"Jan")</f>
        <v>1</v>
      </c>
      <c r="S22">
        <f>SUMIFS(Pre[18],Pre[CATEGORY],Table111521[[#This Row],[CATEGORY]],Pre[GROUPING],"Jan")</f>
        <v>0</v>
      </c>
      <c r="T22">
        <f>SUMIFS(Pre[19],Pre[CATEGORY],Table111521[[#This Row],[CATEGORY]],Pre[GROUPING],"Jan")</f>
        <v>0</v>
      </c>
      <c r="U22">
        <f>SUMIFS(Pre[20],Pre[CATEGORY],Table111521[[#This Row],[CATEGORY]],Pre[GROUPING],"Jan")</f>
        <v>0</v>
      </c>
      <c r="V22">
        <f>SUMIFS(Pre[21],Pre[CATEGORY],Table111521[[#This Row],[CATEGORY]],Pre[GROUPING],"Jan")</f>
        <v>1</v>
      </c>
      <c r="W22">
        <f>SUMIFS(Pre[22],Pre[CATEGORY],Table111521[[#This Row],[CATEGORY]],Pre[GROUPING],"Jan")</f>
        <v>2</v>
      </c>
      <c r="X22">
        <f>SUMIFS(Pre[23],Pre[CATEGORY],Table111521[[#This Row],[CATEGORY]],Pre[GROUPING],"Jan")</f>
        <v>1</v>
      </c>
      <c r="Y22">
        <f>SUMIFS(Pre[24],Pre[CATEGORY],Table111521[[#This Row],[CATEGORY]],Pre[GROUPING],"Jan")</f>
        <v>0</v>
      </c>
      <c r="Z22">
        <f>SUMIFS(Pre[25],Pre[CATEGORY],Table111521[[#This Row],[CATEGORY]],Pre[GROUPING],"Jan")</f>
        <v>1</v>
      </c>
      <c r="AA22">
        <f>SUMIFS(Pre[26],Pre[CATEGORY],Table111521[[#This Row],[CATEGORY]],Pre[GROUPING],"Jan")</f>
        <v>4</v>
      </c>
      <c r="AB22">
        <f>SUMIFS(Pre[27],Pre[CATEGORY],Table111521[[#This Row],[CATEGORY]],Pre[GROUPING],"Jan")</f>
        <v>0</v>
      </c>
      <c r="AC22">
        <f>SUMIFS(Pre[28],Pre[CATEGORY],Table111521[[#This Row],[CATEGORY]],Pre[GROUPING],"Jan")</f>
        <v>0</v>
      </c>
      <c r="AD22">
        <f>SUMIFS(Pre[29],Pre[CATEGORY],Table111521[[#This Row],[CATEGORY]],Pre[GROUPING],"Jan")</f>
        <v>0</v>
      </c>
      <c r="AE22">
        <f>SUMIFS(Pre[30],Pre[CATEGORY],Table111521[[#This Row],[CATEGORY]],Pre[GROUPING],"Jan")</f>
        <v>0</v>
      </c>
      <c r="AF22">
        <f>SUMIFS(Pre[31],Pre[CATEGORY],Table111521[[#This Row],[CATEGORY]],Pre[GROUPING],"Jan")</f>
        <v>1</v>
      </c>
      <c r="AG22">
        <f>SUMIFS(Pre[32],Pre[CATEGORY],Table111521[[#This Row],[CATEGORY]],Pre[GROUPING],"Jan")</f>
        <v>0</v>
      </c>
      <c r="AH22">
        <f>SUMIFS(Pre[33],Pre[CATEGORY],Table111521[[#This Row],[CATEGORY]],Pre[GROUPING],"Jan")</f>
        <v>0</v>
      </c>
      <c r="AI22">
        <f>SUMIFS(Pre[34],Pre[CATEGORY],Table111521[[#This Row],[CATEGORY]],Pre[GROUPING],"Jan")</f>
        <v>0</v>
      </c>
      <c r="AJ22">
        <f>SUMIFS(Pre[35],Pre[CATEGORY],Table111521[[#This Row],[CATEGORY]],Pre[GROUPING],"Jan")</f>
        <v>0</v>
      </c>
      <c r="AK22">
        <f>SUMIFS(Pre[36],Pre[CATEGORY],Table111521[[#This Row],[CATEGORY]],Pre[GROUPING],"Jan")</f>
        <v>1</v>
      </c>
      <c r="AL22">
        <f>SUMIFS(Pre[37],Pre[CATEGORY],Table111521[[#This Row],[CATEGORY]],Pre[GROUPING],"Jan")</f>
        <v>1</v>
      </c>
      <c r="AM22">
        <f>SUMIFS(Pre[38],Pre[CATEGORY],Table111521[[#This Row],[CATEGORY]],Pre[GROUPING],"Jan")</f>
        <v>0</v>
      </c>
      <c r="AN22">
        <f>SUMIFS(Pre[39],Pre[CATEGORY],Table111521[[#This Row],[CATEGORY]],Pre[GROUPING],"Jan")</f>
        <v>0</v>
      </c>
      <c r="AO22">
        <f>SUMIFS(Pre[40],Pre[CATEGORY],Table111521[[#This Row],[CATEGORY]],Pre[GROUPING],"Jan")</f>
        <v>1</v>
      </c>
      <c r="AP22">
        <f>SUMIFS(Pre[41],Pre[CATEGORY],Table111521[[#This Row],[CATEGORY]],Pre[GROUPING],"Jan")</f>
        <v>4</v>
      </c>
      <c r="AQ22">
        <f>SUMIFS(Pre[42],Pre[CATEGORY],Table111521[[#This Row],[CATEGORY]],Pre[GROUPING],"Jan")</f>
        <v>0</v>
      </c>
      <c r="AR22">
        <f>SUMIFS(Pre[43],Pre[CATEGORY],Table111521[[#This Row],[CATEGORY]],Pre[GROUPING],"Jan")</f>
        <v>0</v>
      </c>
      <c r="AS22">
        <f>SUMIFS(Pre[44],Pre[CATEGORY],Table111521[[#This Row],[CATEGORY]],Pre[GROUPING],"Jan")</f>
        <v>0</v>
      </c>
      <c r="AT22">
        <f>SUMIFS(Pre[45],Pre[CATEGORY],Table111521[[#This Row],[CATEGORY]],Pre[GROUPING],"Jan")</f>
        <v>0</v>
      </c>
      <c r="AU22">
        <f>SUMIFS(Pre[46],Pre[CATEGORY],Table111521[[#This Row],[CATEGORY]],Pre[GROUPING],"Jan")</f>
        <v>0</v>
      </c>
      <c r="AV22">
        <f>SUM(Table111521[[#This Row],[1]:[46]])</f>
        <v>23</v>
      </c>
    </row>
    <row r="23" spans="1:48" x14ac:dyDescent="0.2">
      <c r="A23" t="s">
        <v>26</v>
      </c>
      <c r="B23">
        <f>SUMIFS(Pre[1],Pre[CATEGORY],Table111521[[#This Row],[CATEGORY]],Pre[GROUPING],"Jan")</f>
        <v>1</v>
      </c>
      <c r="C23">
        <f>SUMIFS(Pre[2],Pre[CATEGORY],Table111521[[#This Row],[CATEGORY]],Pre[GROUPING],"Jan")</f>
        <v>1</v>
      </c>
      <c r="D23">
        <f>SUMIFS(Pre[3],Pre[CATEGORY],Table111521[[#This Row],[CATEGORY]],Pre[GROUPING],"Jan")</f>
        <v>3</v>
      </c>
      <c r="E23">
        <f>SUMIFS(Pre[4],Pre[CATEGORY],Table111521[[#This Row],[CATEGORY]],Pre[GROUPING],"Jan")</f>
        <v>1</v>
      </c>
      <c r="F23">
        <f>SUMIFS(Pre[5],Pre[CATEGORY],Table111521[[#This Row],[CATEGORY]],Pre[GROUPING],"Jan")</f>
        <v>2</v>
      </c>
      <c r="G23">
        <f>SUMIFS(Pre[6],Pre[CATEGORY],Table111521[[#This Row],[CATEGORY]],Pre[GROUPING],"Jan")</f>
        <v>1</v>
      </c>
      <c r="H23">
        <f>SUMIFS(Pre[7],Pre[CATEGORY],Table111521[[#This Row],[CATEGORY]],Pre[GROUPING],"Jan")</f>
        <v>0</v>
      </c>
      <c r="I23">
        <f>SUMIFS(Pre[8],Pre[CATEGORY],Table111521[[#This Row],[CATEGORY]],Pre[GROUPING],"Jan")</f>
        <v>0</v>
      </c>
      <c r="J23">
        <f>SUMIFS(Pre[9],Pre[CATEGORY],Table111521[[#This Row],[CATEGORY]],Pre[GROUPING],"Jan")</f>
        <v>2</v>
      </c>
      <c r="K23">
        <f>SUMIFS(Pre[10],Pre[CATEGORY],Table111521[[#This Row],[CATEGORY]],Pre[GROUPING],"Jan")</f>
        <v>0</v>
      </c>
      <c r="L23">
        <f>SUMIFS(Pre[11],Pre[CATEGORY],Table111521[[#This Row],[CATEGORY]],Pre[GROUPING],"Jan")</f>
        <v>3</v>
      </c>
      <c r="M23">
        <f>SUMIFS(Pre[12],Pre[CATEGORY],Table111521[[#This Row],[CATEGORY]],Pre[GROUPING],"Jan")</f>
        <v>1</v>
      </c>
      <c r="N23">
        <f>SUMIFS(Pre[13],Pre[CATEGORY],Table111521[[#This Row],[CATEGORY]],Pre[GROUPING],"Jan")</f>
        <v>2</v>
      </c>
      <c r="O23">
        <f>SUMIFS(Pre[14],Pre[CATEGORY],Table111521[[#This Row],[CATEGORY]],Pre[GROUPING],"Jan")</f>
        <v>2</v>
      </c>
      <c r="P23">
        <f>SUMIFS(Pre[15],Pre[CATEGORY],Table111521[[#This Row],[CATEGORY]],Pre[GROUPING],"Jan")</f>
        <v>1</v>
      </c>
      <c r="Q23">
        <f>SUMIFS(Pre[16],Pre[CATEGORY],Table111521[[#This Row],[CATEGORY]],Pre[GROUPING],"Jan")</f>
        <v>1</v>
      </c>
      <c r="R23">
        <f>SUMIFS(Pre[17],Pre[CATEGORY],Table111521[[#This Row],[CATEGORY]],Pre[GROUPING],"Jan")</f>
        <v>0</v>
      </c>
      <c r="S23">
        <f>SUMIFS(Pre[18],Pre[CATEGORY],Table111521[[#This Row],[CATEGORY]],Pre[GROUPING],"Jan")</f>
        <v>1</v>
      </c>
      <c r="T23">
        <f>SUMIFS(Pre[19],Pre[CATEGORY],Table111521[[#This Row],[CATEGORY]],Pre[GROUPING],"Jan")</f>
        <v>1</v>
      </c>
      <c r="U23">
        <f>SUMIFS(Pre[20],Pre[CATEGORY],Table111521[[#This Row],[CATEGORY]],Pre[GROUPING],"Jan")</f>
        <v>1</v>
      </c>
      <c r="V23">
        <f>SUMIFS(Pre[21],Pre[CATEGORY],Table111521[[#This Row],[CATEGORY]],Pre[GROUPING],"Jan")</f>
        <v>2</v>
      </c>
      <c r="W23">
        <f>SUMIFS(Pre[22],Pre[CATEGORY],Table111521[[#This Row],[CATEGORY]],Pre[GROUPING],"Jan")</f>
        <v>1</v>
      </c>
      <c r="X23">
        <f>SUMIFS(Pre[23],Pre[CATEGORY],Table111521[[#This Row],[CATEGORY]],Pre[GROUPING],"Jan")</f>
        <v>3</v>
      </c>
      <c r="Y23">
        <f>SUMIFS(Pre[24],Pre[CATEGORY],Table111521[[#This Row],[CATEGORY]],Pre[GROUPING],"Jan")</f>
        <v>2</v>
      </c>
      <c r="Z23">
        <f>SUMIFS(Pre[25],Pre[CATEGORY],Table111521[[#This Row],[CATEGORY]],Pre[GROUPING],"Jan")</f>
        <v>2</v>
      </c>
      <c r="AA23">
        <f>SUMIFS(Pre[26],Pre[CATEGORY],Table111521[[#This Row],[CATEGORY]],Pre[GROUPING],"Jan")</f>
        <v>0</v>
      </c>
      <c r="AB23">
        <f>SUMIFS(Pre[27],Pre[CATEGORY],Table111521[[#This Row],[CATEGORY]],Pre[GROUPING],"Jan")</f>
        <v>2</v>
      </c>
      <c r="AC23">
        <f>SUMIFS(Pre[28],Pre[CATEGORY],Table111521[[#This Row],[CATEGORY]],Pre[GROUPING],"Jan")</f>
        <v>1</v>
      </c>
      <c r="AD23">
        <f>SUMIFS(Pre[29],Pre[CATEGORY],Table111521[[#This Row],[CATEGORY]],Pre[GROUPING],"Jan")</f>
        <v>0</v>
      </c>
      <c r="AE23">
        <f>SUMIFS(Pre[30],Pre[CATEGORY],Table111521[[#This Row],[CATEGORY]],Pre[GROUPING],"Jan")</f>
        <v>0</v>
      </c>
      <c r="AF23">
        <f>SUMIFS(Pre[31],Pre[CATEGORY],Table111521[[#This Row],[CATEGORY]],Pre[GROUPING],"Jan")</f>
        <v>1</v>
      </c>
      <c r="AG23">
        <f>SUMIFS(Pre[32],Pre[CATEGORY],Table111521[[#This Row],[CATEGORY]],Pre[GROUPING],"Jan")</f>
        <v>3</v>
      </c>
      <c r="AH23">
        <f>SUMIFS(Pre[33],Pre[CATEGORY],Table111521[[#This Row],[CATEGORY]],Pre[GROUPING],"Jan")</f>
        <v>1</v>
      </c>
      <c r="AI23">
        <f>SUMIFS(Pre[34],Pre[CATEGORY],Table111521[[#This Row],[CATEGORY]],Pre[GROUPING],"Jan")</f>
        <v>0</v>
      </c>
      <c r="AJ23">
        <f>SUMIFS(Pre[35],Pre[CATEGORY],Table111521[[#This Row],[CATEGORY]],Pre[GROUPING],"Jan")</f>
        <v>2</v>
      </c>
      <c r="AK23">
        <f>SUMIFS(Pre[36],Pre[CATEGORY],Table111521[[#This Row],[CATEGORY]],Pre[GROUPING],"Jan")</f>
        <v>2</v>
      </c>
      <c r="AL23">
        <f>SUMIFS(Pre[37],Pre[CATEGORY],Table111521[[#This Row],[CATEGORY]],Pre[GROUPING],"Jan")</f>
        <v>0</v>
      </c>
      <c r="AM23">
        <f>SUMIFS(Pre[38],Pre[CATEGORY],Table111521[[#This Row],[CATEGORY]],Pre[GROUPING],"Jan")</f>
        <v>2</v>
      </c>
      <c r="AN23">
        <f>SUMIFS(Pre[39],Pre[CATEGORY],Table111521[[#This Row],[CATEGORY]],Pre[GROUPING],"Jan")</f>
        <v>1</v>
      </c>
      <c r="AO23">
        <f>SUMIFS(Pre[40],Pre[CATEGORY],Table111521[[#This Row],[CATEGORY]],Pre[GROUPING],"Jan")</f>
        <v>0</v>
      </c>
      <c r="AP23">
        <f>SUMIFS(Pre[41],Pre[CATEGORY],Table111521[[#This Row],[CATEGORY]],Pre[GROUPING],"Jan")</f>
        <v>1</v>
      </c>
      <c r="AQ23">
        <f>SUMIFS(Pre[42],Pre[CATEGORY],Table111521[[#This Row],[CATEGORY]],Pre[GROUPING],"Jan")</f>
        <v>3</v>
      </c>
      <c r="AR23">
        <f>SUMIFS(Pre[43],Pre[CATEGORY],Table111521[[#This Row],[CATEGORY]],Pre[GROUPING],"Jan")</f>
        <v>1</v>
      </c>
      <c r="AS23">
        <f>SUMIFS(Pre[44],Pre[CATEGORY],Table111521[[#This Row],[CATEGORY]],Pre[GROUPING],"Jan")</f>
        <v>1</v>
      </c>
      <c r="AT23">
        <f>SUMIFS(Pre[45],Pre[CATEGORY],Table111521[[#This Row],[CATEGORY]],Pre[GROUPING],"Jan")</f>
        <v>1</v>
      </c>
      <c r="AU23">
        <f>SUMIFS(Pre[46],Pre[CATEGORY],Table111521[[#This Row],[CATEGORY]],Pre[GROUPING],"Jan")</f>
        <v>1</v>
      </c>
      <c r="AV23">
        <f>SUM(Table111521[[#This Row],[1]:[46]])</f>
        <v>57</v>
      </c>
    </row>
    <row r="24" spans="1:48" x14ac:dyDescent="0.2">
      <c r="A24" t="s">
        <v>32</v>
      </c>
      <c r="B24">
        <f>SUMIFS(Pre[1],Pre[CATEGORY],Table111521[[#This Row],[CATEGORY]],Pre[GROUPING],"Jan")</f>
        <v>1</v>
      </c>
      <c r="C24">
        <f>SUMIFS(Pre[2],Pre[CATEGORY],Table111521[[#This Row],[CATEGORY]],Pre[GROUPING],"Jan")</f>
        <v>1</v>
      </c>
      <c r="D24">
        <f>SUMIFS(Pre[3],Pre[CATEGORY],Table111521[[#This Row],[CATEGORY]],Pre[GROUPING],"Jan")</f>
        <v>1</v>
      </c>
      <c r="E24">
        <f>SUMIFS(Pre[4],Pre[CATEGORY],Table111521[[#This Row],[CATEGORY]],Pre[GROUPING],"Jan")</f>
        <v>2</v>
      </c>
      <c r="F24">
        <f>SUMIFS(Pre[5],Pre[CATEGORY],Table111521[[#This Row],[CATEGORY]],Pre[GROUPING],"Jan")</f>
        <v>1</v>
      </c>
      <c r="G24">
        <f>SUMIFS(Pre[6],Pre[CATEGORY],Table111521[[#This Row],[CATEGORY]],Pre[GROUPING],"Jan")</f>
        <v>2</v>
      </c>
      <c r="H24">
        <f>SUMIFS(Pre[7],Pre[CATEGORY],Table111521[[#This Row],[CATEGORY]],Pre[GROUPING],"Jan")</f>
        <v>1</v>
      </c>
      <c r="I24">
        <f>SUMIFS(Pre[8],Pre[CATEGORY],Table111521[[#This Row],[CATEGORY]],Pre[GROUPING],"Jan")</f>
        <v>3</v>
      </c>
      <c r="J24">
        <f>SUMIFS(Pre[9],Pre[CATEGORY],Table111521[[#This Row],[CATEGORY]],Pre[GROUPING],"Jan")</f>
        <v>3</v>
      </c>
      <c r="K24">
        <f>SUMIFS(Pre[10],Pre[CATEGORY],Table111521[[#This Row],[CATEGORY]],Pre[GROUPING],"Jan")</f>
        <v>2</v>
      </c>
      <c r="L24">
        <f>SUMIFS(Pre[11],Pre[CATEGORY],Table111521[[#This Row],[CATEGORY]],Pre[GROUPING],"Jan")</f>
        <v>2</v>
      </c>
      <c r="M24">
        <f>SUMIFS(Pre[12],Pre[CATEGORY],Table111521[[#This Row],[CATEGORY]],Pre[GROUPING],"Jan")</f>
        <v>3</v>
      </c>
      <c r="N24">
        <f>SUMIFS(Pre[13],Pre[CATEGORY],Table111521[[#This Row],[CATEGORY]],Pre[GROUPING],"Jan")</f>
        <v>1</v>
      </c>
      <c r="O24">
        <f>SUMIFS(Pre[14],Pre[CATEGORY],Table111521[[#This Row],[CATEGORY]],Pre[GROUPING],"Jan")</f>
        <v>1</v>
      </c>
      <c r="P24">
        <f>SUMIFS(Pre[15],Pre[CATEGORY],Table111521[[#This Row],[CATEGORY]],Pre[GROUPING],"Jan")</f>
        <v>1</v>
      </c>
      <c r="Q24">
        <f>SUMIFS(Pre[16],Pre[CATEGORY],Table111521[[#This Row],[CATEGORY]],Pre[GROUPING],"Jan")</f>
        <v>2</v>
      </c>
      <c r="R24">
        <f>SUMIFS(Pre[17],Pre[CATEGORY],Table111521[[#This Row],[CATEGORY]],Pre[GROUPING],"Jan")</f>
        <v>3</v>
      </c>
      <c r="S24">
        <f>SUMIFS(Pre[18],Pre[CATEGORY],Table111521[[#This Row],[CATEGORY]],Pre[GROUPING],"Jan")</f>
        <v>1</v>
      </c>
      <c r="T24">
        <f>SUMIFS(Pre[19],Pre[CATEGORY],Table111521[[#This Row],[CATEGORY]],Pre[GROUPING],"Jan")</f>
        <v>2</v>
      </c>
      <c r="U24">
        <f>SUMIFS(Pre[20],Pre[CATEGORY],Table111521[[#This Row],[CATEGORY]],Pre[GROUPING],"Jan")</f>
        <v>1</v>
      </c>
      <c r="V24">
        <f>SUMIFS(Pre[21],Pre[CATEGORY],Table111521[[#This Row],[CATEGORY]],Pre[GROUPING],"Jan")</f>
        <v>3</v>
      </c>
      <c r="W24">
        <f>SUMIFS(Pre[22],Pre[CATEGORY],Table111521[[#This Row],[CATEGORY]],Pre[GROUPING],"Jan")</f>
        <v>1</v>
      </c>
      <c r="X24">
        <f>SUMIFS(Pre[23],Pre[CATEGORY],Table111521[[#This Row],[CATEGORY]],Pre[GROUPING],"Jan")</f>
        <v>1</v>
      </c>
      <c r="Y24">
        <f>SUMIFS(Pre[24],Pre[CATEGORY],Table111521[[#This Row],[CATEGORY]],Pre[GROUPING],"Jan")</f>
        <v>1</v>
      </c>
      <c r="Z24">
        <f>SUMIFS(Pre[25],Pre[CATEGORY],Table111521[[#This Row],[CATEGORY]],Pre[GROUPING],"Jan")</f>
        <v>2</v>
      </c>
      <c r="AA24">
        <f>SUMIFS(Pre[26],Pre[CATEGORY],Table111521[[#This Row],[CATEGORY]],Pre[GROUPING],"Jan")</f>
        <v>2</v>
      </c>
      <c r="AB24">
        <f>SUMIFS(Pre[27],Pre[CATEGORY],Table111521[[#This Row],[CATEGORY]],Pre[GROUPING],"Jan")</f>
        <v>3</v>
      </c>
      <c r="AC24">
        <f>SUMIFS(Pre[28],Pre[CATEGORY],Table111521[[#This Row],[CATEGORY]],Pre[GROUPING],"Jan")</f>
        <v>1</v>
      </c>
      <c r="AD24">
        <f>SUMIFS(Pre[29],Pre[CATEGORY],Table111521[[#This Row],[CATEGORY]],Pre[GROUPING],"Jan")</f>
        <v>1</v>
      </c>
      <c r="AE24">
        <f>SUMIFS(Pre[30],Pre[CATEGORY],Table111521[[#This Row],[CATEGORY]],Pre[GROUPING],"Jan")</f>
        <v>1</v>
      </c>
      <c r="AF24">
        <f>SUMIFS(Pre[31],Pre[CATEGORY],Table111521[[#This Row],[CATEGORY]],Pre[GROUPING],"Jan")</f>
        <v>1</v>
      </c>
      <c r="AG24">
        <f>SUMIFS(Pre[32],Pre[CATEGORY],Table111521[[#This Row],[CATEGORY]],Pre[GROUPING],"Jan")</f>
        <v>2</v>
      </c>
      <c r="AH24">
        <f>SUMIFS(Pre[33],Pre[CATEGORY],Table111521[[#This Row],[CATEGORY]],Pre[GROUPING],"Jan")</f>
        <v>2</v>
      </c>
      <c r="AI24">
        <f>SUMIFS(Pre[34],Pre[CATEGORY],Table111521[[#This Row],[CATEGORY]],Pre[GROUPING],"Jan")</f>
        <v>5</v>
      </c>
      <c r="AJ24">
        <f>SUMIFS(Pre[35],Pre[CATEGORY],Table111521[[#This Row],[CATEGORY]],Pre[GROUPING],"Jan")</f>
        <v>2</v>
      </c>
      <c r="AK24">
        <f>SUMIFS(Pre[36],Pre[CATEGORY],Table111521[[#This Row],[CATEGORY]],Pre[GROUPING],"Jan")</f>
        <v>2</v>
      </c>
      <c r="AL24">
        <f>SUMIFS(Pre[37],Pre[CATEGORY],Table111521[[#This Row],[CATEGORY]],Pre[GROUPING],"Jan")</f>
        <v>2</v>
      </c>
      <c r="AM24">
        <f>SUMIFS(Pre[38],Pre[CATEGORY],Table111521[[#This Row],[CATEGORY]],Pre[GROUPING],"Jan")</f>
        <v>4</v>
      </c>
      <c r="AN24">
        <f>SUMIFS(Pre[39],Pre[CATEGORY],Table111521[[#This Row],[CATEGORY]],Pre[GROUPING],"Jan")</f>
        <v>2</v>
      </c>
      <c r="AO24">
        <f>SUMIFS(Pre[40],Pre[CATEGORY],Table111521[[#This Row],[CATEGORY]],Pre[GROUPING],"Jan")</f>
        <v>1</v>
      </c>
      <c r="AP24">
        <f>SUMIFS(Pre[41],Pre[CATEGORY],Table111521[[#This Row],[CATEGORY]],Pre[GROUPING],"Jan")</f>
        <v>2</v>
      </c>
      <c r="AQ24">
        <f>SUMIFS(Pre[42],Pre[CATEGORY],Table111521[[#This Row],[CATEGORY]],Pre[GROUPING],"Jan")</f>
        <v>1</v>
      </c>
      <c r="AR24">
        <f>SUMIFS(Pre[43],Pre[CATEGORY],Table111521[[#This Row],[CATEGORY]],Pre[GROUPING],"Jan")</f>
        <v>2</v>
      </c>
      <c r="AS24">
        <f>SUMIFS(Pre[44],Pre[CATEGORY],Table111521[[#This Row],[CATEGORY]],Pre[GROUPING],"Jan")</f>
        <v>1</v>
      </c>
      <c r="AT24">
        <f>SUMIFS(Pre[45],Pre[CATEGORY],Table111521[[#This Row],[CATEGORY]],Pre[GROUPING],"Jan")</f>
        <v>1</v>
      </c>
      <c r="AU24">
        <f>SUMIFS(Pre[46],Pre[CATEGORY],Table111521[[#This Row],[CATEGORY]],Pre[GROUPING],"Jan")</f>
        <v>1</v>
      </c>
      <c r="AV24">
        <f>SUM(Table111521[[#This Row],[1]:[46]])</f>
        <v>81</v>
      </c>
    </row>
    <row r="25" spans="1:48" x14ac:dyDescent="0.2">
      <c r="A25" t="s">
        <v>37</v>
      </c>
      <c r="B25">
        <f>SUMIFS(Pre[1],Pre[CATEGORY],Table111521[[#This Row],[CATEGORY]],Pre[GROUPING],"Jan")</f>
        <v>1</v>
      </c>
      <c r="C25">
        <f>SUMIFS(Pre[2],Pre[CATEGORY],Table111521[[#This Row],[CATEGORY]],Pre[GROUPING],"Jan")</f>
        <v>3</v>
      </c>
      <c r="D25">
        <f>SUMIFS(Pre[3],Pre[CATEGORY],Table111521[[#This Row],[CATEGORY]],Pre[GROUPING],"Jan")</f>
        <v>1</v>
      </c>
      <c r="E25">
        <f>SUMIFS(Pre[4],Pre[CATEGORY],Table111521[[#This Row],[CATEGORY]],Pre[GROUPING],"Jan")</f>
        <v>5</v>
      </c>
      <c r="F25">
        <f>SUMIFS(Pre[5],Pre[CATEGORY],Table111521[[#This Row],[CATEGORY]],Pre[GROUPING],"Jan")</f>
        <v>5</v>
      </c>
      <c r="G25">
        <f>SUMIFS(Pre[6],Pre[CATEGORY],Table111521[[#This Row],[CATEGORY]],Pre[GROUPING],"Jan")</f>
        <v>5</v>
      </c>
      <c r="H25">
        <f>SUMIFS(Pre[7],Pre[CATEGORY],Table111521[[#This Row],[CATEGORY]],Pre[GROUPING],"Jan")</f>
        <v>3</v>
      </c>
      <c r="I25">
        <f>SUMIFS(Pre[8],Pre[CATEGORY],Table111521[[#This Row],[CATEGORY]],Pre[GROUPING],"Jan")</f>
        <v>4</v>
      </c>
      <c r="J25">
        <f>SUMIFS(Pre[9],Pre[CATEGORY],Table111521[[#This Row],[CATEGORY]],Pre[GROUPING],"Jan")</f>
        <v>2</v>
      </c>
      <c r="K25">
        <f>SUMIFS(Pre[10],Pre[CATEGORY],Table111521[[#This Row],[CATEGORY]],Pre[GROUPING],"Jan")</f>
        <v>4</v>
      </c>
      <c r="L25">
        <f>SUMIFS(Pre[11],Pre[CATEGORY],Table111521[[#This Row],[CATEGORY]],Pre[GROUPING],"Jan")</f>
        <v>0</v>
      </c>
      <c r="M25">
        <f>SUMIFS(Pre[12],Pre[CATEGORY],Table111521[[#This Row],[CATEGORY]],Pre[GROUPING],"Jan")</f>
        <v>3</v>
      </c>
      <c r="N25">
        <f>SUMIFS(Pre[13],Pre[CATEGORY],Table111521[[#This Row],[CATEGORY]],Pre[GROUPING],"Jan")</f>
        <v>0</v>
      </c>
      <c r="O25">
        <f>SUMIFS(Pre[14],Pre[CATEGORY],Table111521[[#This Row],[CATEGORY]],Pre[GROUPING],"Jan")</f>
        <v>7</v>
      </c>
      <c r="P25">
        <f>SUMIFS(Pre[15],Pre[CATEGORY],Table111521[[#This Row],[CATEGORY]],Pre[GROUPING],"Jan")</f>
        <v>4</v>
      </c>
      <c r="Q25">
        <f>SUMIFS(Pre[16],Pre[CATEGORY],Table111521[[#This Row],[CATEGORY]],Pre[GROUPING],"Jan")</f>
        <v>0</v>
      </c>
      <c r="R25">
        <f>SUMIFS(Pre[17],Pre[CATEGORY],Table111521[[#This Row],[CATEGORY]],Pre[GROUPING],"Jan")</f>
        <v>8</v>
      </c>
      <c r="S25">
        <f>SUMIFS(Pre[18],Pre[CATEGORY],Table111521[[#This Row],[CATEGORY]],Pre[GROUPING],"Jan")</f>
        <v>2</v>
      </c>
      <c r="T25">
        <f>SUMIFS(Pre[19],Pre[CATEGORY],Table111521[[#This Row],[CATEGORY]],Pre[GROUPING],"Jan")</f>
        <v>4</v>
      </c>
      <c r="U25">
        <f>SUMIFS(Pre[20],Pre[CATEGORY],Table111521[[#This Row],[CATEGORY]],Pre[GROUPING],"Jan")</f>
        <v>3</v>
      </c>
      <c r="V25">
        <f>SUMIFS(Pre[21],Pre[CATEGORY],Table111521[[#This Row],[CATEGORY]],Pre[GROUPING],"Jan")</f>
        <v>2</v>
      </c>
      <c r="W25">
        <f>SUMIFS(Pre[22],Pre[CATEGORY],Table111521[[#This Row],[CATEGORY]],Pre[GROUPING],"Jan")</f>
        <v>4</v>
      </c>
      <c r="X25">
        <f>SUMIFS(Pre[23],Pre[CATEGORY],Table111521[[#This Row],[CATEGORY]],Pre[GROUPING],"Jan")</f>
        <v>5</v>
      </c>
      <c r="Y25">
        <f>SUMIFS(Pre[24],Pre[CATEGORY],Table111521[[#This Row],[CATEGORY]],Pre[GROUPING],"Jan")</f>
        <v>4</v>
      </c>
      <c r="Z25">
        <f>SUMIFS(Pre[25],Pre[CATEGORY],Table111521[[#This Row],[CATEGORY]],Pre[GROUPING],"Jan")</f>
        <v>2</v>
      </c>
      <c r="AA25">
        <f>SUMIFS(Pre[26],Pre[CATEGORY],Table111521[[#This Row],[CATEGORY]],Pre[GROUPING],"Jan")</f>
        <v>5</v>
      </c>
      <c r="AB25">
        <f>SUMIFS(Pre[27],Pre[CATEGORY],Table111521[[#This Row],[CATEGORY]],Pre[GROUPING],"Jan")</f>
        <v>3</v>
      </c>
      <c r="AC25">
        <f>SUMIFS(Pre[28],Pre[CATEGORY],Table111521[[#This Row],[CATEGORY]],Pre[GROUPING],"Jan")</f>
        <v>5</v>
      </c>
      <c r="AD25">
        <f>SUMIFS(Pre[29],Pre[CATEGORY],Table111521[[#This Row],[CATEGORY]],Pre[GROUPING],"Jan")</f>
        <v>2</v>
      </c>
      <c r="AE25">
        <f>SUMIFS(Pre[30],Pre[CATEGORY],Table111521[[#This Row],[CATEGORY]],Pre[GROUPING],"Jan")</f>
        <v>2</v>
      </c>
      <c r="AF25">
        <f>SUMIFS(Pre[31],Pre[CATEGORY],Table111521[[#This Row],[CATEGORY]],Pre[GROUPING],"Jan")</f>
        <v>4</v>
      </c>
      <c r="AG25">
        <f>SUMIFS(Pre[32],Pre[CATEGORY],Table111521[[#This Row],[CATEGORY]],Pre[GROUPING],"Jan")</f>
        <v>2</v>
      </c>
      <c r="AH25">
        <f>SUMIFS(Pre[33],Pre[CATEGORY],Table111521[[#This Row],[CATEGORY]],Pre[GROUPING],"Jan")</f>
        <v>4</v>
      </c>
      <c r="AI25">
        <f>SUMIFS(Pre[34],Pre[CATEGORY],Table111521[[#This Row],[CATEGORY]],Pre[GROUPING],"Jan")</f>
        <v>3</v>
      </c>
      <c r="AJ25">
        <f>SUMIFS(Pre[35],Pre[CATEGORY],Table111521[[#This Row],[CATEGORY]],Pre[GROUPING],"Jan")</f>
        <v>2</v>
      </c>
      <c r="AK25">
        <f>SUMIFS(Pre[36],Pre[CATEGORY],Table111521[[#This Row],[CATEGORY]],Pre[GROUPING],"Jan")</f>
        <v>4</v>
      </c>
      <c r="AL25">
        <f>SUMIFS(Pre[37],Pre[CATEGORY],Table111521[[#This Row],[CATEGORY]],Pre[GROUPING],"Jan")</f>
        <v>5</v>
      </c>
      <c r="AM25">
        <f>SUMIFS(Pre[38],Pre[CATEGORY],Table111521[[#This Row],[CATEGORY]],Pre[GROUPING],"Jan")</f>
        <v>2</v>
      </c>
      <c r="AN25">
        <f>SUMIFS(Pre[39],Pre[CATEGORY],Table111521[[#This Row],[CATEGORY]],Pre[GROUPING],"Jan")</f>
        <v>3</v>
      </c>
      <c r="AO25">
        <f>SUMIFS(Pre[40],Pre[CATEGORY],Table111521[[#This Row],[CATEGORY]],Pre[GROUPING],"Jan")</f>
        <v>1</v>
      </c>
      <c r="AP25">
        <f>SUMIFS(Pre[41],Pre[CATEGORY],Table111521[[#This Row],[CATEGORY]],Pre[GROUPING],"Jan")</f>
        <v>5</v>
      </c>
      <c r="AQ25">
        <f>SUMIFS(Pre[42],Pre[CATEGORY],Table111521[[#This Row],[CATEGORY]],Pre[GROUPING],"Jan")</f>
        <v>4</v>
      </c>
      <c r="AR25">
        <f>SUMIFS(Pre[43],Pre[CATEGORY],Table111521[[#This Row],[CATEGORY]],Pre[GROUPING],"Jan")</f>
        <v>5</v>
      </c>
      <c r="AS25">
        <f>SUMIFS(Pre[44],Pre[CATEGORY],Table111521[[#This Row],[CATEGORY]],Pre[GROUPING],"Jan")</f>
        <v>4</v>
      </c>
      <c r="AT25">
        <f>SUMIFS(Pre[45],Pre[CATEGORY],Table111521[[#This Row],[CATEGORY]],Pre[GROUPING],"Jan")</f>
        <v>0</v>
      </c>
      <c r="AU25">
        <f>SUMIFS(Pre[46],Pre[CATEGORY],Table111521[[#This Row],[CATEGORY]],Pre[GROUPING],"Jan")</f>
        <v>4</v>
      </c>
      <c r="AV25">
        <f>SUM(Table111521[[#This Row],[1]:[46]])</f>
        <v>150</v>
      </c>
    </row>
    <row r="26" spans="1:48" x14ac:dyDescent="0.2">
      <c r="A26" t="s">
        <v>40</v>
      </c>
      <c r="B26">
        <f>SUMIFS(Pre[1],Pre[CATEGORY],Table111521[[#This Row],[CATEGORY]],Pre[GROUPING],"Jan")</f>
        <v>0</v>
      </c>
      <c r="C26">
        <f>SUMIFS(Pre[2],Pre[CATEGORY],Table111521[[#This Row],[CATEGORY]],Pre[GROUPING],"Jan")</f>
        <v>1</v>
      </c>
      <c r="D26">
        <f>SUMIFS(Pre[3],Pre[CATEGORY],Table111521[[#This Row],[CATEGORY]],Pre[GROUPING],"Jan")</f>
        <v>0</v>
      </c>
      <c r="E26">
        <f>SUMIFS(Pre[4],Pre[CATEGORY],Table111521[[#This Row],[CATEGORY]],Pre[GROUPING],"Jan")</f>
        <v>0</v>
      </c>
      <c r="F26">
        <f>SUMIFS(Pre[5],Pre[CATEGORY],Table111521[[#This Row],[CATEGORY]],Pre[GROUPING],"Jan")</f>
        <v>0</v>
      </c>
      <c r="G26">
        <f>SUMIFS(Pre[6],Pre[CATEGORY],Table111521[[#This Row],[CATEGORY]],Pre[GROUPING],"Jan")</f>
        <v>0</v>
      </c>
      <c r="H26">
        <f>SUMIFS(Pre[7],Pre[CATEGORY],Table111521[[#This Row],[CATEGORY]],Pre[GROUPING],"Jan")</f>
        <v>0</v>
      </c>
      <c r="I26">
        <f>SUMIFS(Pre[8],Pre[CATEGORY],Table111521[[#This Row],[CATEGORY]],Pre[GROUPING],"Jan")</f>
        <v>0</v>
      </c>
      <c r="J26">
        <f>SUMIFS(Pre[9],Pre[CATEGORY],Table111521[[#This Row],[CATEGORY]],Pre[GROUPING],"Jan")</f>
        <v>0</v>
      </c>
      <c r="K26">
        <f>SUMIFS(Pre[10],Pre[CATEGORY],Table111521[[#This Row],[CATEGORY]],Pre[GROUPING],"Jan")</f>
        <v>0</v>
      </c>
      <c r="L26">
        <f>SUMIFS(Pre[11],Pre[CATEGORY],Table111521[[#This Row],[CATEGORY]],Pre[GROUPING],"Jan")</f>
        <v>0</v>
      </c>
      <c r="M26">
        <f>SUMIFS(Pre[12],Pre[CATEGORY],Table111521[[#This Row],[CATEGORY]],Pre[GROUPING],"Jan")</f>
        <v>0</v>
      </c>
      <c r="N26">
        <f>SUMIFS(Pre[13],Pre[CATEGORY],Table111521[[#This Row],[CATEGORY]],Pre[GROUPING],"Jan")</f>
        <v>0</v>
      </c>
      <c r="O26">
        <f>SUMIFS(Pre[14],Pre[CATEGORY],Table111521[[#This Row],[CATEGORY]],Pre[GROUPING],"Jan")</f>
        <v>2</v>
      </c>
      <c r="P26">
        <f>SUMIFS(Pre[15],Pre[CATEGORY],Table111521[[#This Row],[CATEGORY]],Pre[GROUPING],"Jan")</f>
        <v>1</v>
      </c>
      <c r="Q26">
        <f>SUMIFS(Pre[16],Pre[CATEGORY],Table111521[[#This Row],[CATEGORY]],Pre[GROUPING],"Jan")</f>
        <v>0</v>
      </c>
      <c r="R26">
        <f>SUMIFS(Pre[17],Pre[CATEGORY],Table111521[[#This Row],[CATEGORY]],Pre[GROUPING],"Jan")</f>
        <v>1</v>
      </c>
      <c r="S26">
        <f>SUMIFS(Pre[18],Pre[CATEGORY],Table111521[[#This Row],[CATEGORY]],Pre[GROUPING],"Jan")</f>
        <v>1</v>
      </c>
      <c r="T26">
        <f>SUMIFS(Pre[19],Pre[CATEGORY],Table111521[[#This Row],[CATEGORY]],Pre[GROUPING],"Jan")</f>
        <v>0</v>
      </c>
      <c r="U26">
        <f>SUMIFS(Pre[20],Pre[CATEGORY],Table111521[[#This Row],[CATEGORY]],Pre[GROUPING],"Jan")</f>
        <v>0</v>
      </c>
      <c r="V26">
        <f>SUMIFS(Pre[21],Pre[CATEGORY],Table111521[[#This Row],[CATEGORY]],Pre[GROUPING],"Jan")</f>
        <v>0</v>
      </c>
      <c r="W26">
        <f>SUMIFS(Pre[22],Pre[CATEGORY],Table111521[[#This Row],[CATEGORY]],Pre[GROUPING],"Jan")</f>
        <v>0</v>
      </c>
      <c r="X26">
        <f>SUMIFS(Pre[23],Pre[CATEGORY],Table111521[[#This Row],[CATEGORY]],Pre[GROUPING],"Jan")</f>
        <v>1</v>
      </c>
      <c r="Y26">
        <f>SUMIFS(Pre[24],Pre[CATEGORY],Table111521[[#This Row],[CATEGORY]],Pre[GROUPING],"Jan")</f>
        <v>1</v>
      </c>
      <c r="Z26">
        <f>SUMIFS(Pre[25],Pre[CATEGORY],Table111521[[#This Row],[CATEGORY]],Pre[GROUPING],"Jan")</f>
        <v>0</v>
      </c>
      <c r="AA26">
        <f>SUMIFS(Pre[26],Pre[CATEGORY],Table111521[[#This Row],[CATEGORY]],Pre[GROUPING],"Jan")</f>
        <v>0</v>
      </c>
      <c r="AB26">
        <f>SUMIFS(Pre[27],Pre[CATEGORY],Table111521[[#This Row],[CATEGORY]],Pre[GROUPING],"Jan")</f>
        <v>0</v>
      </c>
      <c r="AC26">
        <f>SUMIFS(Pre[28],Pre[CATEGORY],Table111521[[#This Row],[CATEGORY]],Pre[GROUPING],"Jan")</f>
        <v>2</v>
      </c>
      <c r="AD26">
        <f>SUMIFS(Pre[29],Pre[CATEGORY],Table111521[[#This Row],[CATEGORY]],Pre[GROUPING],"Jan")</f>
        <v>1</v>
      </c>
      <c r="AE26">
        <f>SUMIFS(Pre[30],Pre[CATEGORY],Table111521[[#This Row],[CATEGORY]],Pre[GROUPING],"Jan")</f>
        <v>0</v>
      </c>
      <c r="AF26">
        <f>SUMIFS(Pre[31],Pre[CATEGORY],Table111521[[#This Row],[CATEGORY]],Pre[GROUPING],"Jan")</f>
        <v>0</v>
      </c>
      <c r="AG26">
        <f>SUMIFS(Pre[32],Pre[CATEGORY],Table111521[[#This Row],[CATEGORY]],Pre[GROUPING],"Jan")</f>
        <v>0</v>
      </c>
      <c r="AH26">
        <f>SUMIFS(Pre[33],Pre[CATEGORY],Table111521[[#This Row],[CATEGORY]],Pre[GROUPING],"Jan")</f>
        <v>1</v>
      </c>
      <c r="AI26">
        <f>SUMIFS(Pre[34],Pre[CATEGORY],Table111521[[#This Row],[CATEGORY]],Pre[GROUPING],"Jan")</f>
        <v>0</v>
      </c>
      <c r="AJ26">
        <f>SUMIFS(Pre[35],Pre[CATEGORY],Table111521[[#This Row],[CATEGORY]],Pre[GROUPING],"Jan")</f>
        <v>0</v>
      </c>
      <c r="AK26">
        <f>SUMIFS(Pre[36],Pre[CATEGORY],Table111521[[#This Row],[CATEGORY]],Pre[GROUPING],"Jan")</f>
        <v>0</v>
      </c>
      <c r="AL26">
        <f>SUMIFS(Pre[37],Pre[CATEGORY],Table111521[[#This Row],[CATEGORY]],Pre[GROUPING],"Jan")</f>
        <v>2</v>
      </c>
      <c r="AM26">
        <f>SUMIFS(Pre[38],Pre[CATEGORY],Table111521[[#This Row],[CATEGORY]],Pre[GROUPING],"Jan")</f>
        <v>3</v>
      </c>
      <c r="AN26">
        <f>SUMIFS(Pre[39],Pre[CATEGORY],Table111521[[#This Row],[CATEGORY]],Pre[GROUPING],"Jan")</f>
        <v>2</v>
      </c>
      <c r="AO26">
        <f>SUMIFS(Pre[40],Pre[CATEGORY],Table111521[[#This Row],[CATEGORY]],Pre[GROUPING],"Jan")</f>
        <v>0</v>
      </c>
      <c r="AP26">
        <f>SUMIFS(Pre[41],Pre[CATEGORY],Table111521[[#This Row],[CATEGORY]],Pre[GROUPING],"Jan")</f>
        <v>1</v>
      </c>
      <c r="AQ26">
        <f>SUMIFS(Pre[42],Pre[CATEGORY],Table111521[[#This Row],[CATEGORY]],Pre[GROUPING],"Jan")</f>
        <v>0</v>
      </c>
      <c r="AR26">
        <f>SUMIFS(Pre[43],Pre[CATEGORY],Table111521[[#This Row],[CATEGORY]],Pre[GROUPING],"Jan")</f>
        <v>2</v>
      </c>
      <c r="AS26">
        <f>SUMIFS(Pre[44],Pre[CATEGORY],Table111521[[#This Row],[CATEGORY]],Pre[GROUPING],"Jan")</f>
        <v>0</v>
      </c>
      <c r="AT26">
        <f>SUMIFS(Pre[45],Pre[CATEGORY],Table111521[[#This Row],[CATEGORY]],Pre[GROUPING],"Jan")</f>
        <v>1</v>
      </c>
      <c r="AU26">
        <f>SUMIFS(Pre[46],Pre[CATEGORY],Table111521[[#This Row],[CATEGORY]],Pre[GROUPING],"Jan")</f>
        <v>2</v>
      </c>
      <c r="AV26">
        <f>SUM(Table111521[[#This Row],[1]:[46]])</f>
        <v>25</v>
      </c>
    </row>
    <row r="27" spans="1:48" x14ac:dyDescent="0.2">
      <c r="A27" t="s">
        <v>147</v>
      </c>
      <c r="B27">
        <f>SUBTOTAL(109,Table111521[1])</f>
        <v>135</v>
      </c>
      <c r="C27">
        <f>SUBTOTAL(109,Table111521[2])</f>
        <v>146</v>
      </c>
      <c r="D27">
        <f>SUBTOTAL(109,Table111521[3])</f>
        <v>143</v>
      </c>
      <c r="E27">
        <f>SUBTOTAL(109,Table111521[4])</f>
        <v>143</v>
      </c>
      <c r="F27">
        <f>SUBTOTAL(109,Table111521[5])</f>
        <v>138</v>
      </c>
      <c r="G27">
        <f>SUBTOTAL(109,Table111521[6])</f>
        <v>146</v>
      </c>
      <c r="H27">
        <f>SUBTOTAL(109,Table111521[7])</f>
        <v>127</v>
      </c>
      <c r="I27">
        <f>SUBTOTAL(109,Table111521[8])</f>
        <v>122</v>
      </c>
      <c r="J27">
        <f>SUBTOTAL(109,Table111521[9])</f>
        <v>145</v>
      </c>
      <c r="K27">
        <f>SUBTOTAL(109,Table111521[10])</f>
        <v>148</v>
      </c>
      <c r="L27">
        <f>SUBTOTAL(109,Table111521[11])</f>
        <v>140</v>
      </c>
      <c r="M27">
        <f>SUBTOTAL(109,Table111521[12])</f>
        <v>128</v>
      </c>
      <c r="N27">
        <f>SUBTOTAL(109,Table111521[13])</f>
        <v>154</v>
      </c>
      <c r="O27">
        <f>SUBTOTAL(109,Table111521[14])</f>
        <v>149</v>
      </c>
      <c r="P27">
        <f>SUBTOTAL(109,Table111521[15])</f>
        <v>186</v>
      </c>
      <c r="Q27">
        <f>SUBTOTAL(109,Table111521[16])</f>
        <v>119</v>
      </c>
      <c r="R27">
        <f>SUBTOTAL(109,Table111521[17])</f>
        <v>137</v>
      </c>
      <c r="S27">
        <f>SUBTOTAL(109,Table111521[18])</f>
        <v>158</v>
      </c>
      <c r="T27">
        <f>SUBTOTAL(109,Table111521[19])</f>
        <v>186</v>
      </c>
      <c r="U27">
        <f>SUBTOTAL(109,Table111521[20])</f>
        <v>118</v>
      </c>
      <c r="V27">
        <f>SUBTOTAL(109,Table111521[21])</f>
        <v>114</v>
      </c>
      <c r="W27">
        <f>SUBTOTAL(109,Table111521[22])</f>
        <v>119</v>
      </c>
      <c r="X27">
        <f>SUBTOTAL(109,Table111521[23])</f>
        <v>144</v>
      </c>
      <c r="Y27">
        <f>SUBTOTAL(109,Table111521[24])</f>
        <v>151</v>
      </c>
      <c r="Z27">
        <f>SUBTOTAL(109,Table111521[25])</f>
        <v>133</v>
      </c>
      <c r="AA27">
        <f>SUBTOTAL(109,Table111521[26])</f>
        <v>156</v>
      </c>
      <c r="AB27">
        <f>SUBTOTAL(109,Table111521[27])</f>
        <v>149</v>
      </c>
      <c r="AC27">
        <f>SUBTOTAL(109,Table111521[28])</f>
        <v>140</v>
      </c>
      <c r="AD27">
        <f>SUBTOTAL(109,Table111521[29])</f>
        <v>161</v>
      </c>
      <c r="AE27">
        <f>SUBTOTAL(109,Table111521[30])</f>
        <v>142</v>
      </c>
      <c r="AF27">
        <f>SUBTOTAL(109,Table111521[31])</f>
        <v>138</v>
      </c>
      <c r="AG27">
        <f>SUBTOTAL(109,Table111521[32])</f>
        <v>162</v>
      </c>
      <c r="AH27">
        <f>SUBTOTAL(109,Table111521[33])</f>
        <v>149</v>
      </c>
      <c r="AI27">
        <f>SUBTOTAL(109,Table111521[34])</f>
        <v>142</v>
      </c>
      <c r="AJ27">
        <f>SUBTOTAL(109,Table111521[35])</f>
        <v>133</v>
      </c>
      <c r="AK27">
        <f>SUBTOTAL(109,Table111521[36])</f>
        <v>123</v>
      </c>
      <c r="AL27">
        <f>SUBTOTAL(109,Table111521[37])</f>
        <v>164</v>
      </c>
      <c r="AM27">
        <f>SUBTOTAL(109,Table111521[38])</f>
        <v>136</v>
      </c>
      <c r="AN27">
        <f>SUBTOTAL(109,Table111521[39])</f>
        <v>142</v>
      </c>
      <c r="AO27">
        <f>SUBTOTAL(109,Table111521[40])</f>
        <v>148</v>
      </c>
      <c r="AP27">
        <f>SUBTOTAL(109,Table111521[41])</f>
        <v>138</v>
      </c>
      <c r="AQ27">
        <f>SUBTOTAL(109,Table111521[42])</f>
        <v>170</v>
      </c>
      <c r="AR27">
        <f>SUBTOTAL(109,Table111521[43])</f>
        <v>165</v>
      </c>
      <c r="AS27">
        <f>SUBTOTAL(109,Table111521[44])</f>
        <v>145</v>
      </c>
      <c r="AT27">
        <f>SUBTOTAL(109,Table111521[45])</f>
        <v>128</v>
      </c>
      <c r="AU27">
        <f>SUBTOTAL(109,Table111521[46])</f>
        <v>143</v>
      </c>
      <c r="AV27">
        <f>SUBTOTAL(109,Table111521[SCRIPTS])</f>
        <v>6603</v>
      </c>
    </row>
    <row r="29" spans="1:48" x14ac:dyDescent="0.2">
      <c r="A29" t="s">
        <v>54</v>
      </c>
    </row>
    <row r="30" spans="1:48" x14ac:dyDescent="0.2">
      <c r="A30" t="s">
        <v>3</v>
      </c>
      <c r="B30" t="s">
        <v>71</v>
      </c>
      <c r="C30" t="s">
        <v>72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84</v>
      </c>
      <c r="P30" t="s">
        <v>85</v>
      </c>
      <c r="Q30" t="s">
        <v>86</v>
      </c>
      <c r="R30" t="s">
        <v>87</v>
      </c>
      <c r="S30" t="s">
        <v>88</v>
      </c>
      <c r="T30" t="s">
        <v>89</v>
      </c>
      <c r="U30" t="s">
        <v>90</v>
      </c>
      <c r="V30" t="s">
        <v>91</v>
      </c>
      <c r="W30" t="s">
        <v>92</v>
      </c>
      <c r="X30" t="s">
        <v>93</v>
      </c>
      <c r="Y30" t="s">
        <v>94</v>
      </c>
      <c r="Z30" t="s">
        <v>95</v>
      </c>
      <c r="AA30" t="s">
        <v>96</v>
      </c>
      <c r="AB30" t="s">
        <v>97</v>
      </c>
      <c r="AC30" t="s">
        <v>98</v>
      </c>
      <c r="AD30" t="s">
        <v>99</v>
      </c>
      <c r="AE30" t="s">
        <v>100</v>
      </c>
      <c r="AF30" t="s">
        <v>101</v>
      </c>
      <c r="AG30" t="s">
        <v>102</v>
      </c>
      <c r="AH30" t="s">
        <v>103</v>
      </c>
      <c r="AI30" t="s">
        <v>104</v>
      </c>
      <c r="AJ30" t="s">
        <v>105</v>
      </c>
      <c r="AK30" t="s">
        <v>106</v>
      </c>
      <c r="AL30" t="s">
        <v>107</v>
      </c>
      <c r="AM30" t="s">
        <v>108</v>
      </c>
      <c r="AN30" t="s">
        <v>109</v>
      </c>
      <c r="AO30" t="s">
        <v>110</v>
      </c>
      <c r="AP30" t="s">
        <v>111</v>
      </c>
      <c r="AQ30" t="s">
        <v>112</v>
      </c>
      <c r="AR30" t="s">
        <v>113</v>
      </c>
      <c r="AS30" t="s">
        <v>114</v>
      </c>
      <c r="AT30" t="s">
        <v>115</v>
      </c>
      <c r="AU30" t="s">
        <v>116</v>
      </c>
      <c r="AV30" t="s">
        <v>117</v>
      </c>
    </row>
    <row r="31" spans="1:48" x14ac:dyDescent="0.2">
      <c r="A31" t="s">
        <v>8</v>
      </c>
      <c r="B31">
        <f>SUMIFS(Pre[1],Pre[CATEGORY],Table111523[[#This Row],[CATEGORY]],Pre[GROUPING],"Nov")</f>
        <v>82</v>
      </c>
      <c r="C31">
        <f>SUMIFS(Pre[2],Pre[CATEGORY],Table111523[[#This Row],[CATEGORY]],Pre[GROUPING],"Nov")</f>
        <v>87</v>
      </c>
      <c r="D31">
        <f>SUMIFS(Pre[3],Pre[CATEGORY],Table111523[[#This Row],[CATEGORY]],Pre[GROUPING],"Nov")</f>
        <v>95</v>
      </c>
      <c r="E31">
        <f>SUMIFS(Pre[4],Pre[CATEGORY],Table111523[[#This Row],[CATEGORY]],Pre[GROUPING],"Nov")</f>
        <v>77</v>
      </c>
      <c r="F31">
        <f>SUMIFS(Pre[5],Pre[CATEGORY],Table111523[[#This Row],[CATEGORY]],Pre[GROUPING],"Nov")</f>
        <v>82</v>
      </c>
      <c r="G31">
        <f>SUMIFS(Pre[6],Pre[CATEGORY],Table111523[[#This Row],[CATEGORY]],Pre[GROUPING],"Nov")</f>
        <v>76</v>
      </c>
      <c r="H31">
        <f>SUMIFS(Pre[7],Pre[CATEGORY],Table111523[[#This Row],[CATEGORY]],Pre[GROUPING],"Nov")</f>
        <v>88</v>
      </c>
      <c r="I31">
        <f>SUMIFS(Pre[8],Pre[CATEGORY],Table111523[[#This Row],[CATEGORY]],Pre[GROUPING],"Nov")</f>
        <v>82</v>
      </c>
      <c r="J31">
        <f>SUMIFS(Pre[9],Pre[CATEGORY],Table111523[[#This Row],[CATEGORY]],Pre[GROUPING],"Nov")</f>
        <v>80</v>
      </c>
      <c r="K31">
        <f>SUMIFS(Pre[10],Pre[CATEGORY],Table111523[[#This Row],[CATEGORY]],Pre[GROUPING],"Nov")</f>
        <v>84</v>
      </c>
      <c r="L31">
        <f>SUMIFS(Pre[11],Pre[CATEGORY],Table111523[[#This Row],[CATEGORY]],Pre[GROUPING],"Nov")</f>
        <v>101</v>
      </c>
      <c r="M31">
        <f>SUMIFS(Pre[12],Pre[CATEGORY],Table111523[[#This Row],[CATEGORY]],Pre[GROUPING],"Nov")</f>
        <v>102</v>
      </c>
      <c r="N31">
        <f>SUMIFS(Pre[13],Pre[CATEGORY],Table111523[[#This Row],[CATEGORY]],Pre[GROUPING],"Nov")</f>
        <v>89</v>
      </c>
      <c r="O31">
        <f>SUMIFS(Pre[14],Pre[CATEGORY],Table111523[[#This Row],[CATEGORY]],Pre[GROUPING],"Nov")</f>
        <v>95</v>
      </c>
      <c r="P31">
        <f>SUMIFS(Pre[15],Pre[CATEGORY],Table111523[[#This Row],[CATEGORY]],Pre[GROUPING],"Nov")</f>
        <v>88</v>
      </c>
      <c r="Q31">
        <f>SUMIFS(Pre[16],Pre[CATEGORY],Table111523[[#This Row],[CATEGORY]],Pre[GROUPING],"Nov")</f>
        <v>97</v>
      </c>
      <c r="R31">
        <f>SUMIFS(Pre[17],Pre[CATEGORY],Table111523[[#This Row],[CATEGORY]],Pre[GROUPING],"Nov")</f>
        <v>93</v>
      </c>
      <c r="S31">
        <f>SUMIFS(Pre[18],Pre[CATEGORY],Table111523[[#This Row],[CATEGORY]],Pre[GROUPING],"Nov")</f>
        <v>82</v>
      </c>
      <c r="T31">
        <f>SUMIFS(Pre[19],Pre[CATEGORY],Table111523[[#This Row],[CATEGORY]],Pre[GROUPING],"Nov")</f>
        <v>93</v>
      </c>
      <c r="U31">
        <f>SUMIFS(Pre[20],Pre[CATEGORY],Table111523[[#This Row],[CATEGORY]],Pre[GROUPING],"Nov")</f>
        <v>109</v>
      </c>
      <c r="V31">
        <f>SUMIFS(Pre[21],Pre[CATEGORY],Table111523[[#This Row],[CATEGORY]],Pre[GROUPING],"Nov")</f>
        <v>86</v>
      </c>
      <c r="W31">
        <f>SUMIFS(Pre[22],Pre[CATEGORY],Table111523[[#This Row],[CATEGORY]],Pre[GROUPING],"Nov")</f>
        <v>88</v>
      </c>
      <c r="X31">
        <f>SUMIFS(Pre[23],Pre[CATEGORY],Table111523[[#This Row],[CATEGORY]],Pre[GROUPING],"Nov")</f>
        <v>85</v>
      </c>
      <c r="Y31">
        <f>SUMIFS(Pre[24],Pre[CATEGORY],Table111523[[#This Row],[CATEGORY]],Pre[GROUPING],"Nov")</f>
        <v>108</v>
      </c>
      <c r="Z31">
        <f>SUMIFS(Pre[25],Pre[CATEGORY],Table111523[[#This Row],[CATEGORY]],Pre[GROUPING],"Nov")</f>
        <v>108</v>
      </c>
      <c r="AA31">
        <f>SUMIFS(Pre[26],Pre[CATEGORY],Table111523[[#This Row],[CATEGORY]],Pre[GROUPING],"Nov")</f>
        <v>74</v>
      </c>
      <c r="AB31">
        <f>SUMIFS(Pre[27],Pre[CATEGORY],Table111523[[#This Row],[CATEGORY]],Pre[GROUPING],"Nov")</f>
        <v>102</v>
      </c>
      <c r="AC31">
        <f>SUMIFS(Pre[28],Pre[CATEGORY],Table111523[[#This Row],[CATEGORY]],Pre[GROUPING],"Nov")</f>
        <v>95</v>
      </c>
      <c r="AD31">
        <f>SUMIFS(Pre[29],Pre[CATEGORY],Table111523[[#This Row],[CATEGORY]],Pre[GROUPING],"Nov")</f>
        <v>95</v>
      </c>
      <c r="AE31">
        <f>SUMIFS(Pre[30],Pre[CATEGORY],Table111523[[#This Row],[CATEGORY]],Pre[GROUPING],"Nov")</f>
        <v>93</v>
      </c>
      <c r="AF31">
        <f>SUMIFS(Pre[31],Pre[CATEGORY],Table111523[[#This Row],[CATEGORY]],Pre[GROUPING],"Nov")</f>
        <v>80</v>
      </c>
      <c r="AG31">
        <f>SUMIFS(Pre[32],Pre[CATEGORY],Table111523[[#This Row],[CATEGORY]],Pre[GROUPING],"Nov")</f>
        <v>92</v>
      </c>
      <c r="AH31">
        <f>SUMIFS(Pre[33],Pre[CATEGORY],Table111523[[#This Row],[CATEGORY]],Pre[GROUPING],"Nov")</f>
        <v>95</v>
      </c>
      <c r="AI31">
        <f>SUMIFS(Pre[34],Pre[CATEGORY],Table111523[[#This Row],[CATEGORY]],Pre[GROUPING],"Nov")</f>
        <v>89</v>
      </c>
      <c r="AJ31">
        <f>SUMIFS(Pre[35],Pre[CATEGORY],Table111523[[#This Row],[CATEGORY]],Pre[GROUPING],"Nov")</f>
        <v>96</v>
      </c>
      <c r="AK31">
        <f>SUMIFS(Pre[36],Pre[CATEGORY],Table111523[[#This Row],[CATEGORY]],Pre[GROUPING],"Nov")</f>
        <v>106</v>
      </c>
      <c r="AL31">
        <f>SUMIFS(Pre[37],Pre[CATEGORY],Table111523[[#This Row],[CATEGORY]],Pre[GROUPING],"Nov")</f>
        <v>85</v>
      </c>
      <c r="AM31">
        <f>SUMIFS(Pre[38],Pre[CATEGORY],Table111523[[#This Row],[CATEGORY]],Pre[GROUPING],"Nov")</f>
        <v>87</v>
      </c>
      <c r="AN31">
        <f>SUMIFS(Pre[39],Pre[CATEGORY],Table111523[[#This Row],[CATEGORY]],Pre[GROUPING],"Nov")</f>
        <v>78</v>
      </c>
      <c r="AO31">
        <f>SUMIFS(Pre[40],Pre[CATEGORY],Table111523[[#This Row],[CATEGORY]],Pre[GROUPING],"Nov")</f>
        <v>110</v>
      </c>
      <c r="AP31">
        <f>SUMIFS(Pre[41],Pre[CATEGORY],Table111523[[#This Row],[CATEGORY]],Pre[GROUPING],"Nov")</f>
        <v>69</v>
      </c>
      <c r="AQ31">
        <f>SUMIFS(Pre[42],Pre[CATEGORY],Table111523[[#This Row],[CATEGORY]],Pre[GROUPING],"Nov")</f>
        <v>92</v>
      </c>
      <c r="AR31">
        <f>SUMIFS(Pre[43],Pre[CATEGORY],Table111523[[#This Row],[CATEGORY]],Pre[GROUPING],"Nov")</f>
        <v>99</v>
      </c>
      <c r="AS31">
        <f>SUMIFS(Pre[44],Pre[CATEGORY],Table111523[[#This Row],[CATEGORY]],Pre[GROUPING],"Nov")</f>
        <v>89</v>
      </c>
      <c r="AT31">
        <f>SUMIFS(Pre[45],Pre[CATEGORY],Table111523[[#This Row],[CATEGORY]],Pre[GROUPING],"Nov")</f>
        <v>89</v>
      </c>
      <c r="AU31">
        <f>SUMIFS(Pre[46],Pre[CATEGORY],Table111523[[#This Row],[CATEGORY]],Pre[GROUPING],"Nov")</f>
        <v>77</v>
      </c>
      <c r="AV31">
        <f>SUM(Table111523[[#This Row],[1]:[46]])</f>
        <v>4149</v>
      </c>
    </row>
    <row r="32" spans="1:48" x14ac:dyDescent="0.2">
      <c r="A32" t="s">
        <v>10</v>
      </c>
      <c r="B32">
        <f>SUMIFS(Pre[1],Pre[CATEGORY],Table111523[[#This Row],[CATEGORY]],Pre[GROUPING],"Nov")</f>
        <v>10</v>
      </c>
      <c r="C32">
        <f>SUMIFS(Pre[2],Pre[CATEGORY],Table111523[[#This Row],[CATEGORY]],Pre[GROUPING],"Nov")</f>
        <v>14</v>
      </c>
      <c r="D32">
        <f>SUMIFS(Pre[3],Pre[CATEGORY],Table111523[[#This Row],[CATEGORY]],Pre[GROUPING],"Nov")</f>
        <v>13</v>
      </c>
      <c r="E32">
        <f>SUMIFS(Pre[4],Pre[CATEGORY],Table111523[[#This Row],[CATEGORY]],Pre[GROUPING],"Nov")</f>
        <v>14</v>
      </c>
      <c r="F32">
        <f>SUMIFS(Pre[5],Pre[CATEGORY],Table111523[[#This Row],[CATEGORY]],Pre[GROUPING],"Nov")</f>
        <v>12</v>
      </c>
      <c r="G32">
        <f>SUMIFS(Pre[6],Pre[CATEGORY],Table111523[[#This Row],[CATEGORY]],Pre[GROUPING],"Nov")</f>
        <v>8</v>
      </c>
      <c r="H32">
        <f>SUMIFS(Pre[7],Pre[CATEGORY],Table111523[[#This Row],[CATEGORY]],Pre[GROUPING],"Nov")</f>
        <v>13</v>
      </c>
      <c r="I32">
        <f>SUMIFS(Pre[8],Pre[CATEGORY],Table111523[[#This Row],[CATEGORY]],Pre[GROUPING],"Nov")</f>
        <v>9</v>
      </c>
      <c r="J32">
        <f>SUMIFS(Pre[9],Pre[CATEGORY],Table111523[[#This Row],[CATEGORY]],Pre[GROUPING],"Nov")</f>
        <v>11</v>
      </c>
      <c r="K32">
        <f>SUMIFS(Pre[10],Pre[CATEGORY],Table111523[[#This Row],[CATEGORY]],Pre[GROUPING],"Nov")</f>
        <v>11</v>
      </c>
      <c r="L32">
        <f>SUMIFS(Pre[11],Pre[CATEGORY],Table111523[[#This Row],[CATEGORY]],Pre[GROUPING],"Nov")</f>
        <v>10</v>
      </c>
      <c r="M32">
        <f>SUMIFS(Pre[12],Pre[CATEGORY],Table111523[[#This Row],[CATEGORY]],Pre[GROUPING],"Nov")</f>
        <v>11</v>
      </c>
      <c r="N32">
        <f>SUMIFS(Pre[13],Pre[CATEGORY],Table111523[[#This Row],[CATEGORY]],Pre[GROUPING],"Nov")</f>
        <v>11</v>
      </c>
      <c r="O32">
        <f>SUMIFS(Pre[14],Pre[CATEGORY],Table111523[[#This Row],[CATEGORY]],Pre[GROUPING],"Nov")</f>
        <v>10</v>
      </c>
      <c r="P32">
        <f>SUMIFS(Pre[15],Pre[CATEGORY],Table111523[[#This Row],[CATEGORY]],Pre[GROUPING],"Nov")</f>
        <v>13</v>
      </c>
      <c r="Q32">
        <f>SUMIFS(Pre[16],Pre[CATEGORY],Table111523[[#This Row],[CATEGORY]],Pre[GROUPING],"Nov")</f>
        <v>14</v>
      </c>
      <c r="R32">
        <f>SUMIFS(Pre[17],Pre[CATEGORY],Table111523[[#This Row],[CATEGORY]],Pre[GROUPING],"Nov")</f>
        <v>18</v>
      </c>
      <c r="S32">
        <f>SUMIFS(Pre[18],Pre[CATEGORY],Table111523[[#This Row],[CATEGORY]],Pre[GROUPING],"Nov")</f>
        <v>14</v>
      </c>
      <c r="T32">
        <f>SUMIFS(Pre[19],Pre[CATEGORY],Table111523[[#This Row],[CATEGORY]],Pre[GROUPING],"Nov")</f>
        <v>17</v>
      </c>
      <c r="U32">
        <f>SUMIFS(Pre[20],Pre[CATEGORY],Table111523[[#This Row],[CATEGORY]],Pre[GROUPING],"Nov")</f>
        <v>17</v>
      </c>
      <c r="V32">
        <f>SUMIFS(Pre[21],Pre[CATEGORY],Table111523[[#This Row],[CATEGORY]],Pre[GROUPING],"Nov")</f>
        <v>8</v>
      </c>
      <c r="W32">
        <f>SUMIFS(Pre[22],Pre[CATEGORY],Table111523[[#This Row],[CATEGORY]],Pre[GROUPING],"Nov")</f>
        <v>23</v>
      </c>
      <c r="X32">
        <f>SUMIFS(Pre[23],Pre[CATEGORY],Table111523[[#This Row],[CATEGORY]],Pre[GROUPING],"Nov")</f>
        <v>9</v>
      </c>
      <c r="Y32">
        <f>SUMIFS(Pre[24],Pre[CATEGORY],Table111523[[#This Row],[CATEGORY]],Pre[GROUPING],"Nov")</f>
        <v>14</v>
      </c>
      <c r="Z32">
        <f>SUMIFS(Pre[25],Pre[CATEGORY],Table111523[[#This Row],[CATEGORY]],Pre[GROUPING],"Nov")</f>
        <v>12</v>
      </c>
      <c r="AA32">
        <f>SUMIFS(Pre[26],Pre[CATEGORY],Table111523[[#This Row],[CATEGORY]],Pre[GROUPING],"Nov")</f>
        <v>10</v>
      </c>
      <c r="AB32">
        <f>SUMIFS(Pre[27],Pre[CATEGORY],Table111523[[#This Row],[CATEGORY]],Pre[GROUPING],"Nov")</f>
        <v>26</v>
      </c>
      <c r="AC32">
        <f>SUMIFS(Pre[28],Pre[CATEGORY],Table111523[[#This Row],[CATEGORY]],Pre[GROUPING],"Nov")</f>
        <v>9</v>
      </c>
      <c r="AD32">
        <f>SUMIFS(Pre[29],Pre[CATEGORY],Table111523[[#This Row],[CATEGORY]],Pre[GROUPING],"Nov")</f>
        <v>8</v>
      </c>
      <c r="AE32">
        <f>SUMIFS(Pre[30],Pre[CATEGORY],Table111523[[#This Row],[CATEGORY]],Pre[GROUPING],"Nov")</f>
        <v>12</v>
      </c>
      <c r="AF32">
        <f>SUMIFS(Pre[31],Pre[CATEGORY],Table111523[[#This Row],[CATEGORY]],Pre[GROUPING],"Nov")</f>
        <v>14</v>
      </c>
      <c r="AG32">
        <f>SUMIFS(Pre[32],Pre[CATEGORY],Table111523[[#This Row],[CATEGORY]],Pre[GROUPING],"Nov")</f>
        <v>12</v>
      </c>
      <c r="AH32">
        <f>SUMIFS(Pre[33],Pre[CATEGORY],Table111523[[#This Row],[CATEGORY]],Pre[GROUPING],"Nov")</f>
        <v>18</v>
      </c>
      <c r="AI32">
        <f>SUMIFS(Pre[34],Pre[CATEGORY],Table111523[[#This Row],[CATEGORY]],Pre[GROUPING],"Nov")</f>
        <v>13</v>
      </c>
      <c r="AJ32">
        <f>SUMIFS(Pre[35],Pre[CATEGORY],Table111523[[#This Row],[CATEGORY]],Pre[GROUPING],"Nov")</f>
        <v>17</v>
      </c>
      <c r="AK32">
        <f>SUMIFS(Pre[36],Pre[CATEGORY],Table111523[[#This Row],[CATEGORY]],Pre[GROUPING],"Nov")</f>
        <v>13</v>
      </c>
      <c r="AL32">
        <f>SUMIFS(Pre[37],Pre[CATEGORY],Table111523[[#This Row],[CATEGORY]],Pre[GROUPING],"Nov")</f>
        <v>14</v>
      </c>
      <c r="AM32">
        <f>SUMIFS(Pre[38],Pre[CATEGORY],Table111523[[#This Row],[CATEGORY]],Pre[GROUPING],"Nov")</f>
        <v>17</v>
      </c>
      <c r="AN32">
        <f>SUMIFS(Pre[39],Pre[CATEGORY],Table111523[[#This Row],[CATEGORY]],Pre[GROUPING],"Nov")</f>
        <v>8</v>
      </c>
      <c r="AO32">
        <f>SUMIFS(Pre[40],Pre[CATEGORY],Table111523[[#This Row],[CATEGORY]],Pre[GROUPING],"Nov")</f>
        <v>10</v>
      </c>
      <c r="AP32">
        <f>SUMIFS(Pre[41],Pre[CATEGORY],Table111523[[#This Row],[CATEGORY]],Pre[GROUPING],"Nov")</f>
        <v>14</v>
      </c>
      <c r="AQ32">
        <f>SUMIFS(Pre[42],Pre[CATEGORY],Table111523[[#This Row],[CATEGORY]],Pre[GROUPING],"Nov")</f>
        <v>11</v>
      </c>
      <c r="AR32">
        <f>SUMIFS(Pre[43],Pre[CATEGORY],Table111523[[#This Row],[CATEGORY]],Pre[GROUPING],"Nov")</f>
        <v>15</v>
      </c>
      <c r="AS32">
        <f>SUMIFS(Pre[44],Pre[CATEGORY],Table111523[[#This Row],[CATEGORY]],Pre[GROUPING],"Nov")</f>
        <v>8</v>
      </c>
      <c r="AT32">
        <f>SUMIFS(Pre[45],Pre[CATEGORY],Table111523[[#This Row],[CATEGORY]],Pre[GROUPING],"Nov")</f>
        <v>8</v>
      </c>
      <c r="AU32">
        <f>SUMIFS(Pre[46],Pre[CATEGORY],Table111523[[#This Row],[CATEGORY]],Pre[GROUPING],"Nov")</f>
        <v>11</v>
      </c>
      <c r="AV32">
        <f>SUM(Table111523[[#This Row],[1]:[46]])</f>
        <v>584</v>
      </c>
    </row>
    <row r="33" spans="1:48" x14ac:dyDescent="0.2">
      <c r="A33" t="s">
        <v>12</v>
      </c>
      <c r="B33">
        <f>SUMIFS(Pre[1],Pre[CATEGORY],Table111523[[#This Row],[CATEGORY]],Pre[GROUPING],"Nov")</f>
        <v>1</v>
      </c>
      <c r="C33">
        <f>SUMIFS(Pre[2],Pre[CATEGORY],Table111523[[#This Row],[CATEGORY]],Pre[GROUPING],"Nov")</f>
        <v>1</v>
      </c>
      <c r="D33">
        <f>SUMIFS(Pre[3],Pre[CATEGORY],Table111523[[#This Row],[CATEGORY]],Pre[GROUPING],"Nov")</f>
        <v>1</v>
      </c>
      <c r="E33">
        <f>SUMIFS(Pre[4],Pre[CATEGORY],Table111523[[#This Row],[CATEGORY]],Pre[GROUPING],"Nov")</f>
        <v>2</v>
      </c>
      <c r="F33">
        <f>SUMIFS(Pre[5],Pre[CATEGORY],Table111523[[#This Row],[CATEGORY]],Pre[GROUPING],"Nov")</f>
        <v>1</v>
      </c>
      <c r="G33">
        <f>SUMIFS(Pre[6],Pre[CATEGORY],Table111523[[#This Row],[CATEGORY]],Pre[GROUPING],"Nov")</f>
        <v>2</v>
      </c>
      <c r="H33">
        <f>SUMIFS(Pre[7],Pre[CATEGORY],Table111523[[#This Row],[CATEGORY]],Pre[GROUPING],"Nov")</f>
        <v>1</v>
      </c>
      <c r="I33">
        <f>SUMIFS(Pre[8],Pre[CATEGORY],Table111523[[#This Row],[CATEGORY]],Pre[GROUPING],"Nov")</f>
        <v>1</v>
      </c>
      <c r="J33">
        <f>SUMIFS(Pre[9],Pre[CATEGORY],Table111523[[#This Row],[CATEGORY]],Pre[GROUPING],"Nov")</f>
        <v>2</v>
      </c>
      <c r="K33">
        <f>SUMIFS(Pre[10],Pre[CATEGORY],Table111523[[#This Row],[CATEGORY]],Pre[GROUPING],"Nov")</f>
        <v>3</v>
      </c>
      <c r="L33">
        <f>SUMIFS(Pre[11],Pre[CATEGORY],Table111523[[#This Row],[CATEGORY]],Pre[GROUPING],"Nov")</f>
        <v>1</v>
      </c>
      <c r="M33">
        <f>SUMIFS(Pre[12],Pre[CATEGORY],Table111523[[#This Row],[CATEGORY]],Pre[GROUPING],"Nov")</f>
        <v>1</v>
      </c>
      <c r="N33">
        <f>SUMIFS(Pre[13],Pre[CATEGORY],Table111523[[#This Row],[CATEGORY]],Pre[GROUPING],"Nov")</f>
        <v>1</v>
      </c>
      <c r="O33">
        <f>SUMIFS(Pre[14],Pre[CATEGORY],Table111523[[#This Row],[CATEGORY]],Pre[GROUPING],"Nov")</f>
        <v>1</v>
      </c>
      <c r="P33">
        <f>SUMIFS(Pre[15],Pre[CATEGORY],Table111523[[#This Row],[CATEGORY]],Pre[GROUPING],"Nov")</f>
        <v>1</v>
      </c>
      <c r="Q33">
        <f>SUMIFS(Pre[16],Pre[CATEGORY],Table111523[[#This Row],[CATEGORY]],Pre[GROUPING],"Nov")</f>
        <v>1</v>
      </c>
      <c r="R33">
        <f>SUMIFS(Pre[17],Pre[CATEGORY],Table111523[[#This Row],[CATEGORY]],Pre[GROUPING],"Nov")</f>
        <v>1</v>
      </c>
      <c r="S33">
        <f>SUMIFS(Pre[18],Pre[CATEGORY],Table111523[[#This Row],[CATEGORY]],Pre[GROUPING],"Nov")</f>
        <v>1</v>
      </c>
      <c r="T33">
        <f>SUMIFS(Pre[19],Pre[CATEGORY],Table111523[[#This Row],[CATEGORY]],Pre[GROUPING],"Nov")</f>
        <v>1</v>
      </c>
      <c r="U33">
        <f>SUMIFS(Pre[20],Pre[CATEGORY],Table111523[[#This Row],[CATEGORY]],Pre[GROUPING],"Nov")</f>
        <v>1</v>
      </c>
      <c r="V33">
        <f>SUMIFS(Pre[21],Pre[CATEGORY],Table111523[[#This Row],[CATEGORY]],Pre[GROUPING],"Nov")</f>
        <v>2</v>
      </c>
      <c r="W33">
        <f>SUMIFS(Pre[22],Pre[CATEGORY],Table111523[[#This Row],[CATEGORY]],Pre[GROUPING],"Nov")</f>
        <v>2</v>
      </c>
      <c r="X33">
        <f>SUMIFS(Pre[23],Pre[CATEGORY],Table111523[[#This Row],[CATEGORY]],Pre[GROUPING],"Nov")</f>
        <v>1</v>
      </c>
      <c r="Y33">
        <f>SUMIFS(Pre[24],Pre[CATEGORY],Table111523[[#This Row],[CATEGORY]],Pre[GROUPING],"Nov")</f>
        <v>1</v>
      </c>
      <c r="Z33">
        <f>SUMIFS(Pre[25],Pre[CATEGORY],Table111523[[#This Row],[CATEGORY]],Pre[GROUPING],"Nov")</f>
        <v>1</v>
      </c>
      <c r="AA33">
        <f>SUMIFS(Pre[26],Pre[CATEGORY],Table111523[[#This Row],[CATEGORY]],Pre[GROUPING],"Nov")</f>
        <v>1</v>
      </c>
      <c r="AB33">
        <f>SUMIFS(Pre[27],Pre[CATEGORY],Table111523[[#This Row],[CATEGORY]],Pre[GROUPING],"Nov")</f>
        <v>1</v>
      </c>
      <c r="AC33">
        <f>SUMIFS(Pre[28],Pre[CATEGORY],Table111523[[#This Row],[CATEGORY]],Pre[GROUPING],"Nov")</f>
        <v>1</v>
      </c>
      <c r="AD33">
        <f>SUMIFS(Pre[29],Pre[CATEGORY],Table111523[[#This Row],[CATEGORY]],Pre[GROUPING],"Nov")</f>
        <v>2</v>
      </c>
      <c r="AE33">
        <f>SUMIFS(Pre[30],Pre[CATEGORY],Table111523[[#This Row],[CATEGORY]],Pre[GROUPING],"Nov")</f>
        <v>1</v>
      </c>
      <c r="AF33">
        <f>SUMIFS(Pre[31],Pre[CATEGORY],Table111523[[#This Row],[CATEGORY]],Pre[GROUPING],"Nov")</f>
        <v>1</v>
      </c>
      <c r="AG33">
        <f>SUMIFS(Pre[32],Pre[CATEGORY],Table111523[[#This Row],[CATEGORY]],Pre[GROUPING],"Nov")</f>
        <v>0</v>
      </c>
      <c r="AH33">
        <f>SUMIFS(Pre[33],Pre[CATEGORY],Table111523[[#This Row],[CATEGORY]],Pre[GROUPING],"Nov")</f>
        <v>2</v>
      </c>
      <c r="AI33">
        <f>SUMIFS(Pre[34],Pre[CATEGORY],Table111523[[#This Row],[CATEGORY]],Pre[GROUPING],"Nov")</f>
        <v>1</v>
      </c>
      <c r="AJ33">
        <f>SUMIFS(Pre[35],Pre[CATEGORY],Table111523[[#This Row],[CATEGORY]],Pre[GROUPING],"Nov")</f>
        <v>1</v>
      </c>
      <c r="AK33">
        <f>SUMIFS(Pre[36],Pre[CATEGORY],Table111523[[#This Row],[CATEGORY]],Pre[GROUPING],"Nov")</f>
        <v>1</v>
      </c>
      <c r="AL33">
        <f>SUMIFS(Pre[37],Pre[CATEGORY],Table111523[[#This Row],[CATEGORY]],Pre[GROUPING],"Nov")</f>
        <v>1</v>
      </c>
      <c r="AM33">
        <f>SUMIFS(Pre[38],Pre[CATEGORY],Table111523[[#This Row],[CATEGORY]],Pre[GROUPING],"Nov")</f>
        <v>2</v>
      </c>
      <c r="AN33">
        <f>SUMIFS(Pre[39],Pre[CATEGORY],Table111523[[#This Row],[CATEGORY]],Pre[GROUPING],"Nov")</f>
        <v>1</v>
      </c>
      <c r="AO33">
        <f>SUMIFS(Pre[40],Pre[CATEGORY],Table111523[[#This Row],[CATEGORY]],Pre[GROUPING],"Nov")</f>
        <v>1</v>
      </c>
      <c r="AP33">
        <f>SUMIFS(Pre[41],Pre[CATEGORY],Table111523[[#This Row],[CATEGORY]],Pre[GROUPING],"Nov")</f>
        <v>1</v>
      </c>
      <c r="AQ33">
        <f>SUMIFS(Pre[42],Pre[CATEGORY],Table111523[[#This Row],[CATEGORY]],Pre[GROUPING],"Nov")</f>
        <v>2</v>
      </c>
      <c r="AR33">
        <f>SUMIFS(Pre[43],Pre[CATEGORY],Table111523[[#This Row],[CATEGORY]],Pre[GROUPING],"Nov")</f>
        <v>1</v>
      </c>
      <c r="AS33">
        <f>SUMIFS(Pre[44],Pre[CATEGORY],Table111523[[#This Row],[CATEGORY]],Pre[GROUPING],"Nov")</f>
        <v>1</v>
      </c>
      <c r="AT33">
        <f>SUMIFS(Pre[45],Pre[CATEGORY],Table111523[[#This Row],[CATEGORY]],Pre[GROUPING],"Nov")</f>
        <v>1</v>
      </c>
      <c r="AU33">
        <f>SUMIFS(Pre[46],Pre[CATEGORY],Table111523[[#This Row],[CATEGORY]],Pre[GROUPING],"Nov")</f>
        <v>1</v>
      </c>
      <c r="AV33">
        <f>SUM(Table111523[[#This Row],[1]:[46]])</f>
        <v>56</v>
      </c>
    </row>
    <row r="34" spans="1:48" x14ac:dyDescent="0.2">
      <c r="A34" t="s">
        <v>14</v>
      </c>
      <c r="B34">
        <f>SUMIFS(Pre[1],Pre[CATEGORY],Table111523[[#This Row],[CATEGORY]],Pre[GROUPING],"Nov")</f>
        <v>83</v>
      </c>
      <c r="C34">
        <f>SUMIFS(Pre[2],Pre[CATEGORY],Table111523[[#This Row],[CATEGORY]],Pre[GROUPING],"Nov")</f>
        <v>56</v>
      </c>
      <c r="D34">
        <f>SUMIFS(Pre[3],Pre[CATEGORY],Table111523[[#This Row],[CATEGORY]],Pre[GROUPING],"Nov")</f>
        <v>57</v>
      </c>
      <c r="E34">
        <f>SUMIFS(Pre[4],Pre[CATEGORY],Table111523[[#This Row],[CATEGORY]],Pre[GROUPING],"Nov")</f>
        <v>64</v>
      </c>
      <c r="F34">
        <f>SUMIFS(Pre[5],Pre[CATEGORY],Table111523[[#This Row],[CATEGORY]],Pre[GROUPING],"Nov")</f>
        <v>78</v>
      </c>
      <c r="G34">
        <f>SUMIFS(Pre[6],Pre[CATEGORY],Table111523[[#This Row],[CATEGORY]],Pre[GROUPING],"Nov")</f>
        <v>57</v>
      </c>
      <c r="H34">
        <f>SUMIFS(Pre[7],Pre[CATEGORY],Table111523[[#This Row],[CATEGORY]],Pre[GROUPING],"Nov")</f>
        <v>66</v>
      </c>
      <c r="I34">
        <f>SUMIFS(Pre[8],Pre[CATEGORY],Table111523[[#This Row],[CATEGORY]],Pre[GROUPING],"Nov")</f>
        <v>60</v>
      </c>
      <c r="J34">
        <f>SUMIFS(Pre[9],Pre[CATEGORY],Table111523[[#This Row],[CATEGORY]],Pre[GROUPING],"Nov")</f>
        <v>69</v>
      </c>
      <c r="K34">
        <f>SUMIFS(Pre[10],Pre[CATEGORY],Table111523[[#This Row],[CATEGORY]],Pre[GROUPING],"Nov")</f>
        <v>68</v>
      </c>
      <c r="L34">
        <f>SUMIFS(Pre[11],Pre[CATEGORY],Table111523[[#This Row],[CATEGORY]],Pre[GROUPING],"Nov")</f>
        <v>74</v>
      </c>
      <c r="M34">
        <f>SUMIFS(Pre[12],Pre[CATEGORY],Table111523[[#This Row],[CATEGORY]],Pre[GROUPING],"Nov")</f>
        <v>61</v>
      </c>
      <c r="N34">
        <f>SUMIFS(Pre[13],Pre[CATEGORY],Table111523[[#This Row],[CATEGORY]],Pre[GROUPING],"Nov")</f>
        <v>71</v>
      </c>
      <c r="O34">
        <f>SUMIFS(Pre[14],Pre[CATEGORY],Table111523[[#This Row],[CATEGORY]],Pre[GROUPING],"Nov")</f>
        <v>67</v>
      </c>
      <c r="P34">
        <f>SUMIFS(Pre[15],Pre[CATEGORY],Table111523[[#This Row],[CATEGORY]],Pre[GROUPING],"Nov")</f>
        <v>68</v>
      </c>
      <c r="Q34">
        <f>SUMIFS(Pre[16],Pre[CATEGORY],Table111523[[#This Row],[CATEGORY]],Pre[GROUPING],"Nov")</f>
        <v>60</v>
      </c>
      <c r="R34">
        <f>SUMIFS(Pre[17],Pre[CATEGORY],Table111523[[#This Row],[CATEGORY]],Pre[GROUPING],"Nov")</f>
        <v>72</v>
      </c>
      <c r="S34">
        <f>SUMIFS(Pre[18],Pre[CATEGORY],Table111523[[#This Row],[CATEGORY]],Pre[GROUPING],"Nov")</f>
        <v>76</v>
      </c>
      <c r="T34">
        <f>SUMIFS(Pre[19],Pre[CATEGORY],Table111523[[#This Row],[CATEGORY]],Pre[GROUPING],"Nov")</f>
        <v>70</v>
      </c>
      <c r="U34">
        <f>SUMIFS(Pre[20],Pre[CATEGORY],Table111523[[#This Row],[CATEGORY]],Pre[GROUPING],"Nov")</f>
        <v>59</v>
      </c>
      <c r="V34">
        <f>SUMIFS(Pre[21],Pre[CATEGORY],Table111523[[#This Row],[CATEGORY]],Pre[GROUPING],"Nov")</f>
        <v>70</v>
      </c>
      <c r="W34">
        <f>SUMIFS(Pre[22],Pre[CATEGORY],Table111523[[#This Row],[CATEGORY]],Pre[GROUPING],"Nov")</f>
        <v>83</v>
      </c>
      <c r="X34">
        <f>SUMIFS(Pre[23],Pre[CATEGORY],Table111523[[#This Row],[CATEGORY]],Pre[GROUPING],"Nov")</f>
        <v>62</v>
      </c>
      <c r="Y34">
        <f>SUMIFS(Pre[24],Pre[CATEGORY],Table111523[[#This Row],[CATEGORY]],Pre[GROUPING],"Nov")</f>
        <v>78</v>
      </c>
      <c r="Z34">
        <f>SUMIFS(Pre[25],Pre[CATEGORY],Table111523[[#This Row],[CATEGORY]],Pre[GROUPING],"Nov")</f>
        <v>80</v>
      </c>
      <c r="AA34">
        <f>SUMIFS(Pre[26],Pre[CATEGORY],Table111523[[#This Row],[CATEGORY]],Pre[GROUPING],"Nov")</f>
        <v>60</v>
      </c>
      <c r="AB34">
        <f>SUMIFS(Pre[27],Pre[CATEGORY],Table111523[[#This Row],[CATEGORY]],Pre[GROUPING],"Nov")</f>
        <v>76</v>
      </c>
      <c r="AC34">
        <f>SUMIFS(Pre[28],Pre[CATEGORY],Table111523[[#This Row],[CATEGORY]],Pre[GROUPING],"Nov")</f>
        <v>66</v>
      </c>
      <c r="AD34">
        <f>SUMIFS(Pre[29],Pre[CATEGORY],Table111523[[#This Row],[CATEGORY]],Pre[GROUPING],"Nov")</f>
        <v>56</v>
      </c>
      <c r="AE34">
        <f>SUMIFS(Pre[30],Pre[CATEGORY],Table111523[[#This Row],[CATEGORY]],Pre[GROUPING],"Nov")</f>
        <v>75</v>
      </c>
      <c r="AF34">
        <f>SUMIFS(Pre[31],Pre[CATEGORY],Table111523[[#This Row],[CATEGORY]],Pre[GROUPING],"Nov")</f>
        <v>71</v>
      </c>
      <c r="AG34">
        <f>SUMIFS(Pre[32],Pre[CATEGORY],Table111523[[#This Row],[CATEGORY]],Pre[GROUPING],"Nov")</f>
        <v>58</v>
      </c>
      <c r="AH34">
        <f>SUMIFS(Pre[33],Pre[CATEGORY],Table111523[[#This Row],[CATEGORY]],Pre[GROUPING],"Nov")</f>
        <v>66</v>
      </c>
      <c r="AI34">
        <f>SUMIFS(Pre[34],Pre[CATEGORY],Table111523[[#This Row],[CATEGORY]],Pre[GROUPING],"Nov")</f>
        <v>74</v>
      </c>
      <c r="AJ34">
        <f>SUMIFS(Pre[35],Pre[CATEGORY],Table111523[[#This Row],[CATEGORY]],Pre[GROUPING],"Nov")</f>
        <v>71</v>
      </c>
      <c r="AK34">
        <f>SUMIFS(Pre[36],Pre[CATEGORY],Table111523[[#This Row],[CATEGORY]],Pre[GROUPING],"Nov")</f>
        <v>70</v>
      </c>
      <c r="AL34">
        <f>SUMIFS(Pre[37],Pre[CATEGORY],Table111523[[#This Row],[CATEGORY]],Pre[GROUPING],"Nov")</f>
        <v>64</v>
      </c>
      <c r="AM34">
        <f>SUMIFS(Pre[38],Pre[CATEGORY],Table111523[[#This Row],[CATEGORY]],Pre[GROUPING],"Nov")</f>
        <v>78</v>
      </c>
      <c r="AN34">
        <f>SUMIFS(Pre[39],Pre[CATEGORY],Table111523[[#This Row],[CATEGORY]],Pre[GROUPING],"Nov")</f>
        <v>68</v>
      </c>
      <c r="AO34">
        <f>SUMIFS(Pre[40],Pre[CATEGORY],Table111523[[#This Row],[CATEGORY]],Pre[GROUPING],"Nov")</f>
        <v>73</v>
      </c>
      <c r="AP34">
        <f>SUMIFS(Pre[41],Pre[CATEGORY],Table111523[[#This Row],[CATEGORY]],Pre[GROUPING],"Nov")</f>
        <v>59</v>
      </c>
      <c r="AQ34">
        <f>SUMIFS(Pre[42],Pre[CATEGORY],Table111523[[#This Row],[CATEGORY]],Pre[GROUPING],"Nov")</f>
        <v>67</v>
      </c>
      <c r="AR34">
        <f>SUMIFS(Pre[43],Pre[CATEGORY],Table111523[[#This Row],[CATEGORY]],Pre[GROUPING],"Nov")</f>
        <v>86</v>
      </c>
      <c r="AS34">
        <f>SUMIFS(Pre[44],Pre[CATEGORY],Table111523[[#This Row],[CATEGORY]],Pre[GROUPING],"Nov")</f>
        <v>75</v>
      </c>
      <c r="AT34">
        <f>SUMIFS(Pre[45],Pre[CATEGORY],Table111523[[#This Row],[CATEGORY]],Pre[GROUPING],"Nov")</f>
        <v>54</v>
      </c>
      <c r="AU34">
        <f>SUMIFS(Pre[46],Pre[CATEGORY],Table111523[[#This Row],[CATEGORY]],Pre[GROUPING],"Nov")</f>
        <v>60</v>
      </c>
      <c r="AV34">
        <f>SUM(Table111523[[#This Row],[1]:[46]])</f>
        <v>3136</v>
      </c>
    </row>
    <row r="35" spans="1:48" x14ac:dyDescent="0.2">
      <c r="A35" t="s">
        <v>17</v>
      </c>
      <c r="B35">
        <f>SUMIFS(Pre[1],Pre[CATEGORY],Table111523[[#This Row],[CATEGORY]],Pre[GROUPING],"Nov")</f>
        <v>1</v>
      </c>
      <c r="C35">
        <f>SUMIFS(Pre[2],Pre[CATEGORY],Table111523[[#This Row],[CATEGORY]],Pre[GROUPING],"Nov")</f>
        <v>0</v>
      </c>
      <c r="D35">
        <f>SUMIFS(Pre[3],Pre[CATEGORY],Table111523[[#This Row],[CATEGORY]],Pre[GROUPING],"Nov")</f>
        <v>0</v>
      </c>
      <c r="E35">
        <f>SUMIFS(Pre[4],Pre[CATEGORY],Table111523[[#This Row],[CATEGORY]],Pre[GROUPING],"Nov")</f>
        <v>1</v>
      </c>
      <c r="F35">
        <f>SUMIFS(Pre[5],Pre[CATEGORY],Table111523[[#This Row],[CATEGORY]],Pre[GROUPING],"Nov")</f>
        <v>1</v>
      </c>
      <c r="G35">
        <f>SUMIFS(Pre[6],Pre[CATEGORY],Table111523[[#This Row],[CATEGORY]],Pre[GROUPING],"Nov")</f>
        <v>0</v>
      </c>
      <c r="H35">
        <f>SUMIFS(Pre[7],Pre[CATEGORY],Table111523[[#This Row],[CATEGORY]],Pre[GROUPING],"Nov")</f>
        <v>0</v>
      </c>
      <c r="I35">
        <f>SUMIFS(Pre[8],Pre[CATEGORY],Table111523[[#This Row],[CATEGORY]],Pre[GROUPING],"Nov")</f>
        <v>1</v>
      </c>
      <c r="J35">
        <f>SUMIFS(Pre[9],Pre[CATEGORY],Table111523[[#This Row],[CATEGORY]],Pre[GROUPING],"Nov")</f>
        <v>1</v>
      </c>
      <c r="K35">
        <f>SUMIFS(Pre[10],Pre[CATEGORY],Table111523[[#This Row],[CATEGORY]],Pre[GROUPING],"Nov")</f>
        <v>1</v>
      </c>
      <c r="L35">
        <f>SUMIFS(Pre[11],Pre[CATEGORY],Table111523[[#This Row],[CATEGORY]],Pre[GROUPING],"Nov")</f>
        <v>0</v>
      </c>
      <c r="M35">
        <f>SUMIFS(Pre[12],Pre[CATEGORY],Table111523[[#This Row],[CATEGORY]],Pre[GROUPING],"Nov")</f>
        <v>1</v>
      </c>
      <c r="N35">
        <f>SUMIFS(Pre[13],Pre[CATEGORY],Table111523[[#This Row],[CATEGORY]],Pre[GROUPING],"Nov")</f>
        <v>0</v>
      </c>
      <c r="O35">
        <f>SUMIFS(Pre[14],Pre[CATEGORY],Table111523[[#This Row],[CATEGORY]],Pre[GROUPING],"Nov")</f>
        <v>0</v>
      </c>
      <c r="P35">
        <f>SUMIFS(Pre[15],Pre[CATEGORY],Table111523[[#This Row],[CATEGORY]],Pre[GROUPING],"Nov")</f>
        <v>0</v>
      </c>
      <c r="Q35">
        <f>SUMIFS(Pre[16],Pre[CATEGORY],Table111523[[#This Row],[CATEGORY]],Pre[GROUPING],"Nov")</f>
        <v>2</v>
      </c>
      <c r="R35">
        <f>SUMIFS(Pre[17],Pre[CATEGORY],Table111523[[#This Row],[CATEGORY]],Pre[GROUPING],"Nov")</f>
        <v>1</v>
      </c>
      <c r="S35">
        <f>SUMIFS(Pre[18],Pre[CATEGORY],Table111523[[#This Row],[CATEGORY]],Pre[GROUPING],"Nov")</f>
        <v>0</v>
      </c>
      <c r="T35">
        <f>SUMIFS(Pre[19],Pre[CATEGORY],Table111523[[#This Row],[CATEGORY]],Pre[GROUPING],"Nov")</f>
        <v>0</v>
      </c>
      <c r="U35">
        <f>SUMIFS(Pre[20],Pre[CATEGORY],Table111523[[#This Row],[CATEGORY]],Pre[GROUPING],"Nov")</f>
        <v>1</v>
      </c>
      <c r="V35">
        <f>SUMIFS(Pre[21],Pre[CATEGORY],Table111523[[#This Row],[CATEGORY]],Pre[GROUPING],"Nov")</f>
        <v>0</v>
      </c>
      <c r="W35">
        <f>SUMIFS(Pre[22],Pre[CATEGORY],Table111523[[#This Row],[CATEGORY]],Pre[GROUPING],"Nov")</f>
        <v>0</v>
      </c>
      <c r="X35">
        <f>SUMIFS(Pre[23],Pre[CATEGORY],Table111523[[#This Row],[CATEGORY]],Pre[GROUPING],"Nov")</f>
        <v>0</v>
      </c>
      <c r="Y35">
        <f>SUMIFS(Pre[24],Pre[CATEGORY],Table111523[[#This Row],[CATEGORY]],Pre[GROUPING],"Nov")</f>
        <v>2</v>
      </c>
      <c r="Z35">
        <f>SUMIFS(Pre[25],Pre[CATEGORY],Table111523[[#This Row],[CATEGORY]],Pre[GROUPING],"Nov")</f>
        <v>0</v>
      </c>
      <c r="AA35">
        <f>SUMIFS(Pre[26],Pre[CATEGORY],Table111523[[#This Row],[CATEGORY]],Pre[GROUPING],"Nov")</f>
        <v>0</v>
      </c>
      <c r="AB35">
        <f>SUMIFS(Pre[27],Pre[CATEGORY],Table111523[[#This Row],[CATEGORY]],Pre[GROUPING],"Nov")</f>
        <v>0</v>
      </c>
      <c r="AC35">
        <f>SUMIFS(Pre[28],Pre[CATEGORY],Table111523[[#This Row],[CATEGORY]],Pre[GROUPING],"Nov")</f>
        <v>1</v>
      </c>
      <c r="AD35">
        <f>SUMIFS(Pre[29],Pre[CATEGORY],Table111523[[#This Row],[CATEGORY]],Pre[GROUPING],"Nov")</f>
        <v>0</v>
      </c>
      <c r="AE35">
        <f>SUMIFS(Pre[30],Pre[CATEGORY],Table111523[[#This Row],[CATEGORY]],Pre[GROUPING],"Nov")</f>
        <v>0</v>
      </c>
      <c r="AF35">
        <f>SUMIFS(Pre[31],Pre[CATEGORY],Table111523[[#This Row],[CATEGORY]],Pre[GROUPING],"Nov")</f>
        <v>0</v>
      </c>
      <c r="AG35">
        <f>SUMIFS(Pre[32],Pre[CATEGORY],Table111523[[#This Row],[CATEGORY]],Pre[GROUPING],"Nov")</f>
        <v>1</v>
      </c>
      <c r="AH35">
        <f>SUMIFS(Pre[33],Pre[CATEGORY],Table111523[[#This Row],[CATEGORY]],Pre[GROUPING],"Nov")</f>
        <v>0</v>
      </c>
      <c r="AI35">
        <f>SUMIFS(Pre[34],Pre[CATEGORY],Table111523[[#This Row],[CATEGORY]],Pre[GROUPING],"Nov")</f>
        <v>2</v>
      </c>
      <c r="AJ35">
        <f>SUMIFS(Pre[35],Pre[CATEGORY],Table111523[[#This Row],[CATEGORY]],Pre[GROUPING],"Nov")</f>
        <v>0</v>
      </c>
      <c r="AK35">
        <f>SUMIFS(Pre[36],Pre[CATEGORY],Table111523[[#This Row],[CATEGORY]],Pre[GROUPING],"Nov")</f>
        <v>1</v>
      </c>
      <c r="AL35">
        <f>SUMIFS(Pre[37],Pre[CATEGORY],Table111523[[#This Row],[CATEGORY]],Pre[GROUPING],"Nov")</f>
        <v>2</v>
      </c>
      <c r="AM35">
        <f>SUMIFS(Pre[38],Pre[CATEGORY],Table111523[[#This Row],[CATEGORY]],Pre[GROUPING],"Nov")</f>
        <v>0</v>
      </c>
      <c r="AN35">
        <f>SUMIFS(Pre[39],Pre[CATEGORY],Table111523[[#This Row],[CATEGORY]],Pre[GROUPING],"Nov")</f>
        <v>0</v>
      </c>
      <c r="AO35">
        <f>SUMIFS(Pre[40],Pre[CATEGORY],Table111523[[#This Row],[CATEGORY]],Pre[GROUPING],"Nov")</f>
        <v>1</v>
      </c>
      <c r="AP35">
        <f>SUMIFS(Pre[41],Pre[CATEGORY],Table111523[[#This Row],[CATEGORY]],Pre[GROUPING],"Nov")</f>
        <v>1</v>
      </c>
      <c r="AQ35">
        <f>SUMIFS(Pre[42],Pre[CATEGORY],Table111523[[#This Row],[CATEGORY]],Pre[GROUPING],"Nov")</f>
        <v>0</v>
      </c>
      <c r="AR35">
        <f>SUMIFS(Pre[43],Pre[CATEGORY],Table111523[[#This Row],[CATEGORY]],Pre[GROUPING],"Nov")</f>
        <v>0</v>
      </c>
      <c r="AS35">
        <f>SUMIFS(Pre[44],Pre[CATEGORY],Table111523[[#This Row],[CATEGORY]],Pre[GROUPING],"Nov")</f>
        <v>0</v>
      </c>
      <c r="AT35">
        <f>SUMIFS(Pre[45],Pre[CATEGORY],Table111523[[#This Row],[CATEGORY]],Pre[GROUPING],"Nov")</f>
        <v>0</v>
      </c>
      <c r="AU35">
        <f>SUMIFS(Pre[46],Pre[CATEGORY],Table111523[[#This Row],[CATEGORY]],Pre[GROUPING],"Nov")</f>
        <v>1</v>
      </c>
      <c r="AV35">
        <f>SUM(Table111523[[#This Row],[1]:[46]])</f>
        <v>23</v>
      </c>
    </row>
    <row r="36" spans="1:48" x14ac:dyDescent="0.2">
      <c r="A36" t="s">
        <v>24</v>
      </c>
      <c r="B36">
        <f>SUMIFS(Pre[1],Pre[CATEGORY],Table111523[[#This Row],[CATEGORY]],Pre[GROUPING],"Nov")</f>
        <v>0</v>
      </c>
      <c r="C36">
        <f>SUMIFS(Pre[2],Pre[CATEGORY],Table111523[[#This Row],[CATEGORY]],Pre[GROUPING],"Nov")</f>
        <v>0</v>
      </c>
      <c r="D36">
        <f>SUMIFS(Pre[3],Pre[CATEGORY],Table111523[[#This Row],[CATEGORY]],Pre[GROUPING],"Nov")</f>
        <v>0</v>
      </c>
      <c r="E36">
        <f>SUMIFS(Pre[4],Pre[CATEGORY],Table111523[[#This Row],[CATEGORY]],Pre[GROUPING],"Nov")</f>
        <v>0</v>
      </c>
      <c r="F36">
        <f>SUMIFS(Pre[5],Pre[CATEGORY],Table111523[[#This Row],[CATEGORY]],Pre[GROUPING],"Nov")</f>
        <v>0</v>
      </c>
      <c r="G36">
        <f>SUMIFS(Pre[6],Pre[CATEGORY],Table111523[[#This Row],[CATEGORY]],Pre[GROUPING],"Nov")</f>
        <v>0</v>
      </c>
      <c r="H36">
        <f>SUMIFS(Pre[7],Pre[CATEGORY],Table111523[[#This Row],[CATEGORY]],Pre[GROUPING],"Nov")</f>
        <v>0</v>
      </c>
      <c r="I36">
        <f>SUMIFS(Pre[8],Pre[CATEGORY],Table111523[[#This Row],[CATEGORY]],Pre[GROUPING],"Nov")</f>
        <v>0</v>
      </c>
      <c r="J36">
        <f>SUMIFS(Pre[9],Pre[CATEGORY],Table111523[[#This Row],[CATEGORY]],Pre[GROUPING],"Nov")</f>
        <v>0</v>
      </c>
      <c r="K36">
        <f>SUMIFS(Pre[10],Pre[CATEGORY],Table111523[[#This Row],[CATEGORY]],Pre[GROUPING],"Nov")</f>
        <v>0</v>
      </c>
      <c r="L36">
        <f>SUMIFS(Pre[11],Pre[CATEGORY],Table111523[[#This Row],[CATEGORY]],Pre[GROUPING],"Nov")</f>
        <v>0</v>
      </c>
      <c r="M36">
        <f>SUMIFS(Pre[12],Pre[CATEGORY],Table111523[[#This Row],[CATEGORY]],Pre[GROUPING],"Nov")</f>
        <v>0</v>
      </c>
      <c r="N36">
        <f>SUMIFS(Pre[13],Pre[CATEGORY],Table111523[[#This Row],[CATEGORY]],Pre[GROUPING],"Nov")</f>
        <v>0</v>
      </c>
      <c r="O36">
        <f>SUMIFS(Pre[14],Pre[CATEGORY],Table111523[[#This Row],[CATEGORY]],Pre[GROUPING],"Nov")</f>
        <v>0</v>
      </c>
      <c r="P36">
        <f>SUMIFS(Pre[15],Pre[CATEGORY],Table111523[[#This Row],[CATEGORY]],Pre[GROUPING],"Nov")</f>
        <v>0</v>
      </c>
      <c r="Q36">
        <f>SUMIFS(Pre[16],Pre[CATEGORY],Table111523[[#This Row],[CATEGORY]],Pre[GROUPING],"Nov")</f>
        <v>0</v>
      </c>
      <c r="R36">
        <f>SUMIFS(Pre[17],Pre[CATEGORY],Table111523[[#This Row],[CATEGORY]],Pre[GROUPING],"Nov")</f>
        <v>0</v>
      </c>
      <c r="S36">
        <f>SUMIFS(Pre[18],Pre[CATEGORY],Table111523[[#This Row],[CATEGORY]],Pre[GROUPING],"Nov")</f>
        <v>0</v>
      </c>
      <c r="T36">
        <f>SUMIFS(Pre[19],Pre[CATEGORY],Table111523[[#This Row],[CATEGORY]],Pre[GROUPING],"Nov")</f>
        <v>0</v>
      </c>
      <c r="U36">
        <f>SUMIFS(Pre[20],Pre[CATEGORY],Table111523[[#This Row],[CATEGORY]],Pre[GROUPING],"Nov")</f>
        <v>0</v>
      </c>
      <c r="V36">
        <f>SUMIFS(Pre[21],Pre[CATEGORY],Table111523[[#This Row],[CATEGORY]],Pre[GROUPING],"Nov")</f>
        <v>0</v>
      </c>
      <c r="W36">
        <f>SUMIFS(Pre[22],Pre[CATEGORY],Table111523[[#This Row],[CATEGORY]],Pre[GROUPING],"Nov")</f>
        <v>0</v>
      </c>
      <c r="X36">
        <f>SUMIFS(Pre[23],Pre[CATEGORY],Table111523[[#This Row],[CATEGORY]],Pre[GROUPING],"Nov")</f>
        <v>0</v>
      </c>
      <c r="Y36">
        <f>SUMIFS(Pre[24],Pre[CATEGORY],Table111523[[#This Row],[CATEGORY]],Pre[GROUPING],"Nov")</f>
        <v>0</v>
      </c>
      <c r="Z36">
        <f>SUMIFS(Pre[25],Pre[CATEGORY],Table111523[[#This Row],[CATEGORY]],Pre[GROUPING],"Nov")</f>
        <v>0</v>
      </c>
      <c r="AA36">
        <f>SUMIFS(Pre[26],Pre[CATEGORY],Table111523[[#This Row],[CATEGORY]],Pre[GROUPING],"Nov")</f>
        <v>0</v>
      </c>
      <c r="AB36">
        <f>SUMIFS(Pre[27],Pre[CATEGORY],Table111523[[#This Row],[CATEGORY]],Pre[GROUPING],"Nov")</f>
        <v>0</v>
      </c>
      <c r="AC36">
        <f>SUMIFS(Pre[28],Pre[CATEGORY],Table111523[[#This Row],[CATEGORY]],Pre[GROUPING],"Nov")</f>
        <v>0</v>
      </c>
      <c r="AD36">
        <f>SUMIFS(Pre[29],Pre[CATEGORY],Table111523[[#This Row],[CATEGORY]],Pre[GROUPING],"Nov")</f>
        <v>0</v>
      </c>
      <c r="AE36">
        <f>SUMIFS(Pre[30],Pre[CATEGORY],Table111523[[#This Row],[CATEGORY]],Pre[GROUPING],"Nov")</f>
        <v>0</v>
      </c>
      <c r="AF36">
        <f>SUMIFS(Pre[31],Pre[CATEGORY],Table111523[[#This Row],[CATEGORY]],Pre[GROUPING],"Nov")</f>
        <v>0</v>
      </c>
      <c r="AG36">
        <f>SUMIFS(Pre[32],Pre[CATEGORY],Table111523[[#This Row],[CATEGORY]],Pre[GROUPING],"Nov")</f>
        <v>0</v>
      </c>
      <c r="AH36">
        <f>SUMIFS(Pre[33],Pre[CATEGORY],Table111523[[#This Row],[CATEGORY]],Pre[GROUPING],"Nov")</f>
        <v>0</v>
      </c>
      <c r="AI36">
        <f>SUMIFS(Pre[34],Pre[CATEGORY],Table111523[[#This Row],[CATEGORY]],Pre[GROUPING],"Nov")</f>
        <v>0</v>
      </c>
      <c r="AJ36">
        <f>SUMIFS(Pre[35],Pre[CATEGORY],Table111523[[#This Row],[CATEGORY]],Pre[GROUPING],"Nov")</f>
        <v>0</v>
      </c>
      <c r="AK36">
        <f>SUMIFS(Pre[36],Pre[CATEGORY],Table111523[[#This Row],[CATEGORY]],Pre[GROUPING],"Nov")</f>
        <v>0</v>
      </c>
      <c r="AL36">
        <f>SUMIFS(Pre[37],Pre[CATEGORY],Table111523[[#This Row],[CATEGORY]],Pre[GROUPING],"Nov")</f>
        <v>0</v>
      </c>
      <c r="AM36">
        <f>SUMIFS(Pre[38],Pre[CATEGORY],Table111523[[#This Row],[CATEGORY]],Pre[GROUPING],"Nov")</f>
        <v>0</v>
      </c>
      <c r="AN36">
        <f>SUMIFS(Pre[39],Pre[CATEGORY],Table111523[[#This Row],[CATEGORY]],Pre[GROUPING],"Nov")</f>
        <v>0</v>
      </c>
      <c r="AO36">
        <f>SUMIFS(Pre[40],Pre[CATEGORY],Table111523[[#This Row],[CATEGORY]],Pre[GROUPING],"Nov")</f>
        <v>0</v>
      </c>
      <c r="AP36">
        <f>SUMIFS(Pre[41],Pre[CATEGORY],Table111523[[#This Row],[CATEGORY]],Pre[GROUPING],"Nov")</f>
        <v>0</v>
      </c>
      <c r="AQ36">
        <f>SUMIFS(Pre[42],Pre[CATEGORY],Table111523[[#This Row],[CATEGORY]],Pre[GROUPING],"Nov")</f>
        <v>0</v>
      </c>
      <c r="AR36">
        <f>SUMIFS(Pre[43],Pre[CATEGORY],Table111523[[#This Row],[CATEGORY]],Pre[GROUPING],"Nov")</f>
        <v>0</v>
      </c>
      <c r="AS36">
        <f>SUMIFS(Pre[44],Pre[CATEGORY],Table111523[[#This Row],[CATEGORY]],Pre[GROUPING],"Nov")</f>
        <v>0</v>
      </c>
      <c r="AT36">
        <f>SUMIFS(Pre[45],Pre[CATEGORY],Table111523[[#This Row],[CATEGORY]],Pre[GROUPING],"Nov")</f>
        <v>0</v>
      </c>
      <c r="AU36">
        <f>SUMIFS(Pre[46],Pre[CATEGORY],Table111523[[#This Row],[CATEGORY]],Pre[GROUPING],"Nov")</f>
        <v>0</v>
      </c>
      <c r="AV36">
        <f>SUM(Table111523[[#This Row],[1]:[46]])</f>
        <v>0</v>
      </c>
    </row>
    <row r="37" spans="1:48" x14ac:dyDescent="0.2">
      <c r="A37" t="s">
        <v>26</v>
      </c>
      <c r="B37">
        <f>SUMIFS(Pre[1],Pre[CATEGORY],Table111523[[#This Row],[CATEGORY]],Pre[GROUPING],"Nov")</f>
        <v>3</v>
      </c>
      <c r="C37">
        <f>SUMIFS(Pre[2],Pre[CATEGORY],Table111523[[#This Row],[CATEGORY]],Pre[GROUPING],"Nov")</f>
        <v>3</v>
      </c>
      <c r="D37">
        <f>SUMIFS(Pre[3],Pre[CATEGORY],Table111523[[#This Row],[CATEGORY]],Pre[GROUPING],"Nov")</f>
        <v>4</v>
      </c>
      <c r="E37">
        <f>SUMIFS(Pre[4],Pre[CATEGORY],Table111523[[#This Row],[CATEGORY]],Pre[GROUPING],"Nov")</f>
        <v>3</v>
      </c>
      <c r="F37">
        <f>SUMIFS(Pre[5],Pre[CATEGORY],Table111523[[#This Row],[CATEGORY]],Pre[GROUPING],"Nov")</f>
        <v>2</v>
      </c>
      <c r="G37">
        <f>SUMIFS(Pre[6],Pre[CATEGORY],Table111523[[#This Row],[CATEGORY]],Pre[GROUPING],"Nov")</f>
        <v>1</v>
      </c>
      <c r="H37">
        <f>SUMIFS(Pre[7],Pre[CATEGORY],Table111523[[#This Row],[CATEGORY]],Pre[GROUPING],"Nov")</f>
        <v>9</v>
      </c>
      <c r="I37">
        <f>SUMIFS(Pre[8],Pre[CATEGORY],Table111523[[#This Row],[CATEGORY]],Pre[GROUPING],"Nov")</f>
        <v>2</v>
      </c>
      <c r="J37">
        <f>SUMIFS(Pre[9],Pre[CATEGORY],Table111523[[#This Row],[CATEGORY]],Pre[GROUPING],"Nov")</f>
        <v>4</v>
      </c>
      <c r="K37">
        <f>SUMIFS(Pre[10],Pre[CATEGORY],Table111523[[#This Row],[CATEGORY]],Pre[GROUPING],"Nov")</f>
        <v>1</v>
      </c>
      <c r="L37">
        <f>SUMIFS(Pre[11],Pre[CATEGORY],Table111523[[#This Row],[CATEGORY]],Pre[GROUPING],"Nov")</f>
        <v>6</v>
      </c>
      <c r="M37">
        <f>SUMIFS(Pre[12],Pre[CATEGORY],Table111523[[#This Row],[CATEGORY]],Pre[GROUPING],"Nov")</f>
        <v>2</v>
      </c>
      <c r="N37">
        <f>SUMIFS(Pre[13],Pre[CATEGORY],Table111523[[#This Row],[CATEGORY]],Pre[GROUPING],"Nov")</f>
        <v>4</v>
      </c>
      <c r="O37">
        <f>SUMIFS(Pre[14],Pre[CATEGORY],Table111523[[#This Row],[CATEGORY]],Pre[GROUPING],"Nov")</f>
        <v>2</v>
      </c>
      <c r="P37">
        <f>SUMIFS(Pre[15],Pre[CATEGORY],Table111523[[#This Row],[CATEGORY]],Pre[GROUPING],"Nov")</f>
        <v>3</v>
      </c>
      <c r="Q37">
        <f>SUMIFS(Pre[16],Pre[CATEGORY],Table111523[[#This Row],[CATEGORY]],Pre[GROUPING],"Nov")</f>
        <v>1</v>
      </c>
      <c r="R37">
        <f>SUMIFS(Pre[17],Pre[CATEGORY],Table111523[[#This Row],[CATEGORY]],Pre[GROUPING],"Nov")</f>
        <v>3</v>
      </c>
      <c r="S37">
        <f>SUMIFS(Pre[18],Pre[CATEGORY],Table111523[[#This Row],[CATEGORY]],Pre[GROUPING],"Nov")</f>
        <v>4</v>
      </c>
      <c r="T37">
        <f>SUMIFS(Pre[19],Pre[CATEGORY],Table111523[[#This Row],[CATEGORY]],Pre[GROUPING],"Nov")</f>
        <v>3</v>
      </c>
      <c r="U37">
        <f>SUMIFS(Pre[20],Pre[CATEGORY],Table111523[[#This Row],[CATEGORY]],Pre[GROUPING],"Nov")</f>
        <v>5</v>
      </c>
      <c r="V37">
        <f>SUMIFS(Pre[21],Pre[CATEGORY],Table111523[[#This Row],[CATEGORY]],Pre[GROUPING],"Nov")</f>
        <v>4</v>
      </c>
      <c r="W37">
        <f>SUMIFS(Pre[22],Pre[CATEGORY],Table111523[[#This Row],[CATEGORY]],Pre[GROUPING],"Nov")</f>
        <v>4</v>
      </c>
      <c r="X37">
        <f>SUMIFS(Pre[23],Pre[CATEGORY],Table111523[[#This Row],[CATEGORY]],Pre[GROUPING],"Nov")</f>
        <v>3</v>
      </c>
      <c r="Y37">
        <f>SUMIFS(Pre[24],Pre[CATEGORY],Table111523[[#This Row],[CATEGORY]],Pre[GROUPING],"Nov")</f>
        <v>4</v>
      </c>
      <c r="Z37">
        <f>SUMIFS(Pre[25],Pre[CATEGORY],Table111523[[#This Row],[CATEGORY]],Pre[GROUPING],"Nov")</f>
        <v>7</v>
      </c>
      <c r="AA37">
        <f>SUMIFS(Pre[26],Pre[CATEGORY],Table111523[[#This Row],[CATEGORY]],Pre[GROUPING],"Nov")</f>
        <v>1</v>
      </c>
      <c r="AB37">
        <f>SUMIFS(Pre[27],Pre[CATEGORY],Table111523[[#This Row],[CATEGORY]],Pre[GROUPING],"Nov")</f>
        <v>5</v>
      </c>
      <c r="AC37">
        <f>SUMIFS(Pre[28],Pre[CATEGORY],Table111523[[#This Row],[CATEGORY]],Pre[GROUPING],"Nov")</f>
        <v>2</v>
      </c>
      <c r="AD37">
        <f>SUMIFS(Pre[29],Pre[CATEGORY],Table111523[[#This Row],[CATEGORY]],Pre[GROUPING],"Nov")</f>
        <v>2</v>
      </c>
      <c r="AE37">
        <f>SUMIFS(Pre[30],Pre[CATEGORY],Table111523[[#This Row],[CATEGORY]],Pre[GROUPING],"Nov")</f>
        <v>2</v>
      </c>
      <c r="AF37">
        <f>SUMIFS(Pre[31],Pre[CATEGORY],Table111523[[#This Row],[CATEGORY]],Pre[GROUPING],"Nov")</f>
        <v>4</v>
      </c>
      <c r="AG37">
        <f>SUMIFS(Pre[32],Pre[CATEGORY],Table111523[[#This Row],[CATEGORY]],Pre[GROUPING],"Nov")</f>
        <v>6</v>
      </c>
      <c r="AH37">
        <f>SUMIFS(Pre[33],Pre[CATEGORY],Table111523[[#This Row],[CATEGORY]],Pre[GROUPING],"Nov")</f>
        <v>5</v>
      </c>
      <c r="AI37">
        <f>SUMIFS(Pre[34],Pre[CATEGORY],Table111523[[#This Row],[CATEGORY]],Pre[GROUPING],"Nov")</f>
        <v>5</v>
      </c>
      <c r="AJ37">
        <f>SUMIFS(Pre[35],Pre[CATEGORY],Table111523[[#This Row],[CATEGORY]],Pre[GROUPING],"Nov")</f>
        <v>4</v>
      </c>
      <c r="AK37">
        <f>SUMIFS(Pre[36],Pre[CATEGORY],Table111523[[#This Row],[CATEGORY]],Pre[GROUPING],"Nov")</f>
        <v>5</v>
      </c>
      <c r="AL37">
        <f>SUMIFS(Pre[37],Pre[CATEGORY],Table111523[[#This Row],[CATEGORY]],Pre[GROUPING],"Nov")</f>
        <v>3</v>
      </c>
      <c r="AM37">
        <f>SUMIFS(Pre[38],Pre[CATEGORY],Table111523[[#This Row],[CATEGORY]],Pre[GROUPING],"Nov")</f>
        <v>5</v>
      </c>
      <c r="AN37">
        <f>SUMIFS(Pre[39],Pre[CATEGORY],Table111523[[#This Row],[CATEGORY]],Pre[GROUPING],"Nov")</f>
        <v>3</v>
      </c>
      <c r="AO37">
        <f>SUMIFS(Pre[40],Pre[CATEGORY],Table111523[[#This Row],[CATEGORY]],Pre[GROUPING],"Nov")</f>
        <v>3</v>
      </c>
      <c r="AP37">
        <f>SUMIFS(Pre[41],Pre[CATEGORY],Table111523[[#This Row],[CATEGORY]],Pre[GROUPING],"Nov")</f>
        <v>4</v>
      </c>
      <c r="AQ37">
        <f>SUMIFS(Pre[42],Pre[CATEGORY],Table111523[[#This Row],[CATEGORY]],Pre[GROUPING],"Nov")</f>
        <v>0</v>
      </c>
      <c r="AR37">
        <f>SUMIFS(Pre[43],Pre[CATEGORY],Table111523[[#This Row],[CATEGORY]],Pre[GROUPING],"Nov")</f>
        <v>1</v>
      </c>
      <c r="AS37">
        <f>SUMIFS(Pre[44],Pre[CATEGORY],Table111523[[#This Row],[CATEGORY]],Pre[GROUPING],"Nov")</f>
        <v>2</v>
      </c>
      <c r="AT37">
        <f>SUMIFS(Pre[45],Pre[CATEGORY],Table111523[[#This Row],[CATEGORY]],Pre[GROUPING],"Nov")</f>
        <v>5</v>
      </c>
      <c r="AU37">
        <f>SUMIFS(Pre[46],Pre[CATEGORY],Table111523[[#This Row],[CATEGORY]],Pre[GROUPING],"Nov")</f>
        <v>0</v>
      </c>
      <c r="AV37">
        <f>SUM(Table111523[[#This Row],[1]:[46]])</f>
        <v>154</v>
      </c>
    </row>
    <row r="38" spans="1:48" x14ac:dyDescent="0.2">
      <c r="A38" t="s">
        <v>32</v>
      </c>
      <c r="B38">
        <f>SUMIFS(Pre[1],Pre[CATEGORY],Table111523[[#This Row],[CATEGORY]],Pre[GROUPING],"Nov")</f>
        <v>3</v>
      </c>
      <c r="C38">
        <f>SUMIFS(Pre[2],Pre[CATEGORY],Table111523[[#This Row],[CATEGORY]],Pre[GROUPING],"Nov")</f>
        <v>1</v>
      </c>
      <c r="D38">
        <f>SUMIFS(Pre[3],Pre[CATEGORY],Table111523[[#This Row],[CATEGORY]],Pre[GROUPING],"Nov")</f>
        <v>0</v>
      </c>
      <c r="E38">
        <f>SUMIFS(Pre[4],Pre[CATEGORY],Table111523[[#This Row],[CATEGORY]],Pre[GROUPING],"Nov")</f>
        <v>1</v>
      </c>
      <c r="F38">
        <f>SUMIFS(Pre[5],Pre[CATEGORY],Table111523[[#This Row],[CATEGORY]],Pre[GROUPING],"Nov")</f>
        <v>1</v>
      </c>
      <c r="G38">
        <f>SUMIFS(Pre[6],Pre[CATEGORY],Table111523[[#This Row],[CATEGORY]],Pre[GROUPING],"Nov")</f>
        <v>0</v>
      </c>
      <c r="H38">
        <f>SUMIFS(Pre[7],Pre[CATEGORY],Table111523[[#This Row],[CATEGORY]],Pre[GROUPING],"Nov")</f>
        <v>0</v>
      </c>
      <c r="I38">
        <f>SUMIFS(Pre[8],Pre[CATEGORY],Table111523[[#This Row],[CATEGORY]],Pre[GROUPING],"Nov")</f>
        <v>1</v>
      </c>
      <c r="J38">
        <f>SUMIFS(Pre[9],Pre[CATEGORY],Table111523[[#This Row],[CATEGORY]],Pre[GROUPING],"Nov")</f>
        <v>0</v>
      </c>
      <c r="K38">
        <f>SUMIFS(Pre[10],Pre[CATEGORY],Table111523[[#This Row],[CATEGORY]],Pre[GROUPING],"Nov")</f>
        <v>3</v>
      </c>
      <c r="L38">
        <f>SUMIFS(Pre[11],Pre[CATEGORY],Table111523[[#This Row],[CATEGORY]],Pre[GROUPING],"Nov")</f>
        <v>0</v>
      </c>
      <c r="M38">
        <f>SUMIFS(Pre[12],Pre[CATEGORY],Table111523[[#This Row],[CATEGORY]],Pre[GROUPING],"Nov")</f>
        <v>2</v>
      </c>
      <c r="N38">
        <f>SUMIFS(Pre[13],Pre[CATEGORY],Table111523[[#This Row],[CATEGORY]],Pre[GROUPING],"Nov")</f>
        <v>1</v>
      </c>
      <c r="O38">
        <f>SUMIFS(Pre[14],Pre[CATEGORY],Table111523[[#This Row],[CATEGORY]],Pre[GROUPING],"Nov")</f>
        <v>1</v>
      </c>
      <c r="P38">
        <f>SUMIFS(Pre[15],Pre[CATEGORY],Table111523[[#This Row],[CATEGORY]],Pre[GROUPING],"Nov")</f>
        <v>1</v>
      </c>
      <c r="Q38">
        <f>SUMIFS(Pre[16],Pre[CATEGORY],Table111523[[#This Row],[CATEGORY]],Pre[GROUPING],"Nov")</f>
        <v>1</v>
      </c>
      <c r="R38">
        <f>SUMIFS(Pre[17],Pre[CATEGORY],Table111523[[#This Row],[CATEGORY]],Pre[GROUPING],"Nov")</f>
        <v>0</v>
      </c>
      <c r="S38">
        <f>SUMIFS(Pre[18],Pre[CATEGORY],Table111523[[#This Row],[CATEGORY]],Pre[GROUPING],"Nov")</f>
        <v>0</v>
      </c>
      <c r="T38">
        <f>SUMIFS(Pre[19],Pre[CATEGORY],Table111523[[#This Row],[CATEGORY]],Pre[GROUPING],"Nov")</f>
        <v>0</v>
      </c>
      <c r="U38">
        <f>SUMIFS(Pre[20],Pre[CATEGORY],Table111523[[#This Row],[CATEGORY]],Pre[GROUPING],"Nov")</f>
        <v>1</v>
      </c>
      <c r="V38">
        <f>SUMIFS(Pre[21],Pre[CATEGORY],Table111523[[#This Row],[CATEGORY]],Pre[GROUPING],"Nov")</f>
        <v>1</v>
      </c>
      <c r="W38">
        <f>SUMIFS(Pre[22],Pre[CATEGORY],Table111523[[#This Row],[CATEGORY]],Pre[GROUPING],"Nov")</f>
        <v>1</v>
      </c>
      <c r="X38">
        <f>SUMIFS(Pre[23],Pre[CATEGORY],Table111523[[#This Row],[CATEGORY]],Pre[GROUPING],"Nov")</f>
        <v>0</v>
      </c>
      <c r="Y38">
        <f>SUMIFS(Pre[24],Pre[CATEGORY],Table111523[[#This Row],[CATEGORY]],Pre[GROUPING],"Nov")</f>
        <v>0</v>
      </c>
      <c r="Z38">
        <f>SUMIFS(Pre[25],Pre[CATEGORY],Table111523[[#This Row],[CATEGORY]],Pre[GROUPING],"Nov")</f>
        <v>2</v>
      </c>
      <c r="AA38">
        <f>SUMIFS(Pre[26],Pre[CATEGORY],Table111523[[#This Row],[CATEGORY]],Pre[GROUPING],"Nov")</f>
        <v>2</v>
      </c>
      <c r="AB38">
        <f>SUMIFS(Pre[27],Pre[CATEGORY],Table111523[[#This Row],[CATEGORY]],Pre[GROUPING],"Nov")</f>
        <v>0</v>
      </c>
      <c r="AC38">
        <f>SUMIFS(Pre[28],Pre[CATEGORY],Table111523[[#This Row],[CATEGORY]],Pre[GROUPING],"Nov")</f>
        <v>1</v>
      </c>
      <c r="AD38">
        <f>SUMIFS(Pre[29],Pre[CATEGORY],Table111523[[#This Row],[CATEGORY]],Pre[GROUPING],"Nov")</f>
        <v>1</v>
      </c>
      <c r="AE38">
        <f>SUMIFS(Pre[30],Pre[CATEGORY],Table111523[[#This Row],[CATEGORY]],Pre[GROUPING],"Nov")</f>
        <v>1</v>
      </c>
      <c r="AF38">
        <f>SUMIFS(Pre[31],Pre[CATEGORY],Table111523[[#This Row],[CATEGORY]],Pre[GROUPING],"Nov")</f>
        <v>0</v>
      </c>
      <c r="AG38">
        <f>SUMIFS(Pre[32],Pre[CATEGORY],Table111523[[#This Row],[CATEGORY]],Pre[GROUPING],"Nov")</f>
        <v>0</v>
      </c>
      <c r="AH38">
        <f>SUMIFS(Pre[33],Pre[CATEGORY],Table111523[[#This Row],[CATEGORY]],Pre[GROUPING],"Nov")</f>
        <v>1</v>
      </c>
      <c r="AI38">
        <f>SUMIFS(Pre[34],Pre[CATEGORY],Table111523[[#This Row],[CATEGORY]],Pre[GROUPING],"Nov")</f>
        <v>1</v>
      </c>
      <c r="AJ38">
        <f>SUMIFS(Pre[35],Pre[CATEGORY],Table111523[[#This Row],[CATEGORY]],Pre[GROUPING],"Nov")</f>
        <v>0</v>
      </c>
      <c r="AK38">
        <f>SUMIFS(Pre[36],Pre[CATEGORY],Table111523[[#This Row],[CATEGORY]],Pre[GROUPING],"Nov")</f>
        <v>0</v>
      </c>
      <c r="AL38">
        <f>SUMIFS(Pre[37],Pre[CATEGORY],Table111523[[#This Row],[CATEGORY]],Pre[GROUPING],"Nov")</f>
        <v>1</v>
      </c>
      <c r="AM38">
        <f>SUMIFS(Pre[38],Pre[CATEGORY],Table111523[[#This Row],[CATEGORY]],Pre[GROUPING],"Nov")</f>
        <v>3</v>
      </c>
      <c r="AN38">
        <f>SUMIFS(Pre[39],Pre[CATEGORY],Table111523[[#This Row],[CATEGORY]],Pre[GROUPING],"Nov")</f>
        <v>0</v>
      </c>
      <c r="AO38">
        <f>SUMIFS(Pre[40],Pre[CATEGORY],Table111523[[#This Row],[CATEGORY]],Pre[GROUPING],"Nov")</f>
        <v>0</v>
      </c>
      <c r="AP38">
        <f>SUMIFS(Pre[41],Pre[CATEGORY],Table111523[[#This Row],[CATEGORY]],Pre[GROUPING],"Nov")</f>
        <v>1</v>
      </c>
      <c r="AQ38">
        <f>SUMIFS(Pre[42],Pre[CATEGORY],Table111523[[#This Row],[CATEGORY]],Pre[GROUPING],"Nov")</f>
        <v>0</v>
      </c>
      <c r="AR38">
        <f>SUMIFS(Pre[43],Pre[CATEGORY],Table111523[[#This Row],[CATEGORY]],Pre[GROUPING],"Nov")</f>
        <v>2</v>
      </c>
      <c r="AS38">
        <f>SUMIFS(Pre[44],Pre[CATEGORY],Table111523[[#This Row],[CATEGORY]],Pre[GROUPING],"Nov")</f>
        <v>0</v>
      </c>
      <c r="AT38">
        <f>SUMIFS(Pre[45],Pre[CATEGORY],Table111523[[#This Row],[CATEGORY]],Pre[GROUPING],"Nov")</f>
        <v>0</v>
      </c>
      <c r="AU38">
        <f>SUMIFS(Pre[46],Pre[CATEGORY],Table111523[[#This Row],[CATEGORY]],Pre[GROUPING],"Nov")</f>
        <v>1</v>
      </c>
      <c r="AV38">
        <f>SUM(Table111523[[#This Row],[1]:[46]])</f>
        <v>36</v>
      </c>
    </row>
    <row r="39" spans="1:48" x14ac:dyDescent="0.2">
      <c r="A39" t="s">
        <v>37</v>
      </c>
      <c r="B39">
        <f>SUMIFS(Pre[1],Pre[CATEGORY],Table111523[[#This Row],[CATEGORY]],Pre[GROUPING],"Nov")</f>
        <v>1</v>
      </c>
      <c r="C39">
        <f>SUMIFS(Pre[2],Pre[CATEGORY],Table111523[[#This Row],[CATEGORY]],Pre[GROUPING],"Nov")</f>
        <v>0</v>
      </c>
      <c r="D39">
        <f>SUMIFS(Pre[3],Pre[CATEGORY],Table111523[[#This Row],[CATEGORY]],Pre[GROUPING],"Nov")</f>
        <v>0</v>
      </c>
      <c r="E39">
        <f>SUMIFS(Pre[4],Pre[CATEGORY],Table111523[[#This Row],[CATEGORY]],Pre[GROUPING],"Nov")</f>
        <v>1</v>
      </c>
      <c r="F39">
        <f>SUMIFS(Pre[5],Pre[CATEGORY],Table111523[[#This Row],[CATEGORY]],Pre[GROUPING],"Nov")</f>
        <v>4</v>
      </c>
      <c r="G39">
        <f>SUMIFS(Pre[6],Pre[CATEGORY],Table111523[[#This Row],[CATEGORY]],Pre[GROUPING],"Nov")</f>
        <v>5</v>
      </c>
      <c r="H39">
        <f>SUMIFS(Pre[7],Pre[CATEGORY],Table111523[[#This Row],[CATEGORY]],Pre[GROUPING],"Nov")</f>
        <v>1</v>
      </c>
      <c r="I39">
        <f>SUMIFS(Pre[8],Pre[CATEGORY],Table111523[[#This Row],[CATEGORY]],Pre[GROUPING],"Nov")</f>
        <v>1</v>
      </c>
      <c r="J39">
        <f>SUMIFS(Pre[9],Pre[CATEGORY],Table111523[[#This Row],[CATEGORY]],Pre[GROUPING],"Nov")</f>
        <v>2</v>
      </c>
      <c r="K39">
        <f>SUMIFS(Pre[10],Pre[CATEGORY],Table111523[[#This Row],[CATEGORY]],Pre[GROUPING],"Nov")</f>
        <v>1</v>
      </c>
      <c r="L39">
        <f>SUMIFS(Pre[11],Pre[CATEGORY],Table111523[[#This Row],[CATEGORY]],Pre[GROUPING],"Nov")</f>
        <v>3</v>
      </c>
      <c r="M39">
        <f>SUMIFS(Pre[12],Pre[CATEGORY],Table111523[[#This Row],[CATEGORY]],Pre[GROUPING],"Nov")</f>
        <v>5</v>
      </c>
      <c r="N39">
        <f>SUMIFS(Pre[13],Pre[CATEGORY],Table111523[[#This Row],[CATEGORY]],Pre[GROUPING],"Nov")</f>
        <v>2</v>
      </c>
      <c r="O39">
        <f>SUMIFS(Pre[14],Pre[CATEGORY],Table111523[[#This Row],[CATEGORY]],Pre[GROUPING],"Nov")</f>
        <v>3</v>
      </c>
      <c r="P39">
        <f>SUMIFS(Pre[15],Pre[CATEGORY],Table111523[[#This Row],[CATEGORY]],Pre[GROUPING],"Nov")</f>
        <v>0</v>
      </c>
      <c r="Q39">
        <f>SUMIFS(Pre[16],Pre[CATEGORY],Table111523[[#This Row],[CATEGORY]],Pre[GROUPING],"Nov")</f>
        <v>5</v>
      </c>
      <c r="R39">
        <f>SUMIFS(Pre[17],Pre[CATEGORY],Table111523[[#This Row],[CATEGORY]],Pre[GROUPING],"Nov")</f>
        <v>2</v>
      </c>
      <c r="S39">
        <f>SUMIFS(Pre[18],Pre[CATEGORY],Table111523[[#This Row],[CATEGORY]],Pre[GROUPING],"Nov")</f>
        <v>2</v>
      </c>
      <c r="T39">
        <f>SUMIFS(Pre[19],Pre[CATEGORY],Table111523[[#This Row],[CATEGORY]],Pre[GROUPING],"Nov")</f>
        <v>0</v>
      </c>
      <c r="U39">
        <f>SUMIFS(Pre[20],Pre[CATEGORY],Table111523[[#This Row],[CATEGORY]],Pre[GROUPING],"Nov")</f>
        <v>1</v>
      </c>
      <c r="V39">
        <f>SUMIFS(Pre[21],Pre[CATEGORY],Table111523[[#This Row],[CATEGORY]],Pre[GROUPING],"Nov")</f>
        <v>2</v>
      </c>
      <c r="W39">
        <f>SUMIFS(Pre[22],Pre[CATEGORY],Table111523[[#This Row],[CATEGORY]],Pre[GROUPING],"Nov")</f>
        <v>4</v>
      </c>
      <c r="X39">
        <f>SUMIFS(Pre[23],Pre[CATEGORY],Table111523[[#This Row],[CATEGORY]],Pre[GROUPING],"Nov")</f>
        <v>3</v>
      </c>
      <c r="Y39">
        <f>SUMIFS(Pre[24],Pre[CATEGORY],Table111523[[#This Row],[CATEGORY]],Pre[GROUPING],"Nov")</f>
        <v>2</v>
      </c>
      <c r="Z39">
        <f>SUMIFS(Pre[25],Pre[CATEGORY],Table111523[[#This Row],[CATEGORY]],Pre[GROUPING],"Nov")</f>
        <v>2</v>
      </c>
      <c r="AA39">
        <f>SUMIFS(Pre[26],Pre[CATEGORY],Table111523[[#This Row],[CATEGORY]],Pre[GROUPING],"Nov")</f>
        <v>1</v>
      </c>
      <c r="AB39">
        <f>SUMIFS(Pre[27],Pre[CATEGORY],Table111523[[#This Row],[CATEGORY]],Pre[GROUPING],"Nov")</f>
        <v>3</v>
      </c>
      <c r="AC39">
        <f>SUMIFS(Pre[28],Pre[CATEGORY],Table111523[[#This Row],[CATEGORY]],Pre[GROUPING],"Nov")</f>
        <v>0</v>
      </c>
      <c r="AD39">
        <f>SUMIFS(Pre[29],Pre[CATEGORY],Table111523[[#This Row],[CATEGORY]],Pre[GROUPING],"Nov")</f>
        <v>1</v>
      </c>
      <c r="AE39">
        <f>SUMIFS(Pre[30],Pre[CATEGORY],Table111523[[#This Row],[CATEGORY]],Pre[GROUPING],"Nov")</f>
        <v>1</v>
      </c>
      <c r="AF39">
        <f>SUMIFS(Pre[31],Pre[CATEGORY],Table111523[[#This Row],[CATEGORY]],Pre[GROUPING],"Nov")</f>
        <v>3</v>
      </c>
      <c r="AG39">
        <f>SUMIFS(Pre[32],Pre[CATEGORY],Table111523[[#This Row],[CATEGORY]],Pre[GROUPING],"Nov")</f>
        <v>5</v>
      </c>
      <c r="AH39">
        <f>SUMIFS(Pre[33],Pre[CATEGORY],Table111523[[#This Row],[CATEGORY]],Pre[GROUPING],"Nov")</f>
        <v>2</v>
      </c>
      <c r="AI39">
        <f>SUMIFS(Pre[34],Pre[CATEGORY],Table111523[[#This Row],[CATEGORY]],Pre[GROUPING],"Nov")</f>
        <v>3</v>
      </c>
      <c r="AJ39">
        <f>SUMIFS(Pre[35],Pre[CATEGORY],Table111523[[#This Row],[CATEGORY]],Pre[GROUPING],"Nov")</f>
        <v>1</v>
      </c>
      <c r="AK39">
        <f>SUMIFS(Pre[36],Pre[CATEGORY],Table111523[[#This Row],[CATEGORY]],Pre[GROUPING],"Nov")</f>
        <v>0</v>
      </c>
      <c r="AL39">
        <f>SUMIFS(Pre[37],Pre[CATEGORY],Table111523[[#This Row],[CATEGORY]],Pre[GROUPING],"Nov")</f>
        <v>1</v>
      </c>
      <c r="AM39">
        <f>SUMIFS(Pre[38],Pre[CATEGORY],Table111523[[#This Row],[CATEGORY]],Pre[GROUPING],"Nov")</f>
        <v>2</v>
      </c>
      <c r="AN39">
        <f>SUMIFS(Pre[39],Pre[CATEGORY],Table111523[[#This Row],[CATEGORY]],Pre[GROUPING],"Nov")</f>
        <v>1</v>
      </c>
      <c r="AO39">
        <f>SUMIFS(Pre[40],Pre[CATEGORY],Table111523[[#This Row],[CATEGORY]],Pre[GROUPING],"Nov")</f>
        <v>2</v>
      </c>
      <c r="AP39">
        <f>SUMIFS(Pre[41],Pre[CATEGORY],Table111523[[#This Row],[CATEGORY]],Pre[GROUPING],"Nov")</f>
        <v>2</v>
      </c>
      <c r="AQ39">
        <f>SUMIFS(Pre[42],Pre[CATEGORY],Table111523[[#This Row],[CATEGORY]],Pre[GROUPING],"Nov")</f>
        <v>1</v>
      </c>
      <c r="AR39">
        <f>SUMIFS(Pre[43],Pre[CATEGORY],Table111523[[#This Row],[CATEGORY]],Pre[GROUPING],"Nov")</f>
        <v>1</v>
      </c>
      <c r="AS39">
        <f>SUMIFS(Pre[44],Pre[CATEGORY],Table111523[[#This Row],[CATEGORY]],Pre[GROUPING],"Nov")</f>
        <v>3</v>
      </c>
      <c r="AT39">
        <f>SUMIFS(Pre[45],Pre[CATEGORY],Table111523[[#This Row],[CATEGORY]],Pre[GROUPING],"Nov")</f>
        <v>1</v>
      </c>
      <c r="AU39">
        <f>SUMIFS(Pre[46],Pre[CATEGORY],Table111523[[#This Row],[CATEGORY]],Pre[GROUPING],"Nov")</f>
        <v>2</v>
      </c>
      <c r="AV39">
        <f>SUM(Table111523[[#This Row],[1]:[46]])</f>
        <v>88</v>
      </c>
    </row>
    <row r="40" spans="1:48" x14ac:dyDescent="0.2">
      <c r="A40" t="s">
        <v>40</v>
      </c>
      <c r="B40">
        <f>SUMIFS(Pre[1],Pre[CATEGORY],Table111523[[#This Row],[CATEGORY]],Pre[GROUPING],"Nov")</f>
        <v>1</v>
      </c>
      <c r="C40">
        <f>SUMIFS(Pre[2],Pre[CATEGORY],Table111523[[#This Row],[CATEGORY]],Pre[GROUPING],"Nov")</f>
        <v>0</v>
      </c>
      <c r="D40">
        <f>SUMIFS(Pre[3],Pre[CATEGORY],Table111523[[#This Row],[CATEGORY]],Pre[GROUPING],"Nov")</f>
        <v>1</v>
      </c>
      <c r="E40">
        <f>SUMIFS(Pre[4],Pre[CATEGORY],Table111523[[#This Row],[CATEGORY]],Pre[GROUPING],"Nov")</f>
        <v>1</v>
      </c>
      <c r="F40">
        <f>SUMIFS(Pre[5],Pre[CATEGORY],Table111523[[#This Row],[CATEGORY]],Pre[GROUPING],"Nov")</f>
        <v>0</v>
      </c>
      <c r="G40">
        <f>SUMIFS(Pre[6],Pre[CATEGORY],Table111523[[#This Row],[CATEGORY]],Pre[GROUPING],"Nov")</f>
        <v>2</v>
      </c>
      <c r="H40">
        <f>SUMIFS(Pre[7],Pre[CATEGORY],Table111523[[#This Row],[CATEGORY]],Pre[GROUPING],"Nov")</f>
        <v>2</v>
      </c>
      <c r="I40">
        <f>SUMIFS(Pre[8],Pre[CATEGORY],Table111523[[#This Row],[CATEGORY]],Pre[GROUPING],"Nov")</f>
        <v>0</v>
      </c>
      <c r="J40">
        <f>SUMIFS(Pre[9],Pre[CATEGORY],Table111523[[#This Row],[CATEGORY]],Pre[GROUPING],"Nov")</f>
        <v>2</v>
      </c>
      <c r="K40">
        <f>SUMIFS(Pre[10],Pre[CATEGORY],Table111523[[#This Row],[CATEGORY]],Pre[GROUPING],"Nov")</f>
        <v>0</v>
      </c>
      <c r="L40">
        <f>SUMIFS(Pre[11],Pre[CATEGORY],Table111523[[#This Row],[CATEGORY]],Pre[GROUPING],"Nov")</f>
        <v>1</v>
      </c>
      <c r="M40">
        <f>SUMIFS(Pre[12],Pre[CATEGORY],Table111523[[#This Row],[CATEGORY]],Pre[GROUPING],"Nov")</f>
        <v>0</v>
      </c>
      <c r="N40">
        <f>SUMIFS(Pre[13],Pre[CATEGORY],Table111523[[#This Row],[CATEGORY]],Pre[GROUPING],"Nov")</f>
        <v>1</v>
      </c>
      <c r="O40">
        <f>SUMIFS(Pre[14],Pre[CATEGORY],Table111523[[#This Row],[CATEGORY]],Pre[GROUPING],"Nov")</f>
        <v>2</v>
      </c>
      <c r="P40">
        <f>SUMIFS(Pre[15],Pre[CATEGORY],Table111523[[#This Row],[CATEGORY]],Pre[GROUPING],"Nov")</f>
        <v>1</v>
      </c>
      <c r="Q40">
        <f>SUMIFS(Pre[16],Pre[CATEGORY],Table111523[[#This Row],[CATEGORY]],Pre[GROUPING],"Nov")</f>
        <v>0</v>
      </c>
      <c r="R40">
        <f>SUMIFS(Pre[17],Pre[CATEGORY],Table111523[[#This Row],[CATEGORY]],Pre[GROUPING],"Nov")</f>
        <v>2</v>
      </c>
      <c r="S40">
        <f>SUMIFS(Pre[18],Pre[CATEGORY],Table111523[[#This Row],[CATEGORY]],Pre[GROUPING],"Nov")</f>
        <v>1</v>
      </c>
      <c r="T40">
        <f>SUMIFS(Pre[19],Pre[CATEGORY],Table111523[[#This Row],[CATEGORY]],Pre[GROUPING],"Nov")</f>
        <v>0</v>
      </c>
      <c r="U40">
        <f>SUMIFS(Pre[20],Pre[CATEGORY],Table111523[[#This Row],[CATEGORY]],Pre[GROUPING],"Nov")</f>
        <v>0</v>
      </c>
      <c r="V40">
        <f>SUMIFS(Pre[21],Pre[CATEGORY],Table111523[[#This Row],[CATEGORY]],Pre[GROUPING],"Nov")</f>
        <v>0</v>
      </c>
      <c r="W40">
        <f>SUMIFS(Pre[22],Pre[CATEGORY],Table111523[[#This Row],[CATEGORY]],Pre[GROUPING],"Nov")</f>
        <v>0</v>
      </c>
      <c r="X40">
        <f>SUMIFS(Pre[23],Pre[CATEGORY],Table111523[[#This Row],[CATEGORY]],Pre[GROUPING],"Nov")</f>
        <v>1</v>
      </c>
      <c r="Y40">
        <f>SUMIFS(Pre[24],Pre[CATEGORY],Table111523[[#This Row],[CATEGORY]],Pre[GROUPING],"Nov")</f>
        <v>2</v>
      </c>
      <c r="Z40">
        <f>SUMIFS(Pre[25],Pre[CATEGORY],Table111523[[#This Row],[CATEGORY]],Pre[GROUPING],"Nov")</f>
        <v>0</v>
      </c>
      <c r="AA40">
        <f>SUMIFS(Pre[26],Pre[CATEGORY],Table111523[[#This Row],[CATEGORY]],Pre[GROUPING],"Nov")</f>
        <v>0</v>
      </c>
      <c r="AB40">
        <f>SUMIFS(Pre[27],Pre[CATEGORY],Table111523[[#This Row],[CATEGORY]],Pre[GROUPING],"Nov")</f>
        <v>1</v>
      </c>
      <c r="AC40">
        <f>SUMIFS(Pre[28],Pre[CATEGORY],Table111523[[#This Row],[CATEGORY]],Pre[GROUPING],"Nov")</f>
        <v>3</v>
      </c>
      <c r="AD40">
        <f>SUMIFS(Pre[29],Pre[CATEGORY],Table111523[[#This Row],[CATEGORY]],Pre[GROUPING],"Nov")</f>
        <v>0</v>
      </c>
      <c r="AE40">
        <f>SUMIFS(Pre[30],Pre[CATEGORY],Table111523[[#This Row],[CATEGORY]],Pre[GROUPING],"Nov")</f>
        <v>2</v>
      </c>
      <c r="AF40">
        <f>SUMIFS(Pre[31],Pre[CATEGORY],Table111523[[#This Row],[CATEGORY]],Pre[GROUPING],"Nov")</f>
        <v>1</v>
      </c>
      <c r="AG40">
        <f>SUMIFS(Pre[32],Pre[CATEGORY],Table111523[[#This Row],[CATEGORY]],Pre[GROUPING],"Nov")</f>
        <v>1</v>
      </c>
      <c r="AH40">
        <f>SUMIFS(Pre[33],Pre[CATEGORY],Table111523[[#This Row],[CATEGORY]],Pre[GROUPING],"Nov")</f>
        <v>0</v>
      </c>
      <c r="AI40">
        <f>SUMIFS(Pre[34],Pre[CATEGORY],Table111523[[#This Row],[CATEGORY]],Pre[GROUPING],"Nov")</f>
        <v>0</v>
      </c>
      <c r="AJ40">
        <f>SUMIFS(Pre[35],Pre[CATEGORY],Table111523[[#This Row],[CATEGORY]],Pre[GROUPING],"Nov")</f>
        <v>0</v>
      </c>
      <c r="AK40">
        <f>SUMIFS(Pre[36],Pre[CATEGORY],Table111523[[#This Row],[CATEGORY]],Pre[GROUPING],"Nov")</f>
        <v>1</v>
      </c>
      <c r="AL40">
        <f>SUMIFS(Pre[37],Pre[CATEGORY],Table111523[[#This Row],[CATEGORY]],Pre[GROUPING],"Nov")</f>
        <v>3</v>
      </c>
      <c r="AM40">
        <f>SUMIFS(Pre[38],Pre[CATEGORY],Table111523[[#This Row],[CATEGORY]],Pre[GROUPING],"Nov")</f>
        <v>0</v>
      </c>
      <c r="AN40">
        <f>SUMIFS(Pre[39],Pre[CATEGORY],Table111523[[#This Row],[CATEGORY]],Pre[GROUPING],"Nov")</f>
        <v>0</v>
      </c>
      <c r="AO40">
        <f>SUMIFS(Pre[40],Pre[CATEGORY],Table111523[[#This Row],[CATEGORY]],Pre[GROUPING],"Nov")</f>
        <v>1</v>
      </c>
      <c r="AP40">
        <f>SUMIFS(Pre[41],Pre[CATEGORY],Table111523[[#This Row],[CATEGORY]],Pre[GROUPING],"Nov")</f>
        <v>1</v>
      </c>
      <c r="AQ40">
        <f>SUMIFS(Pre[42],Pre[CATEGORY],Table111523[[#This Row],[CATEGORY]],Pre[GROUPING],"Nov")</f>
        <v>3</v>
      </c>
      <c r="AR40">
        <f>SUMIFS(Pre[43],Pre[CATEGORY],Table111523[[#This Row],[CATEGORY]],Pre[GROUPING],"Nov")</f>
        <v>0</v>
      </c>
      <c r="AS40">
        <f>SUMIFS(Pre[44],Pre[CATEGORY],Table111523[[#This Row],[CATEGORY]],Pre[GROUPING],"Nov")</f>
        <v>4</v>
      </c>
      <c r="AT40">
        <f>SUMIFS(Pre[45],Pre[CATEGORY],Table111523[[#This Row],[CATEGORY]],Pre[GROUPING],"Nov")</f>
        <v>4</v>
      </c>
      <c r="AU40">
        <f>SUMIFS(Pre[46],Pre[CATEGORY],Table111523[[#This Row],[CATEGORY]],Pre[GROUPING],"Nov")</f>
        <v>1</v>
      </c>
      <c r="AV40">
        <f>SUM(Table111523[[#This Row],[1]:[46]])</f>
        <v>46</v>
      </c>
    </row>
    <row r="41" spans="1:48" x14ac:dyDescent="0.2">
      <c r="A41" t="s">
        <v>147</v>
      </c>
      <c r="B41">
        <f>SUBTOTAL(109,Table111523[1])</f>
        <v>185</v>
      </c>
      <c r="C41">
        <f>SUBTOTAL(109,Table111523[2])</f>
        <v>162</v>
      </c>
      <c r="D41">
        <f>SUBTOTAL(109,Table111523[3])</f>
        <v>171</v>
      </c>
      <c r="E41">
        <f>SUBTOTAL(109,Table111523[4])</f>
        <v>164</v>
      </c>
      <c r="F41">
        <f>SUBTOTAL(109,Table111523[5])</f>
        <v>181</v>
      </c>
      <c r="G41">
        <f>SUBTOTAL(109,Table111523[6])</f>
        <v>151</v>
      </c>
      <c r="H41">
        <f>SUBTOTAL(109,Table111523[7])</f>
        <v>180</v>
      </c>
      <c r="I41">
        <f>SUBTOTAL(109,Table111523[8])</f>
        <v>157</v>
      </c>
      <c r="J41">
        <f>SUBTOTAL(109,Table111523[9])</f>
        <v>171</v>
      </c>
      <c r="K41">
        <f>SUBTOTAL(109,Table111523[10])</f>
        <v>172</v>
      </c>
      <c r="L41">
        <f>SUBTOTAL(109,Table111523[11])</f>
        <v>196</v>
      </c>
      <c r="M41">
        <f>SUBTOTAL(109,Table111523[12])</f>
        <v>185</v>
      </c>
      <c r="N41">
        <f>SUBTOTAL(109,Table111523[13])</f>
        <v>180</v>
      </c>
      <c r="O41">
        <f>SUBTOTAL(109,Table111523[14])</f>
        <v>181</v>
      </c>
      <c r="P41">
        <f>SUBTOTAL(109,Table111523[15])</f>
        <v>175</v>
      </c>
      <c r="Q41">
        <f>SUBTOTAL(109,Table111523[16])</f>
        <v>181</v>
      </c>
      <c r="R41">
        <f>SUBTOTAL(109,Table111523[17])</f>
        <v>192</v>
      </c>
      <c r="S41">
        <f>SUBTOTAL(109,Table111523[18])</f>
        <v>180</v>
      </c>
      <c r="T41">
        <f>SUBTOTAL(109,Table111523[19])</f>
        <v>184</v>
      </c>
      <c r="U41">
        <f>SUBTOTAL(109,Table111523[20])</f>
        <v>194</v>
      </c>
      <c r="V41">
        <f>SUBTOTAL(109,Table111523[21])</f>
        <v>173</v>
      </c>
      <c r="W41">
        <f>SUBTOTAL(109,Table111523[22])</f>
        <v>205</v>
      </c>
      <c r="X41">
        <f>SUBTOTAL(109,Table111523[23])</f>
        <v>164</v>
      </c>
      <c r="Y41">
        <f>SUBTOTAL(109,Table111523[24])</f>
        <v>211</v>
      </c>
      <c r="Z41">
        <f>SUBTOTAL(109,Table111523[25])</f>
        <v>212</v>
      </c>
      <c r="AA41">
        <f>SUBTOTAL(109,Table111523[26])</f>
        <v>149</v>
      </c>
      <c r="AB41">
        <f>SUBTOTAL(109,Table111523[27])</f>
        <v>214</v>
      </c>
      <c r="AC41">
        <f>SUBTOTAL(109,Table111523[28])</f>
        <v>178</v>
      </c>
      <c r="AD41">
        <f>SUBTOTAL(109,Table111523[29])</f>
        <v>165</v>
      </c>
      <c r="AE41">
        <f>SUBTOTAL(109,Table111523[30])</f>
        <v>187</v>
      </c>
      <c r="AF41">
        <f>SUBTOTAL(109,Table111523[31])</f>
        <v>174</v>
      </c>
      <c r="AG41">
        <f>SUBTOTAL(109,Table111523[32])</f>
        <v>175</v>
      </c>
      <c r="AH41">
        <f>SUBTOTAL(109,Table111523[33])</f>
        <v>189</v>
      </c>
      <c r="AI41">
        <f>SUBTOTAL(109,Table111523[34])</f>
        <v>188</v>
      </c>
      <c r="AJ41">
        <f>SUBTOTAL(109,Table111523[35])</f>
        <v>190</v>
      </c>
      <c r="AK41">
        <f>SUBTOTAL(109,Table111523[36])</f>
        <v>197</v>
      </c>
      <c r="AL41">
        <f>SUBTOTAL(109,Table111523[37])</f>
        <v>174</v>
      </c>
      <c r="AM41">
        <f>SUBTOTAL(109,Table111523[38])</f>
        <v>194</v>
      </c>
      <c r="AN41">
        <f>SUBTOTAL(109,Table111523[39])</f>
        <v>159</v>
      </c>
      <c r="AO41">
        <f>SUBTOTAL(109,Table111523[40])</f>
        <v>201</v>
      </c>
      <c r="AP41">
        <f>SUBTOTAL(109,Table111523[41])</f>
        <v>152</v>
      </c>
      <c r="AQ41">
        <f>SUBTOTAL(109,Table111523[42])</f>
        <v>176</v>
      </c>
      <c r="AR41">
        <f>SUBTOTAL(109,Table111523[43])</f>
        <v>205</v>
      </c>
      <c r="AS41">
        <f>SUBTOTAL(109,Table111523[44])</f>
        <v>182</v>
      </c>
      <c r="AT41">
        <f>SUBTOTAL(109,Table111523[45])</f>
        <v>162</v>
      </c>
      <c r="AU41">
        <f>SUBTOTAL(109,Table111523[46])</f>
        <v>154</v>
      </c>
      <c r="AV41">
        <f>SUBTOTAL(109,Table111523[SCRIPTS])</f>
        <v>8272</v>
      </c>
    </row>
  </sheetData>
  <phoneticPr fontId="4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36"/>
  <sheetViews>
    <sheetView topLeftCell="C1" workbookViewId="0">
      <pane xSplit="4" ySplit="1" topLeftCell="G171" activePane="bottomRight" state="frozen"/>
      <selection activeCell="C1" sqref="C1"/>
      <selection pane="topRight" activeCell="G1" sqref="G1"/>
      <selection pane="bottomLeft" activeCell="C2" sqref="C2"/>
      <selection pane="bottomRight" activeCell="E21" sqref="E21"/>
    </sheetView>
  </sheetViews>
  <sheetFormatPr baseColWidth="10" defaultColWidth="9.1640625" defaultRowHeight="15" x14ac:dyDescent="0.2"/>
  <cols>
    <col min="1" max="1" width="9.83203125" customWidth="1"/>
    <col min="2" max="2" width="11.83203125" customWidth="1"/>
    <col min="3" max="3" width="10.33203125" customWidth="1"/>
    <col min="4" max="4" width="6.1640625" customWidth="1"/>
    <col min="5" max="5" width="74.5" bestFit="1" customWidth="1"/>
    <col min="6" max="6" width="30.5" bestFit="1" customWidth="1"/>
    <col min="7" max="35" width="5.5" customWidth="1"/>
  </cols>
  <sheetData>
    <row r="1" spans="1:36" x14ac:dyDescent="0.2">
      <c r="A1" t="s">
        <v>63</v>
      </c>
      <c r="B1" t="s">
        <v>0</v>
      </c>
      <c r="C1" t="s">
        <v>1</v>
      </c>
      <c r="D1" t="s">
        <v>64</v>
      </c>
      <c r="E1" t="s">
        <v>3</v>
      </c>
      <c r="F1" t="s">
        <v>4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117</v>
      </c>
    </row>
    <row r="2" spans="1:36" x14ac:dyDescent="0.2">
      <c r="A2" t="s">
        <v>5</v>
      </c>
      <c r="B2" t="s">
        <v>6</v>
      </c>
      <c r="C2">
        <v>4013</v>
      </c>
      <c r="D2" t="s">
        <v>7</v>
      </c>
      <c r="E2" t="s">
        <v>8</v>
      </c>
      <c r="F2" t="s">
        <v>9</v>
      </c>
      <c r="J2">
        <v>1</v>
      </c>
      <c r="O2">
        <v>1</v>
      </c>
      <c r="T2">
        <v>1</v>
      </c>
      <c r="X2">
        <v>1</v>
      </c>
      <c r="AB2">
        <v>1</v>
      </c>
      <c r="AG2">
        <v>2</v>
      </c>
      <c r="AJ2">
        <f>SUM(Post[[#This Row],[47]:[75]])</f>
        <v>7</v>
      </c>
    </row>
    <row r="3" spans="1:36" x14ac:dyDescent="0.2">
      <c r="A3" t="s">
        <v>5</v>
      </c>
      <c r="B3" t="s">
        <v>6</v>
      </c>
      <c r="C3">
        <v>10234</v>
      </c>
      <c r="D3" t="s">
        <v>7</v>
      </c>
      <c r="E3" t="s">
        <v>10</v>
      </c>
      <c r="F3" t="s">
        <v>11</v>
      </c>
      <c r="AJ3">
        <f>SUM(Post[[#This Row],[47]:[75]])</f>
        <v>0</v>
      </c>
    </row>
    <row r="4" spans="1:36" x14ac:dyDescent="0.2">
      <c r="A4" t="s">
        <v>5</v>
      </c>
      <c r="B4" t="s">
        <v>6</v>
      </c>
      <c r="C4">
        <v>11755</v>
      </c>
      <c r="D4" t="s">
        <v>7</v>
      </c>
      <c r="E4" t="s">
        <v>12</v>
      </c>
      <c r="F4" t="s">
        <v>13</v>
      </c>
      <c r="AJ4">
        <f>SUM(Post[[#This Row],[47]:[75]])</f>
        <v>0</v>
      </c>
    </row>
    <row r="5" spans="1:36" x14ac:dyDescent="0.2">
      <c r="A5" t="s">
        <v>5</v>
      </c>
      <c r="B5" t="s">
        <v>6</v>
      </c>
      <c r="C5">
        <v>13352</v>
      </c>
      <c r="D5" t="s">
        <v>7</v>
      </c>
      <c r="E5" t="s">
        <v>14</v>
      </c>
      <c r="F5" t="s">
        <v>15</v>
      </c>
      <c r="R5">
        <v>1</v>
      </c>
      <c r="AJ5">
        <f>SUM(Post[[#This Row],[47]:[75]])</f>
        <v>1</v>
      </c>
    </row>
    <row r="6" spans="1:36" x14ac:dyDescent="0.2">
      <c r="A6" t="s">
        <v>5</v>
      </c>
      <c r="B6" t="s">
        <v>6</v>
      </c>
      <c r="C6">
        <v>14169</v>
      </c>
      <c r="D6" t="s">
        <v>7</v>
      </c>
      <c r="E6" t="s">
        <v>10</v>
      </c>
      <c r="F6" t="s">
        <v>16</v>
      </c>
      <c r="W6">
        <v>1</v>
      </c>
      <c r="AJ6">
        <f>SUM(Post[[#This Row],[47]:[75]])</f>
        <v>1</v>
      </c>
    </row>
    <row r="7" spans="1:36" x14ac:dyDescent="0.2">
      <c r="A7" t="s">
        <v>5</v>
      </c>
      <c r="B7" t="s">
        <v>6</v>
      </c>
      <c r="C7">
        <v>14274</v>
      </c>
      <c r="D7" t="s">
        <v>7</v>
      </c>
      <c r="E7" t="s">
        <v>17</v>
      </c>
      <c r="F7" t="s">
        <v>18</v>
      </c>
      <c r="AJ7">
        <f>SUM(Post[[#This Row],[47]:[75]])</f>
        <v>0</v>
      </c>
    </row>
    <row r="8" spans="1:36" x14ac:dyDescent="0.2">
      <c r="A8" t="s">
        <v>5</v>
      </c>
      <c r="B8" t="s">
        <v>6</v>
      </c>
      <c r="C8">
        <v>15118</v>
      </c>
      <c r="D8" t="s">
        <v>7</v>
      </c>
      <c r="E8" t="s">
        <v>10</v>
      </c>
      <c r="F8" t="s">
        <v>11</v>
      </c>
      <c r="AB8">
        <v>1</v>
      </c>
      <c r="AJ8">
        <f>SUM(Post[[#This Row],[47]:[75]])</f>
        <v>1</v>
      </c>
    </row>
    <row r="9" spans="1:36" x14ac:dyDescent="0.2">
      <c r="A9" t="s">
        <v>5</v>
      </c>
      <c r="B9" t="s">
        <v>6</v>
      </c>
      <c r="C9">
        <v>15469</v>
      </c>
      <c r="D9" t="s">
        <v>7</v>
      </c>
      <c r="E9" t="s">
        <v>8</v>
      </c>
      <c r="F9" t="s">
        <v>9</v>
      </c>
      <c r="H9">
        <v>1</v>
      </c>
      <c r="N9">
        <v>1</v>
      </c>
      <c r="R9">
        <v>1</v>
      </c>
      <c r="W9">
        <v>1</v>
      </c>
      <c r="AD9">
        <v>1</v>
      </c>
      <c r="AI9">
        <v>1</v>
      </c>
      <c r="AJ9">
        <f>SUM(Post[[#This Row],[47]:[75]])</f>
        <v>6</v>
      </c>
    </row>
    <row r="10" spans="1:36" x14ac:dyDescent="0.2">
      <c r="A10" t="s">
        <v>5</v>
      </c>
      <c r="B10" t="s">
        <v>6</v>
      </c>
      <c r="C10">
        <v>17706</v>
      </c>
      <c r="D10" t="s">
        <v>7</v>
      </c>
      <c r="E10" t="s">
        <v>12</v>
      </c>
      <c r="F10" t="s">
        <v>13</v>
      </c>
      <c r="J10">
        <v>2</v>
      </c>
      <c r="AJ10">
        <f>SUM(Post[[#This Row],[47]:[75]])</f>
        <v>2</v>
      </c>
    </row>
    <row r="11" spans="1:36" x14ac:dyDescent="0.2">
      <c r="A11" t="s">
        <v>5</v>
      </c>
      <c r="B11" t="s">
        <v>6</v>
      </c>
      <c r="C11">
        <v>18578</v>
      </c>
      <c r="D11" t="s">
        <v>7</v>
      </c>
      <c r="E11" t="s">
        <v>12</v>
      </c>
      <c r="F11" t="s">
        <v>13</v>
      </c>
      <c r="Q11">
        <v>2</v>
      </c>
      <c r="AJ11">
        <f>SUM(Post[[#This Row],[47]:[75]])</f>
        <v>2</v>
      </c>
    </row>
    <row r="12" spans="1:36" x14ac:dyDescent="0.2">
      <c r="A12" t="s">
        <v>5</v>
      </c>
      <c r="B12" t="s">
        <v>6</v>
      </c>
      <c r="C12">
        <v>20802</v>
      </c>
      <c r="D12" t="s">
        <v>7</v>
      </c>
      <c r="E12" t="s">
        <v>12</v>
      </c>
      <c r="F12" t="s">
        <v>13</v>
      </c>
      <c r="V12">
        <v>3</v>
      </c>
      <c r="AJ12">
        <f>SUM(Post[[#This Row],[47]:[75]])</f>
        <v>3</v>
      </c>
    </row>
    <row r="13" spans="1:36" x14ac:dyDescent="0.2">
      <c r="A13" t="s">
        <v>5</v>
      </c>
      <c r="B13" t="s">
        <v>6</v>
      </c>
      <c r="C13">
        <v>20844</v>
      </c>
      <c r="D13" t="s">
        <v>7</v>
      </c>
      <c r="E13" t="s">
        <v>14</v>
      </c>
      <c r="F13" t="s">
        <v>19</v>
      </c>
      <c r="AH13">
        <v>1</v>
      </c>
      <c r="AJ13">
        <f>SUM(Post[[#This Row],[47]:[75]])</f>
        <v>1</v>
      </c>
    </row>
    <row r="14" spans="1:36" x14ac:dyDescent="0.2">
      <c r="A14" t="s">
        <v>5</v>
      </c>
      <c r="B14" t="s">
        <v>6</v>
      </c>
      <c r="C14">
        <v>21263</v>
      </c>
      <c r="D14" t="s">
        <v>7</v>
      </c>
      <c r="E14" t="s">
        <v>12</v>
      </c>
      <c r="F14" t="s">
        <v>13</v>
      </c>
      <c r="AI14">
        <v>1</v>
      </c>
      <c r="AJ14">
        <f>SUM(Post[[#This Row],[47]:[75]])</f>
        <v>1</v>
      </c>
    </row>
    <row r="15" spans="1:36" x14ac:dyDescent="0.2">
      <c r="A15" t="s">
        <v>5</v>
      </c>
      <c r="B15" t="s">
        <v>6</v>
      </c>
      <c r="C15">
        <v>21461</v>
      </c>
      <c r="D15" t="s">
        <v>7</v>
      </c>
      <c r="E15" t="s">
        <v>14</v>
      </c>
      <c r="F15" t="s">
        <v>20</v>
      </c>
      <c r="AJ15">
        <f>SUM(Post[[#This Row],[47]:[75]])</f>
        <v>0</v>
      </c>
    </row>
    <row r="16" spans="1:36" x14ac:dyDescent="0.2">
      <c r="A16" t="s">
        <v>5</v>
      </c>
      <c r="B16" t="s">
        <v>6</v>
      </c>
      <c r="C16">
        <v>23618</v>
      </c>
      <c r="D16" t="s">
        <v>7</v>
      </c>
      <c r="E16" t="s">
        <v>12</v>
      </c>
      <c r="F16" t="s">
        <v>13</v>
      </c>
      <c r="AJ16">
        <f>SUM(Post[[#This Row],[47]:[75]])</f>
        <v>0</v>
      </c>
    </row>
    <row r="17" spans="1:36" x14ac:dyDescent="0.2">
      <c r="A17" t="s">
        <v>5</v>
      </c>
      <c r="B17" t="s">
        <v>6</v>
      </c>
      <c r="C17">
        <v>31893</v>
      </c>
      <c r="D17" t="s">
        <v>7</v>
      </c>
      <c r="E17" t="s">
        <v>14</v>
      </c>
      <c r="F17" t="s">
        <v>21</v>
      </c>
      <c r="AI17">
        <v>1</v>
      </c>
      <c r="AJ17">
        <f>SUM(Post[[#This Row],[47]:[75]])</f>
        <v>1</v>
      </c>
    </row>
    <row r="18" spans="1:36" x14ac:dyDescent="0.2">
      <c r="A18" t="s">
        <v>5</v>
      </c>
      <c r="B18" t="s">
        <v>6</v>
      </c>
      <c r="C18">
        <v>33272</v>
      </c>
      <c r="D18" t="s">
        <v>7</v>
      </c>
      <c r="E18" t="s">
        <v>12</v>
      </c>
      <c r="F18" t="s">
        <v>13</v>
      </c>
      <c r="V18">
        <v>1</v>
      </c>
      <c r="AJ18">
        <f>SUM(Post[[#This Row],[47]:[75]])</f>
        <v>1</v>
      </c>
    </row>
    <row r="19" spans="1:36" x14ac:dyDescent="0.2">
      <c r="A19" t="s">
        <v>5</v>
      </c>
      <c r="B19" t="s">
        <v>6</v>
      </c>
      <c r="C19">
        <v>2057</v>
      </c>
      <c r="D19" t="s">
        <v>22</v>
      </c>
      <c r="E19" t="s">
        <v>14</v>
      </c>
      <c r="F19" t="s">
        <v>20</v>
      </c>
      <c r="K19">
        <v>1</v>
      </c>
      <c r="W19">
        <v>1</v>
      </c>
      <c r="AJ19">
        <f>SUM(Post[[#This Row],[47]:[75]])</f>
        <v>2</v>
      </c>
    </row>
    <row r="20" spans="1:36" x14ac:dyDescent="0.2">
      <c r="A20" t="s">
        <v>5</v>
      </c>
      <c r="B20" t="s">
        <v>6</v>
      </c>
      <c r="C20">
        <v>2352</v>
      </c>
      <c r="D20" t="s">
        <v>22</v>
      </c>
      <c r="E20" t="s">
        <v>8</v>
      </c>
      <c r="F20" t="s">
        <v>9</v>
      </c>
      <c r="T20">
        <v>1</v>
      </c>
      <c r="AE20">
        <v>1</v>
      </c>
      <c r="AJ20">
        <f>SUM(Post[[#This Row],[47]:[75]])</f>
        <v>2</v>
      </c>
    </row>
    <row r="21" spans="1:36" x14ac:dyDescent="0.2">
      <c r="A21" t="s">
        <v>5</v>
      </c>
      <c r="B21" t="s">
        <v>6</v>
      </c>
      <c r="C21">
        <v>2665</v>
      </c>
      <c r="D21" t="s">
        <v>22</v>
      </c>
      <c r="E21" t="s">
        <v>8</v>
      </c>
      <c r="F21" t="s">
        <v>23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f>SUM(Post[[#This Row],[47]:[75]])</f>
        <v>27</v>
      </c>
    </row>
    <row r="22" spans="1:36" x14ac:dyDescent="0.2">
      <c r="A22" t="s">
        <v>5</v>
      </c>
      <c r="B22" t="s">
        <v>6</v>
      </c>
      <c r="C22">
        <v>4135</v>
      </c>
      <c r="D22" t="s">
        <v>22</v>
      </c>
      <c r="E22" t="s">
        <v>8</v>
      </c>
      <c r="F22" t="s">
        <v>23</v>
      </c>
      <c r="I22">
        <v>1</v>
      </c>
      <c r="U22">
        <v>1</v>
      </c>
      <c r="AJ22">
        <f>SUM(Post[[#This Row],[47]:[75]])</f>
        <v>2</v>
      </c>
    </row>
    <row r="23" spans="1:36" x14ac:dyDescent="0.2">
      <c r="A23" t="s">
        <v>5</v>
      </c>
      <c r="B23" t="s">
        <v>6</v>
      </c>
      <c r="C23">
        <v>5954</v>
      </c>
      <c r="D23" t="s">
        <v>22</v>
      </c>
      <c r="E23" t="s">
        <v>24</v>
      </c>
      <c r="F23" t="s">
        <v>25</v>
      </c>
      <c r="L23">
        <v>2</v>
      </c>
      <c r="Z23">
        <v>5</v>
      </c>
      <c r="AJ23">
        <f>SUM(Post[[#This Row],[47]:[75]])</f>
        <v>7</v>
      </c>
    </row>
    <row r="24" spans="1:36" x14ac:dyDescent="0.2">
      <c r="A24" t="s">
        <v>5</v>
      </c>
      <c r="B24" t="s">
        <v>6</v>
      </c>
      <c r="C24">
        <v>7736</v>
      </c>
      <c r="D24" t="s">
        <v>22</v>
      </c>
      <c r="E24" t="s">
        <v>14</v>
      </c>
      <c r="F24" t="s">
        <v>19</v>
      </c>
      <c r="AI24">
        <v>2</v>
      </c>
      <c r="AJ24">
        <f>SUM(Post[[#This Row],[47]:[75]])</f>
        <v>2</v>
      </c>
    </row>
    <row r="25" spans="1:36" x14ac:dyDescent="0.2">
      <c r="A25" t="s">
        <v>5</v>
      </c>
      <c r="B25" t="s">
        <v>6</v>
      </c>
      <c r="C25">
        <v>9791</v>
      </c>
      <c r="D25" t="s">
        <v>22</v>
      </c>
      <c r="E25" t="s">
        <v>8</v>
      </c>
      <c r="F25" t="s">
        <v>23</v>
      </c>
      <c r="P25">
        <v>1</v>
      </c>
      <c r="AD25">
        <v>1</v>
      </c>
      <c r="AJ25">
        <f>SUM(Post[[#This Row],[47]:[75]])</f>
        <v>2</v>
      </c>
    </row>
    <row r="26" spans="1:36" x14ac:dyDescent="0.2">
      <c r="A26" t="s">
        <v>5</v>
      </c>
      <c r="B26" t="s">
        <v>6</v>
      </c>
      <c r="C26">
        <v>10789</v>
      </c>
      <c r="D26" t="s">
        <v>22</v>
      </c>
      <c r="E26" t="s">
        <v>8</v>
      </c>
      <c r="F26" t="s">
        <v>9</v>
      </c>
      <c r="K26">
        <v>1</v>
      </c>
      <c r="Z26">
        <v>1</v>
      </c>
      <c r="AJ26">
        <f>SUM(Post[[#This Row],[47]:[75]])</f>
        <v>2</v>
      </c>
    </row>
    <row r="27" spans="1:36" x14ac:dyDescent="0.2">
      <c r="A27" t="s">
        <v>5</v>
      </c>
      <c r="B27" t="s">
        <v>6</v>
      </c>
      <c r="C27">
        <v>10789</v>
      </c>
      <c r="D27" t="s">
        <v>22</v>
      </c>
      <c r="E27" t="s">
        <v>26</v>
      </c>
      <c r="F27" t="s">
        <v>27</v>
      </c>
      <c r="K27">
        <v>1</v>
      </c>
      <c r="Z27">
        <v>1</v>
      </c>
      <c r="AJ27">
        <f>SUM(Post[[#This Row],[47]:[75]])</f>
        <v>2</v>
      </c>
    </row>
    <row r="28" spans="1:36" x14ac:dyDescent="0.2">
      <c r="A28" t="s">
        <v>5</v>
      </c>
      <c r="B28" t="s">
        <v>6</v>
      </c>
      <c r="C28">
        <v>10952</v>
      </c>
      <c r="D28" t="s">
        <v>22</v>
      </c>
      <c r="E28" t="s">
        <v>8</v>
      </c>
      <c r="F28" t="s">
        <v>23</v>
      </c>
      <c r="I28">
        <v>1</v>
      </c>
      <c r="AB28">
        <v>1</v>
      </c>
      <c r="AJ28">
        <f>SUM(Post[[#This Row],[47]:[75]])</f>
        <v>2</v>
      </c>
    </row>
    <row r="29" spans="1:36" x14ac:dyDescent="0.2">
      <c r="A29" t="s">
        <v>5</v>
      </c>
      <c r="B29" t="s">
        <v>6</v>
      </c>
      <c r="C29">
        <v>13046</v>
      </c>
      <c r="D29" t="s">
        <v>22</v>
      </c>
      <c r="E29" t="s">
        <v>10</v>
      </c>
      <c r="F29" t="s">
        <v>11</v>
      </c>
      <c r="Q29">
        <v>2</v>
      </c>
      <c r="AE29">
        <v>1</v>
      </c>
      <c r="AJ29">
        <f>SUM(Post[[#This Row],[47]:[75]])</f>
        <v>3</v>
      </c>
    </row>
    <row r="30" spans="1:36" x14ac:dyDescent="0.2">
      <c r="A30" t="s">
        <v>5</v>
      </c>
      <c r="B30" t="s">
        <v>6</v>
      </c>
      <c r="C30">
        <v>14190</v>
      </c>
      <c r="D30" t="s">
        <v>22</v>
      </c>
      <c r="E30" t="s">
        <v>8</v>
      </c>
      <c r="F30" t="s">
        <v>23</v>
      </c>
      <c r="AB30">
        <v>2</v>
      </c>
      <c r="AG30">
        <v>1</v>
      </c>
      <c r="AJ30">
        <f>SUM(Post[[#This Row],[47]:[75]])</f>
        <v>3</v>
      </c>
    </row>
    <row r="31" spans="1:36" x14ac:dyDescent="0.2">
      <c r="A31" t="s">
        <v>5</v>
      </c>
      <c r="B31" t="s">
        <v>6</v>
      </c>
      <c r="C31">
        <v>14190</v>
      </c>
      <c r="D31" t="s">
        <v>22</v>
      </c>
      <c r="E31" t="s">
        <v>14</v>
      </c>
      <c r="F31" t="s">
        <v>28</v>
      </c>
      <c r="AA31">
        <v>4</v>
      </c>
      <c r="AJ31">
        <f>SUM(Post[[#This Row],[47]:[75]])</f>
        <v>4</v>
      </c>
    </row>
    <row r="32" spans="1:36" x14ac:dyDescent="0.2">
      <c r="A32" t="s">
        <v>5</v>
      </c>
      <c r="B32" t="s">
        <v>6</v>
      </c>
      <c r="C32">
        <v>18729</v>
      </c>
      <c r="D32" t="s">
        <v>22</v>
      </c>
      <c r="E32" t="s">
        <v>8</v>
      </c>
      <c r="F32" t="s">
        <v>29</v>
      </c>
      <c r="J32">
        <v>1</v>
      </c>
      <c r="O32">
        <v>1</v>
      </c>
      <c r="R32">
        <v>1</v>
      </c>
      <c r="X32">
        <v>1</v>
      </c>
      <c r="AB32">
        <v>1</v>
      </c>
      <c r="AG32">
        <v>1</v>
      </c>
      <c r="AJ32">
        <f>SUM(Post[[#This Row],[47]:[75]])</f>
        <v>6</v>
      </c>
    </row>
    <row r="33" spans="1:36" x14ac:dyDescent="0.2">
      <c r="A33" t="s">
        <v>5</v>
      </c>
      <c r="B33" t="s">
        <v>6</v>
      </c>
      <c r="C33">
        <v>22592</v>
      </c>
      <c r="D33" t="s">
        <v>22</v>
      </c>
      <c r="E33" t="s">
        <v>14</v>
      </c>
      <c r="F33" t="s">
        <v>20</v>
      </c>
      <c r="AJ33">
        <f>SUM(Post[[#This Row],[47]:[75]])</f>
        <v>0</v>
      </c>
    </row>
    <row r="34" spans="1:36" x14ac:dyDescent="0.2">
      <c r="A34" t="s">
        <v>5</v>
      </c>
      <c r="B34" t="s">
        <v>6</v>
      </c>
      <c r="C34">
        <v>27792</v>
      </c>
      <c r="D34" t="s">
        <v>22</v>
      </c>
      <c r="E34" t="s">
        <v>14</v>
      </c>
      <c r="F34" t="s">
        <v>20</v>
      </c>
      <c r="Y34">
        <v>2</v>
      </c>
      <c r="AJ34">
        <f>SUM(Post[[#This Row],[47]:[75]])</f>
        <v>2</v>
      </c>
    </row>
    <row r="35" spans="1:36" x14ac:dyDescent="0.2">
      <c r="A35" t="s">
        <v>5</v>
      </c>
      <c r="B35" t="s">
        <v>6</v>
      </c>
      <c r="C35">
        <v>30342</v>
      </c>
      <c r="D35" t="s">
        <v>22</v>
      </c>
      <c r="E35" t="s">
        <v>10</v>
      </c>
      <c r="F35" t="s">
        <v>11</v>
      </c>
      <c r="R35">
        <v>1</v>
      </c>
      <c r="S35">
        <v>1</v>
      </c>
      <c r="T35">
        <v>1</v>
      </c>
      <c r="U35">
        <v>1</v>
      </c>
      <c r="W35">
        <v>1</v>
      </c>
      <c r="AF35">
        <v>1</v>
      </c>
      <c r="AJ35">
        <f>SUM(Post[[#This Row],[47]:[75]])</f>
        <v>6</v>
      </c>
    </row>
    <row r="36" spans="1:36" x14ac:dyDescent="0.2">
      <c r="A36" t="s">
        <v>5</v>
      </c>
      <c r="B36" t="s">
        <v>6</v>
      </c>
      <c r="C36">
        <v>30342</v>
      </c>
      <c r="D36" t="s">
        <v>22</v>
      </c>
      <c r="E36" t="s">
        <v>14</v>
      </c>
      <c r="F36" t="s">
        <v>20</v>
      </c>
      <c r="AJ36">
        <f>SUM(Post[[#This Row],[47]:[75]])</f>
        <v>0</v>
      </c>
    </row>
    <row r="37" spans="1:36" x14ac:dyDescent="0.2">
      <c r="A37" t="s">
        <v>5</v>
      </c>
      <c r="B37" t="s">
        <v>6</v>
      </c>
      <c r="C37">
        <v>33280</v>
      </c>
      <c r="D37" t="s">
        <v>22</v>
      </c>
      <c r="E37" t="s">
        <v>10</v>
      </c>
      <c r="F37" t="s">
        <v>11</v>
      </c>
      <c r="AJ37">
        <f>SUM(Post[[#This Row],[47]:[75]])</f>
        <v>0</v>
      </c>
    </row>
    <row r="38" spans="1:36" x14ac:dyDescent="0.2">
      <c r="A38" t="s">
        <v>5</v>
      </c>
      <c r="B38" t="s">
        <v>6</v>
      </c>
      <c r="C38">
        <v>33280</v>
      </c>
      <c r="D38" t="s">
        <v>22</v>
      </c>
      <c r="E38" t="s">
        <v>14</v>
      </c>
      <c r="F38" t="s">
        <v>19</v>
      </c>
      <c r="J38">
        <v>1</v>
      </c>
      <c r="O38">
        <v>1</v>
      </c>
      <c r="T38">
        <v>1</v>
      </c>
      <c r="X38">
        <v>1</v>
      </c>
      <c r="AB38">
        <v>1</v>
      </c>
      <c r="AG38">
        <v>1</v>
      </c>
      <c r="AJ38">
        <f>SUM(Post[[#This Row],[47]:[75]])</f>
        <v>6</v>
      </c>
    </row>
    <row r="39" spans="1:36" x14ac:dyDescent="0.2">
      <c r="A39" t="s">
        <v>5</v>
      </c>
      <c r="B39" t="s">
        <v>6</v>
      </c>
      <c r="C39">
        <v>969</v>
      </c>
      <c r="D39" t="s">
        <v>7</v>
      </c>
      <c r="E39" t="s">
        <v>14</v>
      </c>
      <c r="F39" t="s">
        <v>20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AJ39">
        <f>SUM(Post[[#This Row],[47]:[75]])</f>
        <v>14</v>
      </c>
    </row>
    <row r="40" spans="1:36" x14ac:dyDescent="0.2">
      <c r="A40" t="s">
        <v>5</v>
      </c>
      <c r="B40" t="s">
        <v>6</v>
      </c>
      <c r="C40">
        <v>975</v>
      </c>
      <c r="D40" t="s">
        <v>7</v>
      </c>
      <c r="E40" t="s">
        <v>8</v>
      </c>
      <c r="F40" t="s">
        <v>23</v>
      </c>
      <c r="J40">
        <v>1</v>
      </c>
      <c r="X40">
        <v>1</v>
      </c>
      <c r="AB40">
        <v>1</v>
      </c>
      <c r="AE40">
        <v>3</v>
      </c>
      <c r="AF40">
        <v>2</v>
      </c>
      <c r="AG40">
        <v>2</v>
      </c>
      <c r="AJ40">
        <f>SUM(Post[[#This Row],[47]:[75]])</f>
        <v>10</v>
      </c>
    </row>
    <row r="41" spans="1:36" x14ac:dyDescent="0.2">
      <c r="A41" t="s">
        <v>5</v>
      </c>
      <c r="B41" t="s">
        <v>6</v>
      </c>
      <c r="C41">
        <v>1950</v>
      </c>
      <c r="D41" t="s">
        <v>7</v>
      </c>
      <c r="E41" t="s">
        <v>8</v>
      </c>
      <c r="F41" t="s">
        <v>23</v>
      </c>
      <c r="H41">
        <v>2</v>
      </c>
      <c r="W41">
        <v>1</v>
      </c>
      <c r="AJ41">
        <f>SUM(Post[[#This Row],[47]:[75]])</f>
        <v>3</v>
      </c>
    </row>
    <row r="42" spans="1:36" x14ac:dyDescent="0.2">
      <c r="A42" t="s">
        <v>5</v>
      </c>
      <c r="B42" t="s">
        <v>6</v>
      </c>
      <c r="C42">
        <v>2258</v>
      </c>
      <c r="D42" t="s">
        <v>7</v>
      </c>
      <c r="E42" t="s">
        <v>14</v>
      </c>
      <c r="F42" t="s">
        <v>20</v>
      </c>
      <c r="AJ42">
        <f>SUM(Post[[#This Row],[47]:[75]])</f>
        <v>0</v>
      </c>
    </row>
    <row r="43" spans="1:36" x14ac:dyDescent="0.2">
      <c r="A43" t="s">
        <v>5</v>
      </c>
      <c r="B43" t="s">
        <v>6</v>
      </c>
      <c r="C43">
        <v>2524</v>
      </c>
      <c r="D43" t="s">
        <v>7</v>
      </c>
      <c r="E43" t="s">
        <v>14</v>
      </c>
      <c r="F43" t="s">
        <v>20</v>
      </c>
      <c r="Q43">
        <v>2</v>
      </c>
      <c r="AD43">
        <v>1</v>
      </c>
      <c r="AJ43">
        <f>SUM(Post[[#This Row],[47]:[75]])</f>
        <v>3</v>
      </c>
    </row>
    <row r="44" spans="1:36" x14ac:dyDescent="0.2">
      <c r="A44" t="s">
        <v>5</v>
      </c>
      <c r="B44" t="s">
        <v>6</v>
      </c>
      <c r="C44">
        <v>2931</v>
      </c>
      <c r="D44" t="s">
        <v>7</v>
      </c>
      <c r="E44" t="s">
        <v>8</v>
      </c>
      <c r="F44" t="s">
        <v>23</v>
      </c>
      <c r="G44">
        <v>1</v>
      </c>
      <c r="H44">
        <v>1</v>
      </c>
      <c r="I44">
        <v>1</v>
      </c>
      <c r="J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1</v>
      </c>
      <c r="AJ44">
        <f>SUM(Post[[#This Row],[47]:[75]])</f>
        <v>27</v>
      </c>
    </row>
    <row r="45" spans="1:36" x14ac:dyDescent="0.2">
      <c r="A45" t="s">
        <v>5</v>
      </c>
      <c r="B45" t="s">
        <v>6</v>
      </c>
      <c r="C45">
        <v>4062</v>
      </c>
      <c r="D45" t="s">
        <v>7</v>
      </c>
      <c r="E45" t="s">
        <v>8</v>
      </c>
      <c r="F45" t="s">
        <v>29</v>
      </c>
      <c r="K45">
        <v>1</v>
      </c>
      <c r="AJ45">
        <f>SUM(Post[[#This Row],[47]:[75]])</f>
        <v>1</v>
      </c>
    </row>
    <row r="46" spans="1:36" x14ac:dyDescent="0.2">
      <c r="A46" t="s">
        <v>5</v>
      </c>
      <c r="B46" t="s">
        <v>6</v>
      </c>
      <c r="C46">
        <v>4137</v>
      </c>
      <c r="D46" t="s">
        <v>7</v>
      </c>
      <c r="E46" t="s">
        <v>10</v>
      </c>
      <c r="F46" t="s">
        <v>11</v>
      </c>
      <c r="S46">
        <v>1</v>
      </c>
      <c r="AE46">
        <v>1</v>
      </c>
      <c r="AJ46">
        <f>SUM(Post[[#This Row],[47]:[75]])</f>
        <v>2</v>
      </c>
    </row>
    <row r="47" spans="1:36" x14ac:dyDescent="0.2">
      <c r="A47" t="s">
        <v>5</v>
      </c>
      <c r="B47" t="s">
        <v>6</v>
      </c>
      <c r="C47">
        <v>4235</v>
      </c>
      <c r="D47" t="s">
        <v>7</v>
      </c>
      <c r="E47" t="s">
        <v>14</v>
      </c>
      <c r="F47" t="s">
        <v>20</v>
      </c>
      <c r="H47">
        <v>1</v>
      </c>
      <c r="V47">
        <v>1</v>
      </c>
      <c r="AI47">
        <v>1</v>
      </c>
      <c r="AJ47">
        <f>SUM(Post[[#This Row],[47]:[75]])</f>
        <v>3</v>
      </c>
    </row>
    <row r="48" spans="1:36" x14ac:dyDescent="0.2">
      <c r="A48" t="s">
        <v>5</v>
      </c>
      <c r="B48" t="s">
        <v>6</v>
      </c>
      <c r="C48">
        <v>4296</v>
      </c>
      <c r="D48" t="s">
        <v>7</v>
      </c>
      <c r="E48" t="s">
        <v>14</v>
      </c>
      <c r="F48" t="s">
        <v>20</v>
      </c>
      <c r="H48">
        <v>1</v>
      </c>
      <c r="L48">
        <v>1</v>
      </c>
      <c r="Z48">
        <v>1</v>
      </c>
      <c r="AE48">
        <v>1</v>
      </c>
      <c r="AJ48">
        <f>SUM(Post[[#This Row],[47]:[75]])</f>
        <v>4</v>
      </c>
    </row>
    <row r="49" spans="1:36" x14ac:dyDescent="0.2">
      <c r="A49" t="s">
        <v>5</v>
      </c>
      <c r="B49" t="s">
        <v>6</v>
      </c>
      <c r="C49">
        <v>6308</v>
      </c>
      <c r="D49" t="s">
        <v>7</v>
      </c>
      <c r="E49" t="s">
        <v>8</v>
      </c>
      <c r="F49" t="s">
        <v>9</v>
      </c>
      <c r="I49">
        <v>1</v>
      </c>
      <c r="K49">
        <v>1</v>
      </c>
      <c r="O49">
        <v>1</v>
      </c>
      <c r="S49">
        <v>1</v>
      </c>
      <c r="X49">
        <v>1</v>
      </c>
      <c r="AA49">
        <v>1</v>
      </c>
      <c r="AD49">
        <v>1</v>
      </c>
      <c r="AI49">
        <v>1</v>
      </c>
      <c r="AJ49">
        <f>SUM(Post[[#This Row],[47]:[75]])</f>
        <v>8</v>
      </c>
    </row>
    <row r="50" spans="1:36" x14ac:dyDescent="0.2">
      <c r="A50" t="s">
        <v>5</v>
      </c>
      <c r="B50" t="s">
        <v>6</v>
      </c>
      <c r="C50">
        <v>6802</v>
      </c>
      <c r="D50" t="s">
        <v>7</v>
      </c>
      <c r="E50" t="s">
        <v>8</v>
      </c>
      <c r="F50" t="s">
        <v>9</v>
      </c>
      <c r="J50">
        <v>1</v>
      </c>
      <c r="AJ50">
        <f>SUM(Post[[#This Row],[47]:[75]])</f>
        <v>1</v>
      </c>
    </row>
    <row r="51" spans="1:36" x14ac:dyDescent="0.2">
      <c r="A51" t="s">
        <v>5</v>
      </c>
      <c r="B51" t="s">
        <v>6</v>
      </c>
      <c r="C51">
        <v>7495</v>
      </c>
      <c r="D51" t="s">
        <v>7</v>
      </c>
      <c r="E51" t="s">
        <v>8</v>
      </c>
      <c r="F51" t="s">
        <v>9</v>
      </c>
      <c r="AJ51">
        <f>SUM(Post[[#This Row],[47]:[75]])</f>
        <v>0</v>
      </c>
    </row>
    <row r="52" spans="1:36" x14ac:dyDescent="0.2">
      <c r="A52" t="s">
        <v>5</v>
      </c>
      <c r="B52" t="s">
        <v>6</v>
      </c>
      <c r="C52">
        <v>9111</v>
      </c>
      <c r="D52" t="s">
        <v>7</v>
      </c>
      <c r="E52" t="s">
        <v>8</v>
      </c>
      <c r="F52" t="s">
        <v>30</v>
      </c>
      <c r="AJ52">
        <f>SUM(Post[[#This Row],[47]:[75]])</f>
        <v>0</v>
      </c>
    </row>
    <row r="53" spans="1:36" x14ac:dyDescent="0.2">
      <c r="A53" t="s">
        <v>5</v>
      </c>
      <c r="B53" t="s">
        <v>6</v>
      </c>
      <c r="C53">
        <v>9952</v>
      </c>
      <c r="D53" t="s">
        <v>7</v>
      </c>
      <c r="E53" t="s">
        <v>14</v>
      </c>
      <c r="F53" t="s">
        <v>21</v>
      </c>
      <c r="AJ53">
        <f>SUM(Post[[#This Row],[47]:[75]])</f>
        <v>0</v>
      </c>
    </row>
    <row r="54" spans="1:36" x14ac:dyDescent="0.2">
      <c r="A54" t="s">
        <v>5</v>
      </c>
      <c r="B54" t="s">
        <v>6</v>
      </c>
      <c r="C54">
        <v>9952</v>
      </c>
      <c r="D54" t="s">
        <v>7</v>
      </c>
      <c r="E54" t="s">
        <v>14</v>
      </c>
      <c r="F54" t="s">
        <v>20</v>
      </c>
      <c r="J54">
        <v>1</v>
      </c>
      <c r="N54">
        <v>1</v>
      </c>
      <c r="O54">
        <v>1</v>
      </c>
      <c r="T54">
        <v>1</v>
      </c>
      <c r="X54">
        <v>1</v>
      </c>
      <c r="AB54">
        <v>1</v>
      </c>
      <c r="AG54">
        <v>1</v>
      </c>
      <c r="AJ54">
        <f>SUM(Post[[#This Row],[47]:[75]])</f>
        <v>7</v>
      </c>
    </row>
    <row r="55" spans="1:36" x14ac:dyDescent="0.2">
      <c r="A55" t="s">
        <v>5</v>
      </c>
      <c r="B55" t="s">
        <v>6</v>
      </c>
      <c r="C55">
        <v>10090</v>
      </c>
      <c r="D55" t="s">
        <v>7</v>
      </c>
      <c r="E55" t="s">
        <v>17</v>
      </c>
      <c r="F55" t="s">
        <v>18</v>
      </c>
      <c r="AJ55">
        <f>SUM(Post[[#This Row],[47]:[75]])</f>
        <v>0</v>
      </c>
    </row>
    <row r="56" spans="1:36" x14ac:dyDescent="0.2">
      <c r="A56" t="s">
        <v>5</v>
      </c>
      <c r="B56" t="s">
        <v>6</v>
      </c>
      <c r="C56">
        <v>10090</v>
      </c>
      <c r="D56" t="s">
        <v>7</v>
      </c>
      <c r="E56" t="s">
        <v>14</v>
      </c>
      <c r="F56" t="s">
        <v>20</v>
      </c>
      <c r="AJ56">
        <f>SUM(Post[[#This Row],[47]:[75]])</f>
        <v>0</v>
      </c>
    </row>
    <row r="57" spans="1:36" x14ac:dyDescent="0.2">
      <c r="A57" t="s">
        <v>5</v>
      </c>
      <c r="B57" t="s">
        <v>6</v>
      </c>
      <c r="C57">
        <v>10777</v>
      </c>
      <c r="D57" t="s">
        <v>7</v>
      </c>
      <c r="E57" t="s">
        <v>14</v>
      </c>
      <c r="F57" t="s">
        <v>21</v>
      </c>
      <c r="AA57">
        <v>1</v>
      </c>
      <c r="AE57">
        <v>1</v>
      </c>
      <c r="AJ57">
        <f>SUM(Post[[#This Row],[47]:[75]])</f>
        <v>2</v>
      </c>
    </row>
    <row r="58" spans="1:36" x14ac:dyDescent="0.2">
      <c r="A58" t="s">
        <v>5</v>
      </c>
      <c r="B58" t="s">
        <v>6</v>
      </c>
      <c r="C58">
        <v>10790</v>
      </c>
      <c r="D58" t="s">
        <v>7</v>
      </c>
      <c r="E58" t="s">
        <v>14</v>
      </c>
      <c r="F58" t="s">
        <v>28</v>
      </c>
      <c r="H58">
        <v>1</v>
      </c>
      <c r="AJ58">
        <f>SUM(Post[[#This Row],[47]:[75]])</f>
        <v>1</v>
      </c>
    </row>
    <row r="59" spans="1:36" x14ac:dyDescent="0.2">
      <c r="A59" t="s">
        <v>5</v>
      </c>
      <c r="B59" t="s">
        <v>6</v>
      </c>
      <c r="C59">
        <v>10790</v>
      </c>
      <c r="D59" t="s">
        <v>7</v>
      </c>
      <c r="E59" t="s">
        <v>14</v>
      </c>
      <c r="F59" t="s">
        <v>19</v>
      </c>
      <c r="AJ59">
        <f>SUM(Post[[#This Row],[47]:[75]])</f>
        <v>0</v>
      </c>
    </row>
    <row r="60" spans="1:36" x14ac:dyDescent="0.2">
      <c r="A60" t="s">
        <v>5</v>
      </c>
      <c r="B60" t="s">
        <v>6</v>
      </c>
      <c r="C60">
        <v>10983</v>
      </c>
      <c r="D60" t="s">
        <v>7</v>
      </c>
      <c r="E60" t="s">
        <v>14</v>
      </c>
      <c r="F60" t="s">
        <v>31</v>
      </c>
      <c r="H60">
        <v>1</v>
      </c>
      <c r="N60">
        <v>1</v>
      </c>
      <c r="S60">
        <v>1</v>
      </c>
      <c r="V60">
        <v>1</v>
      </c>
      <c r="AA60">
        <v>1</v>
      </c>
      <c r="AE60">
        <v>1</v>
      </c>
      <c r="AJ60">
        <f>SUM(Post[[#This Row],[47]:[75]])</f>
        <v>6</v>
      </c>
    </row>
    <row r="61" spans="1:36" x14ac:dyDescent="0.2">
      <c r="A61" t="s">
        <v>5</v>
      </c>
      <c r="B61" t="s">
        <v>6</v>
      </c>
      <c r="C61">
        <v>12497</v>
      </c>
      <c r="D61" t="s">
        <v>7</v>
      </c>
      <c r="E61" t="s">
        <v>14</v>
      </c>
      <c r="F61" t="s">
        <v>19</v>
      </c>
      <c r="L61">
        <v>1</v>
      </c>
      <c r="N61">
        <v>1</v>
      </c>
      <c r="S61">
        <v>1</v>
      </c>
      <c r="V61">
        <v>1</v>
      </c>
      <c r="AA61">
        <v>1</v>
      </c>
      <c r="AE61">
        <v>1</v>
      </c>
      <c r="AJ61">
        <f>SUM(Post[[#This Row],[47]:[75]])</f>
        <v>6</v>
      </c>
    </row>
    <row r="62" spans="1:36" x14ac:dyDescent="0.2">
      <c r="A62" t="s">
        <v>5</v>
      </c>
      <c r="B62" t="s">
        <v>6</v>
      </c>
      <c r="C62">
        <v>12497</v>
      </c>
      <c r="D62" t="s">
        <v>7</v>
      </c>
      <c r="E62" t="s">
        <v>14</v>
      </c>
      <c r="F62" t="s">
        <v>21</v>
      </c>
      <c r="H62">
        <v>1</v>
      </c>
      <c r="K62">
        <v>1</v>
      </c>
      <c r="AJ62">
        <f>SUM(Post[[#This Row],[47]:[75]])</f>
        <v>2</v>
      </c>
    </row>
    <row r="63" spans="1:36" x14ac:dyDescent="0.2">
      <c r="A63" t="s">
        <v>5</v>
      </c>
      <c r="B63" t="s">
        <v>6</v>
      </c>
      <c r="C63">
        <v>13345</v>
      </c>
      <c r="D63" t="s">
        <v>7</v>
      </c>
      <c r="E63" t="s">
        <v>14</v>
      </c>
      <c r="F63" t="s">
        <v>19</v>
      </c>
      <c r="AJ63">
        <f>SUM(Post[[#This Row],[47]:[75]])</f>
        <v>0</v>
      </c>
    </row>
    <row r="64" spans="1:36" x14ac:dyDescent="0.2">
      <c r="A64" t="s">
        <v>5</v>
      </c>
      <c r="B64" t="s">
        <v>6</v>
      </c>
      <c r="C64">
        <v>13345</v>
      </c>
      <c r="D64" t="s">
        <v>7</v>
      </c>
      <c r="E64" t="s">
        <v>14</v>
      </c>
      <c r="F64" t="s">
        <v>21</v>
      </c>
      <c r="AJ64">
        <f>SUM(Post[[#This Row],[47]:[75]])</f>
        <v>0</v>
      </c>
    </row>
    <row r="65" spans="1:36" x14ac:dyDescent="0.2">
      <c r="A65" t="s">
        <v>5</v>
      </c>
      <c r="B65" t="s">
        <v>6</v>
      </c>
      <c r="C65">
        <v>13672</v>
      </c>
      <c r="D65" t="s">
        <v>7</v>
      </c>
      <c r="E65" t="s">
        <v>32</v>
      </c>
      <c r="F65" t="s">
        <v>33</v>
      </c>
      <c r="N65">
        <v>1</v>
      </c>
      <c r="AJ65">
        <f>SUM(Post[[#This Row],[47]:[75]])</f>
        <v>1</v>
      </c>
    </row>
    <row r="66" spans="1:36" x14ac:dyDescent="0.2">
      <c r="A66" t="s">
        <v>5</v>
      </c>
      <c r="B66" t="s">
        <v>6</v>
      </c>
      <c r="C66">
        <v>13672</v>
      </c>
      <c r="D66" t="s">
        <v>7</v>
      </c>
      <c r="E66" t="s">
        <v>17</v>
      </c>
      <c r="F66" t="s">
        <v>18</v>
      </c>
      <c r="Q66">
        <v>1</v>
      </c>
      <c r="Y66">
        <v>1</v>
      </c>
      <c r="AD66">
        <v>1</v>
      </c>
      <c r="AJ66">
        <f>SUM(Post[[#This Row],[47]:[75]])</f>
        <v>3</v>
      </c>
    </row>
    <row r="67" spans="1:36" x14ac:dyDescent="0.2">
      <c r="A67" t="s">
        <v>5</v>
      </c>
      <c r="B67" t="s">
        <v>6</v>
      </c>
      <c r="C67">
        <v>13672</v>
      </c>
      <c r="D67" t="s">
        <v>7</v>
      </c>
      <c r="E67" t="s">
        <v>14</v>
      </c>
      <c r="F67" t="s">
        <v>28</v>
      </c>
      <c r="J67">
        <v>2</v>
      </c>
      <c r="O67">
        <v>2</v>
      </c>
      <c r="S67">
        <v>1</v>
      </c>
      <c r="W67">
        <v>1</v>
      </c>
      <c r="AB67">
        <v>1</v>
      </c>
      <c r="AJ67">
        <f>SUM(Post[[#This Row],[47]:[75]])</f>
        <v>7</v>
      </c>
    </row>
    <row r="68" spans="1:36" x14ac:dyDescent="0.2">
      <c r="A68" t="s">
        <v>5</v>
      </c>
      <c r="B68" t="s">
        <v>6</v>
      </c>
      <c r="C68">
        <v>14521</v>
      </c>
      <c r="D68" t="s">
        <v>7</v>
      </c>
      <c r="E68" t="s">
        <v>14</v>
      </c>
      <c r="F68" t="s">
        <v>20</v>
      </c>
      <c r="AJ68">
        <f>SUM(Post[[#This Row],[47]:[75]])</f>
        <v>0</v>
      </c>
    </row>
    <row r="69" spans="1:36" x14ac:dyDescent="0.2">
      <c r="A69" t="s">
        <v>5</v>
      </c>
      <c r="B69" t="s">
        <v>6</v>
      </c>
      <c r="C69">
        <v>14526</v>
      </c>
      <c r="D69" t="s">
        <v>7</v>
      </c>
      <c r="E69" t="s">
        <v>8</v>
      </c>
      <c r="F69" t="s">
        <v>23</v>
      </c>
      <c r="AJ69">
        <f>SUM(Post[[#This Row],[47]:[75]])</f>
        <v>0</v>
      </c>
    </row>
    <row r="70" spans="1:36" x14ac:dyDescent="0.2">
      <c r="A70" t="s">
        <v>5</v>
      </c>
      <c r="B70" t="s">
        <v>6</v>
      </c>
      <c r="C70">
        <v>14526</v>
      </c>
      <c r="D70" t="s">
        <v>7</v>
      </c>
      <c r="E70" t="s">
        <v>8</v>
      </c>
      <c r="F70" t="s">
        <v>29</v>
      </c>
      <c r="G70">
        <v>1</v>
      </c>
      <c r="K70">
        <v>1</v>
      </c>
      <c r="P70">
        <v>1</v>
      </c>
      <c r="T70">
        <v>1</v>
      </c>
      <c r="X70">
        <v>1</v>
      </c>
      <c r="AB70">
        <v>1</v>
      </c>
      <c r="AF70">
        <v>1</v>
      </c>
      <c r="AJ70">
        <f>SUM(Post[[#This Row],[47]:[75]])</f>
        <v>7</v>
      </c>
    </row>
    <row r="71" spans="1:36" x14ac:dyDescent="0.2">
      <c r="A71" t="s">
        <v>5</v>
      </c>
      <c r="B71" t="s">
        <v>6</v>
      </c>
      <c r="C71">
        <v>14715</v>
      </c>
      <c r="D71" t="s">
        <v>7</v>
      </c>
      <c r="E71" t="s">
        <v>14</v>
      </c>
      <c r="F71" t="s">
        <v>19</v>
      </c>
      <c r="I71">
        <v>1</v>
      </c>
      <c r="O71">
        <v>1</v>
      </c>
      <c r="AJ71">
        <f>SUM(Post[[#This Row],[47]:[75]])</f>
        <v>2</v>
      </c>
    </row>
    <row r="72" spans="1:36" x14ac:dyDescent="0.2">
      <c r="A72" t="s">
        <v>5</v>
      </c>
      <c r="B72" t="s">
        <v>6</v>
      </c>
      <c r="C72">
        <v>15286</v>
      </c>
      <c r="D72" t="s">
        <v>7</v>
      </c>
      <c r="E72" t="s">
        <v>10</v>
      </c>
      <c r="F72" t="s">
        <v>16</v>
      </c>
      <c r="AJ72">
        <f>SUM(Post[[#This Row],[47]:[75]])</f>
        <v>0</v>
      </c>
    </row>
    <row r="73" spans="1:36" x14ac:dyDescent="0.2">
      <c r="A73" t="s">
        <v>5</v>
      </c>
      <c r="B73" t="s">
        <v>6</v>
      </c>
      <c r="C73">
        <v>15286</v>
      </c>
      <c r="D73" t="s">
        <v>7</v>
      </c>
      <c r="E73" t="s">
        <v>10</v>
      </c>
      <c r="F73" t="s">
        <v>11</v>
      </c>
      <c r="H73">
        <v>1</v>
      </c>
      <c r="AH73">
        <v>1</v>
      </c>
      <c r="AJ73">
        <f>SUM(Post[[#This Row],[47]:[75]])</f>
        <v>2</v>
      </c>
    </row>
    <row r="74" spans="1:36" x14ac:dyDescent="0.2">
      <c r="A74" t="s">
        <v>5</v>
      </c>
      <c r="B74" t="s">
        <v>6</v>
      </c>
      <c r="C74">
        <v>17464</v>
      </c>
      <c r="D74" t="s">
        <v>7</v>
      </c>
      <c r="E74" t="s">
        <v>14</v>
      </c>
      <c r="F74" t="s">
        <v>21</v>
      </c>
      <c r="AE74">
        <v>1</v>
      </c>
      <c r="AJ74">
        <f>SUM(Post[[#This Row],[47]:[75]])</f>
        <v>1</v>
      </c>
    </row>
    <row r="75" spans="1:36" x14ac:dyDescent="0.2">
      <c r="A75" t="s">
        <v>5</v>
      </c>
      <c r="B75" t="s">
        <v>6</v>
      </c>
      <c r="C75">
        <v>20772</v>
      </c>
      <c r="D75" t="s">
        <v>7</v>
      </c>
      <c r="E75" t="s">
        <v>12</v>
      </c>
      <c r="F75" t="s">
        <v>13</v>
      </c>
      <c r="AJ75">
        <f>SUM(Post[[#This Row],[47]:[75]])</f>
        <v>0</v>
      </c>
    </row>
    <row r="76" spans="1:36" x14ac:dyDescent="0.2">
      <c r="A76" t="s">
        <v>5</v>
      </c>
      <c r="B76" t="s">
        <v>6</v>
      </c>
      <c r="C76">
        <v>29130</v>
      </c>
      <c r="D76" t="s">
        <v>7</v>
      </c>
      <c r="E76" t="s">
        <v>8</v>
      </c>
      <c r="F76" t="s">
        <v>9</v>
      </c>
      <c r="Q76">
        <v>1</v>
      </c>
      <c r="W76">
        <v>1</v>
      </c>
      <c r="AB76">
        <v>1</v>
      </c>
      <c r="AJ76">
        <f>SUM(Post[[#This Row],[47]:[75]])</f>
        <v>3</v>
      </c>
    </row>
    <row r="77" spans="1:36" x14ac:dyDescent="0.2">
      <c r="A77" t="s">
        <v>5</v>
      </c>
      <c r="B77" t="s">
        <v>6</v>
      </c>
      <c r="C77">
        <v>31836</v>
      </c>
      <c r="D77" t="s">
        <v>7</v>
      </c>
      <c r="E77" t="s">
        <v>12</v>
      </c>
      <c r="F77" t="s">
        <v>13</v>
      </c>
      <c r="J77">
        <v>1</v>
      </c>
      <c r="AJ77">
        <f>SUM(Post[[#This Row],[47]:[75]])</f>
        <v>1</v>
      </c>
    </row>
    <row r="78" spans="1:36" x14ac:dyDescent="0.2">
      <c r="A78" t="s">
        <v>5</v>
      </c>
      <c r="B78" t="s">
        <v>6</v>
      </c>
      <c r="C78">
        <v>595</v>
      </c>
      <c r="D78" t="s">
        <v>22</v>
      </c>
      <c r="E78" t="s">
        <v>14</v>
      </c>
      <c r="F78" t="s">
        <v>28</v>
      </c>
      <c r="AJ78">
        <f>SUM(Post[[#This Row],[47]:[75]])</f>
        <v>0</v>
      </c>
    </row>
    <row r="79" spans="1:36" x14ac:dyDescent="0.2">
      <c r="A79" t="s">
        <v>5</v>
      </c>
      <c r="B79" t="s">
        <v>6</v>
      </c>
      <c r="C79">
        <v>1913</v>
      </c>
      <c r="D79" t="s">
        <v>22</v>
      </c>
      <c r="E79" t="s">
        <v>8</v>
      </c>
      <c r="F79" t="s">
        <v>9</v>
      </c>
      <c r="J79">
        <v>1</v>
      </c>
      <c r="N79">
        <v>2</v>
      </c>
      <c r="AD79">
        <v>3</v>
      </c>
      <c r="AJ79">
        <f>SUM(Post[[#This Row],[47]:[75]])</f>
        <v>6</v>
      </c>
    </row>
    <row r="80" spans="1:36" x14ac:dyDescent="0.2">
      <c r="A80" t="s">
        <v>5</v>
      </c>
      <c r="B80" t="s">
        <v>6</v>
      </c>
      <c r="C80">
        <v>2034</v>
      </c>
      <c r="D80" t="s">
        <v>22</v>
      </c>
      <c r="E80" t="s">
        <v>14</v>
      </c>
      <c r="F80" t="s">
        <v>19</v>
      </c>
      <c r="P80">
        <v>1</v>
      </c>
      <c r="AC80">
        <v>1</v>
      </c>
      <c r="AJ80">
        <f>SUM(Post[[#This Row],[47]:[75]])</f>
        <v>2</v>
      </c>
    </row>
    <row r="81" spans="1:36" x14ac:dyDescent="0.2">
      <c r="A81" t="s">
        <v>5</v>
      </c>
      <c r="B81" t="s">
        <v>6</v>
      </c>
      <c r="C81">
        <v>2374</v>
      </c>
      <c r="D81" t="s">
        <v>22</v>
      </c>
      <c r="E81" t="s">
        <v>8</v>
      </c>
      <c r="F81" t="s">
        <v>9</v>
      </c>
      <c r="AJ81">
        <f>SUM(Post[[#This Row],[47]:[75]])</f>
        <v>0</v>
      </c>
    </row>
    <row r="82" spans="1:36" x14ac:dyDescent="0.2">
      <c r="A82" t="s">
        <v>5</v>
      </c>
      <c r="B82" t="s">
        <v>6</v>
      </c>
      <c r="C82">
        <v>2734</v>
      </c>
      <c r="D82" t="s">
        <v>22</v>
      </c>
      <c r="E82" t="s">
        <v>14</v>
      </c>
      <c r="F82" t="s">
        <v>20</v>
      </c>
      <c r="AJ82">
        <f>SUM(Post[[#This Row],[47]:[75]])</f>
        <v>0</v>
      </c>
    </row>
    <row r="83" spans="1:36" x14ac:dyDescent="0.2">
      <c r="A83" t="s">
        <v>5</v>
      </c>
      <c r="B83" t="s">
        <v>6</v>
      </c>
      <c r="C83">
        <v>3042</v>
      </c>
      <c r="D83" t="s">
        <v>22</v>
      </c>
      <c r="E83" t="s">
        <v>8</v>
      </c>
      <c r="F83" t="s">
        <v>34</v>
      </c>
      <c r="AJ83">
        <f>SUM(Post[[#This Row],[47]:[75]])</f>
        <v>0</v>
      </c>
    </row>
    <row r="84" spans="1:36" x14ac:dyDescent="0.2">
      <c r="A84" t="s">
        <v>5</v>
      </c>
      <c r="B84" t="s">
        <v>6</v>
      </c>
      <c r="C84">
        <v>3042</v>
      </c>
      <c r="D84" t="s">
        <v>22</v>
      </c>
      <c r="E84" t="s">
        <v>8</v>
      </c>
      <c r="F84" t="s">
        <v>29</v>
      </c>
      <c r="P84">
        <v>1</v>
      </c>
      <c r="AJ84">
        <f>SUM(Post[[#This Row],[47]:[75]])</f>
        <v>1</v>
      </c>
    </row>
    <row r="85" spans="1:36" x14ac:dyDescent="0.2">
      <c r="A85" t="s">
        <v>5</v>
      </c>
      <c r="B85" t="s">
        <v>6</v>
      </c>
      <c r="C85">
        <v>3042</v>
      </c>
      <c r="D85" t="s">
        <v>22</v>
      </c>
      <c r="E85" t="s">
        <v>24</v>
      </c>
      <c r="F85" t="s">
        <v>25</v>
      </c>
      <c r="AJ85">
        <f>SUM(Post[[#This Row],[47]:[75]])</f>
        <v>0</v>
      </c>
    </row>
    <row r="86" spans="1:36" x14ac:dyDescent="0.2">
      <c r="A86" t="s">
        <v>5</v>
      </c>
      <c r="B86" t="s">
        <v>6</v>
      </c>
      <c r="C86">
        <v>3258</v>
      </c>
      <c r="D86" t="s">
        <v>22</v>
      </c>
      <c r="E86" t="s">
        <v>8</v>
      </c>
      <c r="F86" t="s">
        <v>9</v>
      </c>
      <c r="I86">
        <v>1</v>
      </c>
      <c r="O86">
        <v>1</v>
      </c>
      <c r="S86">
        <v>1</v>
      </c>
      <c r="Y86">
        <v>1</v>
      </c>
      <c r="Z86">
        <v>1</v>
      </c>
      <c r="AD86">
        <v>1</v>
      </c>
      <c r="AJ86">
        <f>SUM(Post[[#This Row],[47]:[75]])</f>
        <v>6</v>
      </c>
    </row>
    <row r="87" spans="1:36" x14ac:dyDescent="0.2">
      <c r="A87" t="s">
        <v>5</v>
      </c>
      <c r="B87" t="s">
        <v>6</v>
      </c>
      <c r="C87">
        <v>3258</v>
      </c>
      <c r="D87" t="s">
        <v>22</v>
      </c>
      <c r="E87" t="s">
        <v>14</v>
      </c>
      <c r="F87" t="s">
        <v>20</v>
      </c>
      <c r="I87">
        <v>1</v>
      </c>
      <c r="O87">
        <v>1</v>
      </c>
      <c r="S87">
        <v>1</v>
      </c>
      <c r="Y87">
        <v>1</v>
      </c>
      <c r="Z87">
        <v>1</v>
      </c>
      <c r="AD87">
        <v>1</v>
      </c>
      <c r="AF87">
        <v>2</v>
      </c>
      <c r="AJ87">
        <f>SUM(Post[[#This Row],[47]:[75]])</f>
        <v>8</v>
      </c>
    </row>
    <row r="88" spans="1:36" x14ac:dyDescent="0.2">
      <c r="A88" t="s">
        <v>5</v>
      </c>
      <c r="B88" t="s">
        <v>6</v>
      </c>
      <c r="C88">
        <v>5217</v>
      </c>
      <c r="D88" t="s">
        <v>22</v>
      </c>
      <c r="E88" t="s">
        <v>14</v>
      </c>
      <c r="F88" t="s">
        <v>15</v>
      </c>
      <c r="AJ88">
        <f>SUM(Post[[#This Row],[47]:[75]])</f>
        <v>0</v>
      </c>
    </row>
    <row r="89" spans="1:36" x14ac:dyDescent="0.2">
      <c r="A89" t="s">
        <v>5</v>
      </c>
      <c r="B89" t="s">
        <v>6</v>
      </c>
      <c r="C89">
        <v>5217</v>
      </c>
      <c r="D89" t="s">
        <v>22</v>
      </c>
      <c r="E89" t="s">
        <v>14</v>
      </c>
      <c r="F89" t="s">
        <v>19</v>
      </c>
      <c r="I89">
        <v>1</v>
      </c>
      <c r="O89">
        <v>1</v>
      </c>
      <c r="S89">
        <v>1</v>
      </c>
      <c r="Y89">
        <v>1</v>
      </c>
      <c r="AE89">
        <v>1</v>
      </c>
      <c r="AJ89">
        <f>SUM(Post[[#This Row],[47]:[75]])</f>
        <v>5</v>
      </c>
    </row>
    <row r="90" spans="1:36" x14ac:dyDescent="0.2">
      <c r="A90" t="s">
        <v>5</v>
      </c>
      <c r="B90" t="s">
        <v>6</v>
      </c>
      <c r="C90">
        <v>5297</v>
      </c>
      <c r="D90" t="s">
        <v>22</v>
      </c>
      <c r="E90" t="s">
        <v>14</v>
      </c>
      <c r="F90" t="s">
        <v>15</v>
      </c>
      <c r="AF90">
        <v>1</v>
      </c>
      <c r="AJ90">
        <f>SUM(Post[[#This Row],[47]:[75]])</f>
        <v>1</v>
      </c>
    </row>
    <row r="91" spans="1:36" x14ac:dyDescent="0.2">
      <c r="A91" t="s">
        <v>5</v>
      </c>
      <c r="B91" t="s">
        <v>6</v>
      </c>
      <c r="C91">
        <v>5510</v>
      </c>
      <c r="D91" t="s">
        <v>22</v>
      </c>
      <c r="E91" t="s">
        <v>10</v>
      </c>
      <c r="F91" t="s">
        <v>11</v>
      </c>
      <c r="V91">
        <v>2</v>
      </c>
      <c r="AJ91">
        <f>SUM(Post[[#This Row],[47]:[75]])</f>
        <v>2</v>
      </c>
    </row>
    <row r="92" spans="1:36" x14ac:dyDescent="0.2">
      <c r="A92" t="s">
        <v>5</v>
      </c>
      <c r="B92" t="s">
        <v>6</v>
      </c>
      <c r="C92">
        <v>5920</v>
      </c>
      <c r="D92" t="s">
        <v>22</v>
      </c>
      <c r="E92" t="s">
        <v>8</v>
      </c>
      <c r="F92" t="s">
        <v>9</v>
      </c>
      <c r="I92">
        <v>2</v>
      </c>
      <c r="O92">
        <v>2</v>
      </c>
      <c r="S92">
        <v>2</v>
      </c>
      <c r="Y92">
        <v>2</v>
      </c>
      <c r="AD92">
        <v>2</v>
      </c>
      <c r="AI92">
        <v>2</v>
      </c>
      <c r="AJ92">
        <f>SUM(Post[[#This Row],[47]:[75]])</f>
        <v>12</v>
      </c>
    </row>
    <row r="93" spans="1:36" x14ac:dyDescent="0.2">
      <c r="A93" t="s">
        <v>5</v>
      </c>
      <c r="B93" t="s">
        <v>6</v>
      </c>
      <c r="C93">
        <v>6036</v>
      </c>
      <c r="D93" t="s">
        <v>22</v>
      </c>
      <c r="E93" t="s">
        <v>8</v>
      </c>
      <c r="F93" t="s">
        <v>23</v>
      </c>
      <c r="J93">
        <v>1</v>
      </c>
      <c r="O93">
        <v>1</v>
      </c>
      <c r="T93">
        <v>1</v>
      </c>
      <c r="X93">
        <v>2</v>
      </c>
      <c r="AB93">
        <v>1</v>
      </c>
      <c r="AJ93">
        <f>SUM(Post[[#This Row],[47]:[75]])</f>
        <v>6</v>
      </c>
    </row>
    <row r="94" spans="1:36" x14ac:dyDescent="0.2">
      <c r="A94" t="s">
        <v>5</v>
      </c>
      <c r="B94" t="s">
        <v>6</v>
      </c>
      <c r="C94">
        <v>6036</v>
      </c>
      <c r="D94" t="s">
        <v>22</v>
      </c>
      <c r="E94" t="s">
        <v>8</v>
      </c>
      <c r="F94" t="s">
        <v>9</v>
      </c>
      <c r="AE94">
        <v>1</v>
      </c>
      <c r="AG94">
        <v>1</v>
      </c>
      <c r="AJ94">
        <f>SUM(Post[[#This Row],[47]:[75]])</f>
        <v>2</v>
      </c>
    </row>
    <row r="95" spans="1:36" x14ac:dyDescent="0.2">
      <c r="A95" t="s">
        <v>5</v>
      </c>
      <c r="B95" t="s">
        <v>6</v>
      </c>
      <c r="C95">
        <v>6249</v>
      </c>
      <c r="D95" t="s">
        <v>22</v>
      </c>
      <c r="E95" t="s">
        <v>8</v>
      </c>
      <c r="F95" t="s">
        <v>9</v>
      </c>
      <c r="AJ95">
        <f>SUM(Post[[#This Row],[47]:[75]])</f>
        <v>0</v>
      </c>
    </row>
    <row r="96" spans="1:36" x14ac:dyDescent="0.2">
      <c r="A96" t="s">
        <v>5</v>
      </c>
      <c r="B96" t="s">
        <v>6</v>
      </c>
      <c r="C96">
        <v>6249</v>
      </c>
      <c r="D96" t="s">
        <v>22</v>
      </c>
      <c r="E96" t="s">
        <v>14</v>
      </c>
      <c r="F96" t="s">
        <v>35</v>
      </c>
      <c r="AJ96">
        <f>SUM(Post[[#This Row],[47]:[75]])</f>
        <v>0</v>
      </c>
    </row>
    <row r="97" spans="1:36" x14ac:dyDescent="0.2">
      <c r="A97" t="s">
        <v>5</v>
      </c>
      <c r="B97" t="s">
        <v>6</v>
      </c>
      <c r="C97">
        <v>6249</v>
      </c>
      <c r="D97" t="s">
        <v>22</v>
      </c>
      <c r="E97" t="s">
        <v>14</v>
      </c>
      <c r="F97" t="s">
        <v>19</v>
      </c>
      <c r="L97">
        <v>1</v>
      </c>
      <c r="Q97">
        <v>1</v>
      </c>
      <c r="AJ97">
        <f>SUM(Post[[#This Row],[47]:[75]])</f>
        <v>2</v>
      </c>
    </row>
    <row r="98" spans="1:36" x14ac:dyDescent="0.2">
      <c r="A98" t="s">
        <v>5</v>
      </c>
      <c r="B98" t="s">
        <v>6</v>
      </c>
      <c r="C98">
        <v>7021</v>
      </c>
      <c r="D98" t="s">
        <v>22</v>
      </c>
      <c r="E98" t="s">
        <v>8</v>
      </c>
      <c r="F98" t="s">
        <v>9</v>
      </c>
      <c r="H98">
        <v>1</v>
      </c>
      <c r="O98">
        <v>1</v>
      </c>
      <c r="S98">
        <v>1</v>
      </c>
      <c r="U98">
        <v>1</v>
      </c>
      <c r="Y98">
        <v>1</v>
      </c>
      <c r="AC98">
        <v>1</v>
      </c>
      <c r="AJ98">
        <f>SUM(Post[[#This Row],[47]:[75]])</f>
        <v>6</v>
      </c>
    </row>
    <row r="99" spans="1:36" x14ac:dyDescent="0.2">
      <c r="A99" t="s">
        <v>5</v>
      </c>
      <c r="B99" t="s">
        <v>6</v>
      </c>
      <c r="C99">
        <v>7351</v>
      </c>
      <c r="D99" t="s">
        <v>22</v>
      </c>
      <c r="E99" t="s">
        <v>8</v>
      </c>
      <c r="F99" t="s">
        <v>29</v>
      </c>
      <c r="AJ99">
        <f>SUM(Post[[#This Row],[47]:[75]])</f>
        <v>0</v>
      </c>
    </row>
    <row r="100" spans="1:36" x14ac:dyDescent="0.2">
      <c r="A100" t="s">
        <v>5</v>
      </c>
      <c r="B100" t="s">
        <v>6</v>
      </c>
      <c r="C100">
        <v>8000</v>
      </c>
      <c r="D100" t="s">
        <v>22</v>
      </c>
      <c r="E100" t="s">
        <v>14</v>
      </c>
      <c r="F100" t="s">
        <v>20</v>
      </c>
      <c r="Q100">
        <v>1</v>
      </c>
      <c r="AJ100">
        <f>SUM(Post[[#This Row],[47]:[75]])</f>
        <v>1</v>
      </c>
    </row>
    <row r="101" spans="1:36" x14ac:dyDescent="0.2">
      <c r="A101" t="s">
        <v>5</v>
      </c>
      <c r="B101" t="s">
        <v>6</v>
      </c>
      <c r="C101">
        <v>8100</v>
      </c>
      <c r="D101" t="s">
        <v>22</v>
      </c>
      <c r="E101" t="s">
        <v>8</v>
      </c>
      <c r="F101" t="s">
        <v>23</v>
      </c>
      <c r="AJ101">
        <f>SUM(Post[[#This Row],[47]:[75]])</f>
        <v>0</v>
      </c>
    </row>
    <row r="102" spans="1:36" x14ac:dyDescent="0.2">
      <c r="A102" t="s">
        <v>5</v>
      </c>
      <c r="B102" t="s">
        <v>6</v>
      </c>
      <c r="C102">
        <v>8497</v>
      </c>
      <c r="D102" t="s">
        <v>22</v>
      </c>
      <c r="E102" t="s">
        <v>10</v>
      </c>
      <c r="F102" t="s">
        <v>11</v>
      </c>
      <c r="AA102">
        <v>1</v>
      </c>
      <c r="AF102">
        <v>1</v>
      </c>
      <c r="AJ102">
        <f>SUM(Post[[#This Row],[47]:[75]])</f>
        <v>2</v>
      </c>
    </row>
    <row r="103" spans="1:36" x14ac:dyDescent="0.2">
      <c r="A103" t="s">
        <v>5</v>
      </c>
      <c r="B103" t="s">
        <v>6</v>
      </c>
      <c r="C103">
        <v>8497</v>
      </c>
      <c r="D103" t="s">
        <v>22</v>
      </c>
      <c r="E103" t="s">
        <v>14</v>
      </c>
      <c r="F103" t="s">
        <v>19</v>
      </c>
      <c r="U103">
        <v>1</v>
      </c>
      <c r="AJ103">
        <f>SUM(Post[[#This Row],[47]:[75]])</f>
        <v>1</v>
      </c>
    </row>
    <row r="104" spans="1:36" x14ac:dyDescent="0.2">
      <c r="A104" t="s">
        <v>5</v>
      </c>
      <c r="B104" t="s">
        <v>6</v>
      </c>
      <c r="C104">
        <v>10110</v>
      </c>
      <c r="D104" t="s">
        <v>22</v>
      </c>
      <c r="E104" t="s">
        <v>10</v>
      </c>
      <c r="F104" t="s">
        <v>11</v>
      </c>
      <c r="AJ104">
        <f>SUM(Post[[#This Row],[47]:[75]])</f>
        <v>0</v>
      </c>
    </row>
    <row r="105" spans="1:36" x14ac:dyDescent="0.2">
      <c r="A105" t="s">
        <v>5</v>
      </c>
      <c r="B105" t="s">
        <v>6</v>
      </c>
      <c r="C105">
        <v>10110</v>
      </c>
      <c r="D105" t="s">
        <v>22</v>
      </c>
      <c r="E105" t="s">
        <v>8</v>
      </c>
      <c r="F105" t="s">
        <v>23</v>
      </c>
      <c r="AJ105">
        <f>SUM(Post[[#This Row],[47]:[75]])</f>
        <v>0</v>
      </c>
    </row>
    <row r="106" spans="1:36" x14ac:dyDescent="0.2">
      <c r="A106" t="s">
        <v>5</v>
      </c>
      <c r="B106" t="s">
        <v>6</v>
      </c>
      <c r="C106">
        <v>10110</v>
      </c>
      <c r="D106" t="s">
        <v>22</v>
      </c>
      <c r="E106" t="s">
        <v>14</v>
      </c>
      <c r="F106" t="s">
        <v>21</v>
      </c>
      <c r="AJ106">
        <f>SUM(Post[[#This Row],[47]:[75]])</f>
        <v>0</v>
      </c>
    </row>
    <row r="107" spans="1:36" x14ac:dyDescent="0.2">
      <c r="A107" t="s">
        <v>5</v>
      </c>
      <c r="B107" t="s">
        <v>6</v>
      </c>
      <c r="C107">
        <v>11938</v>
      </c>
      <c r="D107" t="s">
        <v>22</v>
      </c>
      <c r="E107" t="s">
        <v>8</v>
      </c>
      <c r="F107" t="s">
        <v>29</v>
      </c>
      <c r="N107">
        <v>1</v>
      </c>
      <c r="AJ107">
        <f>SUM(Post[[#This Row],[47]:[75]])</f>
        <v>1</v>
      </c>
    </row>
    <row r="108" spans="1:36" x14ac:dyDescent="0.2">
      <c r="A108" t="s">
        <v>5</v>
      </c>
      <c r="B108" t="s">
        <v>6</v>
      </c>
      <c r="C108">
        <v>13514</v>
      </c>
      <c r="D108" t="s">
        <v>22</v>
      </c>
      <c r="E108" t="s">
        <v>14</v>
      </c>
      <c r="F108" t="s">
        <v>35</v>
      </c>
      <c r="O108">
        <v>1</v>
      </c>
      <c r="AC108">
        <v>2</v>
      </c>
      <c r="AJ108">
        <f>SUM(Post[[#This Row],[47]:[75]])</f>
        <v>3</v>
      </c>
    </row>
    <row r="109" spans="1:36" x14ac:dyDescent="0.2">
      <c r="A109" t="s">
        <v>5</v>
      </c>
      <c r="B109" t="s">
        <v>6</v>
      </c>
      <c r="C109">
        <v>13589</v>
      </c>
      <c r="D109" t="s">
        <v>22</v>
      </c>
      <c r="E109" t="s">
        <v>8</v>
      </c>
      <c r="F109" t="s">
        <v>9</v>
      </c>
      <c r="J109">
        <v>1</v>
      </c>
      <c r="O109">
        <v>1</v>
      </c>
      <c r="S109">
        <v>1</v>
      </c>
      <c r="X109">
        <v>1</v>
      </c>
      <c r="AB109">
        <v>1</v>
      </c>
      <c r="AF109">
        <v>1</v>
      </c>
      <c r="AJ109">
        <f>SUM(Post[[#This Row],[47]:[75]])</f>
        <v>6</v>
      </c>
    </row>
    <row r="110" spans="1:36" x14ac:dyDescent="0.2">
      <c r="A110" t="s">
        <v>5</v>
      </c>
      <c r="B110" t="s">
        <v>6</v>
      </c>
      <c r="C110">
        <v>14378</v>
      </c>
      <c r="D110" t="s">
        <v>22</v>
      </c>
      <c r="E110" t="s">
        <v>10</v>
      </c>
      <c r="F110" t="s">
        <v>11</v>
      </c>
      <c r="AB110">
        <v>1</v>
      </c>
      <c r="AD110">
        <v>1</v>
      </c>
      <c r="AJ110">
        <f>SUM(Post[[#This Row],[47]:[75]])</f>
        <v>2</v>
      </c>
    </row>
    <row r="111" spans="1:36" x14ac:dyDescent="0.2">
      <c r="A111" t="s">
        <v>5</v>
      </c>
      <c r="B111" t="s">
        <v>6</v>
      </c>
      <c r="C111">
        <v>15751</v>
      </c>
      <c r="D111" t="s">
        <v>22</v>
      </c>
      <c r="E111" t="s">
        <v>14</v>
      </c>
      <c r="F111" t="s">
        <v>31</v>
      </c>
      <c r="P111">
        <v>1</v>
      </c>
      <c r="AJ111">
        <f>SUM(Post[[#This Row],[47]:[75]])</f>
        <v>1</v>
      </c>
    </row>
    <row r="112" spans="1:36" x14ac:dyDescent="0.2">
      <c r="A112" t="s">
        <v>5</v>
      </c>
      <c r="B112" t="s">
        <v>6</v>
      </c>
      <c r="C112">
        <v>15921</v>
      </c>
      <c r="D112" t="s">
        <v>22</v>
      </c>
      <c r="E112" t="s">
        <v>14</v>
      </c>
      <c r="F112" t="s">
        <v>20</v>
      </c>
      <c r="AJ112">
        <f>SUM(Post[[#This Row],[47]:[75]])</f>
        <v>0</v>
      </c>
    </row>
    <row r="113" spans="1:36" x14ac:dyDescent="0.2">
      <c r="A113" t="s">
        <v>5</v>
      </c>
      <c r="B113" t="s">
        <v>6</v>
      </c>
      <c r="C113">
        <v>16032</v>
      </c>
      <c r="D113" t="s">
        <v>22</v>
      </c>
      <c r="E113" t="s">
        <v>8</v>
      </c>
      <c r="F113" t="s">
        <v>9</v>
      </c>
      <c r="V113">
        <v>1</v>
      </c>
      <c r="Z113">
        <v>1</v>
      </c>
      <c r="AD113">
        <v>3</v>
      </c>
      <c r="AI113">
        <v>1</v>
      </c>
      <c r="AJ113">
        <f>SUM(Post[[#This Row],[47]:[75]])</f>
        <v>6</v>
      </c>
    </row>
    <row r="114" spans="1:36" x14ac:dyDescent="0.2">
      <c r="A114" t="s">
        <v>5</v>
      </c>
      <c r="B114" t="s">
        <v>6</v>
      </c>
      <c r="C114">
        <v>16032</v>
      </c>
      <c r="D114" t="s">
        <v>22</v>
      </c>
      <c r="E114" t="s">
        <v>14</v>
      </c>
      <c r="F114" t="s">
        <v>20</v>
      </c>
      <c r="Q114">
        <v>2</v>
      </c>
      <c r="AJ114">
        <f>SUM(Post[[#This Row],[47]:[75]])</f>
        <v>2</v>
      </c>
    </row>
    <row r="115" spans="1:36" x14ac:dyDescent="0.2">
      <c r="A115" t="s">
        <v>5</v>
      </c>
      <c r="B115" t="s">
        <v>6</v>
      </c>
      <c r="C115">
        <v>17238</v>
      </c>
      <c r="D115" t="s">
        <v>22</v>
      </c>
      <c r="E115" t="s">
        <v>14</v>
      </c>
      <c r="F115" t="s">
        <v>35</v>
      </c>
      <c r="AJ115">
        <f>SUM(Post[[#This Row],[47]:[75]])</f>
        <v>0</v>
      </c>
    </row>
    <row r="116" spans="1:36" x14ac:dyDescent="0.2">
      <c r="A116" t="s">
        <v>5</v>
      </c>
      <c r="B116" t="s">
        <v>6</v>
      </c>
      <c r="C116">
        <v>17499</v>
      </c>
      <c r="D116" t="s">
        <v>22</v>
      </c>
      <c r="E116" t="s">
        <v>14</v>
      </c>
      <c r="F116" t="s">
        <v>19</v>
      </c>
      <c r="U116">
        <v>2</v>
      </c>
      <c r="X116">
        <v>1</v>
      </c>
      <c r="AD116">
        <v>1</v>
      </c>
      <c r="AI116">
        <v>1</v>
      </c>
      <c r="AJ116">
        <f>SUM(Post[[#This Row],[47]:[75]])</f>
        <v>5</v>
      </c>
    </row>
    <row r="117" spans="1:36" x14ac:dyDescent="0.2">
      <c r="A117" t="s">
        <v>5</v>
      </c>
      <c r="B117" t="s">
        <v>6</v>
      </c>
      <c r="C117">
        <v>18128</v>
      </c>
      <c r="D117" t="s">
        <v>22</v>
      </c>
      <c r="E117" t="s">
        <v>10</v>
      </c>
      <c r="F117" t="s">
        <v>11</v>
      </c>
      <c r="X117">
        <v>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f>SUM(Post[[#This Row],[47]:[75]])</f>
        <v>13</v>
      </c>
    </row>
    <row r="118" spans="1:36" x14ac:dyDescent="0.2">
      <c r="A118" t="s">
        <v>5</v>
      </c>
      <c r="B118" t="s">
        <v>6</v>
      </c>
      <c r="C118">
        <v>18176</v>
      </c>
      <c r="D118" t="s">
        <v>22</v>
      </c>
      <c r="E118" t="s">
        <v>14</v>
      </c>
      <c r="F118" t="s">
        <v>19</v>
      </c>
      <c r="L118">
        <v>1</v>
      </c>
      <c r="R118">
        <v>1</v>
      </c>
      <c r="V118">
        <v>1</v>
      </c>
      <c r="AB118">
        <v>1</v>
      </c>
      <c r="AF118">
        <v>1</v>
      </c>
      <c r="AJ118">
        <f>SUM(Post[[#This Row],[47]:[75]])</f>
        <v>5</v>
      </c>
    </row>
    <row r="119" spans="1:36" x14ac:dyDescent="0.2">
      <c r="A119" t="s">
        <v>5</v>
      </c>
      <c r="B119" t="s">
        <v>6</v>
      </c>
      <c r="C119">
        <v>18324</v>
      </c>
      <c r="D119" t="s">
        <v>22</v>
      </c>
      <c r="E119" t="s">
        <v>8</v>
      </c>
      <c r="F119" t="s">
        <v>9</v>
      </c>
      <c r="I119">
        <v>2</v>
      </c>
      <c r="O119">
        <v>1</v>
      </c>
      <c r="S119">
        <v>1</v>
      </c>
      <c r="X119">
        <v>1</v>
      </c>
      <c r="AD119">
        <v>1</v>
      </c>
      <c r="AI119">
        <v>1</v>
      </c>
      <c r="AJ119">
        <f>SUM(Post[[#This Row],[47]:[75]])</f>
        <v>7</v>
      </c>
    </row>
    <row r="120" spans="1:36" x14ac:dyDescent="0.2">
      <c r="A120" t="s">
        <v>5</v>
      </c>
      <c r="B120" t="s">
        <v>6</v>
      </c>
      <c r="C120">
        <v>18664</v>
      </c>
      <c r="D120" t="s">
        <v>22</v>
      </c>
      <c r="E120" t="s">
        <v>14</v>
      </c>
      <c r="F120" t="s">
        <v>20</v>
      </c>
      <c r="G120">
        <v>1</v>
      </c>
      <c r="K120">
        <v>1</v>
      </c>
      <c r="Q120">
        <v>1</v>
      </c>
      <c r="U120">
        <v>1</v>
      </c>
      <c r="Z120">
        <v>1</v>
      </c>
      <c r="AD120">
        <v>1</v>
      </c>
      <c r="AH120">
        <v>1</v>
      </c>
      <c r="AJ120">
        <f>SUM(Post[[#This Row],[47]:[75]])</f>
        <v>7</v>
      </c>
    </row>
    <row r="121" spans="1:36" x14ac:dyDescent="0.2">
      <c r="A121" t="s">
        <v>5</v>
      </c>
      <c r="B121" t="s">
        <v>6</v>
      </c>
      <c r="C121">
        <v>18682</v>
      </c>
      <c r="D121" t="s">
        <v>22</v>
      </c>
      <c r="E121" t="s">
        <v>8</v>
      </c>
      <c r="F121" t="s">
        <v>9</v>
      </c>
      <c r="G121">
        <v>1</v>
      </c>
      <c r="K121">
        <v>1</v>
      </c>
      <c r="Q121">
        <v>2</v>
      </c>
      <c r="U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f>SUM(Post[[#This Row],[47]:[75]])</f>
        <v>14</v>
      </c>
    </row>
    <row r="122" spans="1:36" x14ac:dyDescent="0.2">
      <c r="A122" t="s">
        <v>5</v>
      </c>
      <c r="B122" t="s">
        <v>6</v>
      </c>
      <c r="C122">
        <v>20458</v>
      </c>
      <c r="D122" t="s">
        <v>22</v>
      </c>
      <c r="E122" t="s">
        <v>8</v>
      </c>
      <c r="F122" t="s">
        <v>29</v>
      </c>
      <c r="R122">
        <v>1</v>
      </c>
      <c r="AE122">
        <v>1</v>
      </c>
      <c r="AJ122">
        <f>SUM(Post[[#This Row],[47]:[75]])</f>
        <v>2</v>
      </c>
    </row>
    <row r="123" spans="1:36" x14ac:dyDescent="0.2">
      <c r="A123" t="s">
        <v>5</v>
      </c>
      <c r="B123" t="s">
        <v>6</v>
      </c>
      <c r="C123">
        <v>20458</v>
      </c>
      <c r="D123" t="s">
        <v>22</v>
      </c>
      <c r="E123" t="s">
        <v>14</v>
      </c>
      <c r="F123" t="s">
        <v>20</v>
      </c>
      <c r="R123">
        <v>1</v>
      </c>
      <c r="Y123">
        <v>1</v>
      </c>
      <c r="Z123">
        <v>1</v>
      </c>
      <c r="AE123">
        <v>1</v>
      </c>
      <c r="AJ123">
        <f>SUM(Post[[#This Row],[47]:[75]])</f>
        <v>4</v>
      </c>
    </row>
    <row r="124" spans="1:36" x14ac:dyDescent="0.2">
      <c r="A124" t="s">
        <v>5</v>
      </c>
      <c r="B124" t="s">
        <v>6</v>
      </c>
      <c r="C124">
        <v>21455</v>
      </c>
      <c r="D124" t="s">
        <v>22</v>
      </c>
      <c r="E124" t="s">
        <v>10</v>
      </c>
      <c r="F124" t="s">
        <v>11</v>
      </c>
      <c r="AJ124">
        <f>SUM(Post[[#This Row],[47]:[75]])</f>
        <v>0</v>
      </c>
    </row>
    <row r="125" spans="1:36" x14ac:dyDescent="0.2">
      <c r="A125" t="s">
        <v>5</v>
      </c>
      <c r="B125" t="s">
        <v>6</v>
      </c>
      <c r="C125">
        <v>22368</v>
      </c>
      <c r="D125" t="s">
        <v>22</v>
      </c>
      <c r="E125" t="s">
        <v>10</v>
      </c>
      <c r="F125" t="s">
        <v>11</v>
      </c>
      <c r="AJ125">
        <f>SUM(Post[[#This Row],[47]:[75]])</f>
        <v>0</v>
      </c>
    </row>
    <row r="126" spans="1:36" x14ac:dyDescent="0.2">
      <c r="A126" t="s">
        <v>5</v>
      </c>
      <c r="B126" t="s">
        <v>6</v>
      </c>
      <c r="C126">
        <v>25198</v>
      </c>
      <c r="D126" t="s">
        <v>22</v>
      </c>
      <c r="E126" t="s">
        <v>10</v>
      </c>
      <c r="F126" t="s">
        <v>11</v>
      </c>
      <c r="AJ126">
        <f>SUM(Post[[#This Row],[47]:[75]])</f>
        <v>0</v>
      </c>
    </row>
    <row r="127" spans="1:36" x14ac:dyDescent="0.2">
      <c r="A127" t="s">
        <v>5</v>
      </c>
      <c r="B127" t="s">
        <v>6</v>
      </c>
      <c r="C127">
        <v>1143</v>
      </c>
      <c r="D127" t="s">
        <v>7</v>
      </c>
      <c r="E127" t="s">
        <v>14</v>
      </c>
      <c r="F127" t="s">
        <v>19</v>
      </c>
      <c r="AJ127">
        <f>SUM(Post[[#This Row],[47]:[75]])</f>
        <v>0</v>
      </c>
    </row>
    <row r="128" spans="1:36" x14ac:dyDescent="0.2">
      <c r="A128" t="s">
        <v>5</v>
      </c>
      <c r="B128" t="s">
        <v>6</v>
      </c>
      <c r="C128">
        <v>13606</v>
      </c>
      <c r="D128" t="s">
        <v>7</v>
      </c>
      <c r="E128" t="s">
        <v>14</v>
      </c>
      <c r="F128" t="s">
        <v>19</v>
      </c>
      <c r="S128">
        <v>1</v>
      </c>
      <c r="X128">
        <v>1</v>
      </c>
      <c r="AJ128">
        <f>SUM(Post[[#This Row],[47]:[75]])</f>
        <v>2</v>
      </c>
    </row>
    <row r="129" spans="1:36" x14ac:dyDescent="0.2">
      <c r="A129" t="s">
        <v>5</v>
      </c>
      <c r="B129" t="s">
        <v>6</v>
      </c>
      <c r="C129">
        <v>13606</v>
      </c>
      <c r="D129" t="s">
        <v>7</v>
      </c>
      <c r="E129" t="s">
        <v>14</v>
      </c>
      <c r="F129" t="s">
        <v>21</v>
      </c>
      <c r="K129">
        <v>1</v>
      </c>
      <c r="AI129">
        <v>1</v>
      </c>
      <c r="AJ129">
        <f>SUM(Post[[#This Row],[47]:[75]])</f>
        <v>2</v>
      </c>
    </row>
    <row r="130" spans="1:36" x14ac:dyDescent="0.2">
      <c r="A130" t="s">
        <v>5</v>
      </c>
      <c r="B130" t="s">
        <v>6</v>
      </c>
      <c r="C130">
        <v>22808</v>
      </c>
      <c r="D130" t="s">
        <v>7</v>
      </c>
      <c r="E130" t="s">
        <v>14</v>
      </c>
      <c r="F130" t="s">
        <v>20</v>
      </c>
      <c r="AE130">
        <v>1</v>
      </c>
      <c r="AJ130">
        <f>SUM(Post[[#This Row],[47]:[75]])</f>
        <v>1</v>
      </c>
    </row>
    <row r="131" spans="1:36" x14ac:dyDescent="0.2">
      <c r="A131" t="s">
        <v>5</v>
      </c>
      <c r="B131" t="s">
        <v>6</v>
      </c>
      <c r="C131">
        <v>31355</v>
      </c>
      <c r="D131" t="s">
        <v>7</v>
      </c>
      <c r="E131" t="s">
        <v>14</v>
      </c>
      <c r="F131" t="s">
        <v>20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Q131">
        <v>2</v>
      </c>
      <c r="R131">
        <v>1</v>
      </c>
      <c r="T131">
        <v>2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f>SUM(Post[[#This Row],[47]:[75]])</f>
        <v>27</v>
      </c>
    </row>
    <row r="132" spans="1:36" x14ac:dyDescent="0.2">
      <c r="A132" t="s">
        <v>5</v>
      </c>
      <c r="B132" t="s">
        <v>6</v>
      </c>
      <c r="C132">
        <v>3042</v>
      </c>
      <c r="D132" t="s">
        <v>22</v>
      </c>
      <c r="E132" t="s">
        <v>10</v>
      </c>
      <c r="F132" t="s">
        <v>36</v>
      </c>
      <c r="L132">
        <v>1</v>
      </c>
      <c r="O132">
        <v>1</v>
      </c>
      <c r="AA132">
        <v>1</v>
      </c>
      <c r="AE132">
        <v>1</v>
      </c>
      <c r="AJ132">
        <f>SUM(Post[[#This Row],[47]:[75]])</f>
        <v>4</v>
      </c>
    </row>
    <row r="133" spans="1:36" x14ac:dyDescent="0.2">
      <c r="A133" t="s">
        <v>5</v>
      </c>
      <c r="B133" t="s">
        <v>6</v>
      </c>
      <c r="C133">
        <v>3042</v>
      </c>
      <c r="D133" t="s">
        <v>22</v>
      </c>
      <c r="E133" t="s">
        <v>14</v>
      </c>
      <c r="F133" t="s">
        <v>15</v>
      </c>
      <c r="I133">
        <v>1</v>
      </c>
      <c r="AJ133">
        <f>SUM(Post[[#This Row],[47]:[75]])</f>
        <v>1</v>
      </c>
    </row>
    <row r="134" spans="1:36" x14ac:dyDescent="0.2">
      <c r="A134" t="s">
        <v>5</v>
      </c>
      <c r="B134" t="s">
        <v>6</v>
      </c>
      <c r="C134">
        <v>3042</v>
      </c>
      <c r="D134" t="s">
        <v>22</v>
      </c>
      <c r="E134" t="s">
        <v>14</v>
      </c>
      <c r="F134" t="s">
        <v>19</v>
      </c>
      <c r="AJ134">
        <f>SUM(Post[[#This Row],[47]:[75]])</f>
        <v>0</v>
      </c>
    </row>
    <row r="135" spans="1:36" x14ac:dyDescent="0.2">
      <c r="A135" t="s">
        <v>5</v>
      </c>
      <c r="B135" t="s">
        <v>6</v>
      </c>
      <c r="C135">
        <v>1892</v>
      </c>
      <c r="D135" t="s">
        <v>7</v>
      </c>
      <c r="E135" t="s">
        <v>10</v>
      </c>
      <c r="F135" t="s">
        <v>11</v>
      </c>
      <c r="V135">
        <v>1</v>
      </c>
      <c r="AJ135">
        <f>SUM(Post[[#This Row],[47]:[75]])</f>
        <v>1</v>
      </c>
    </row>
    <row r="136" spans="1:36" x14ac:dyDescent="0.2">
      <c r="A136" t="s">
        <v>5</v>
      </c>
      <c r="B136" t="s">
        <v>6</v>
      </c>
      <c r="C136">
        <v>2021</v>
      </c>
      <c r="D136" t="s">
        <v>7</v>
      </c>
      <c r="E136" t="s">
        <v>14</v>
      </c>
      <c r="F136" t="s">
        <v>19</v>
      </c>
      <c r="I136">
        <v>1</v>
      </c>
      <c r="J136">
        <v>1</v>
      </c>
      <c r="O136">
        <v>1</v>
      </c>
      <c r="T136">
        <v>1</v>
      </c>
      <c r="V136">
        <v>1</v>
      </c>
      <c r="X136">
        <v>1</v>
      </c>
      <c r="AB136">
        <v>1</v>
      </c>
      <c r="AG136">
        <v>1</v>
      </c>
      <c r="AJ136">
        <f>SUM(Post[[#This Row],[47]:[75]])</f>
        <v>8</v>
      </c>
    </row>
    <row r="137" spans="1:36" x14ac:dyDescent="0.2">
      <c r="A137" t="s">
        <v>5</v>
      </c>
      <c r="B137" t="s">
        <v>6</v>
      </c>
      <c r="C137">
        <v>4062</v>
      </c>
      <c r="D137" t="s">
        <v>7</v>
      </c>
      <c r="E137" t="s">
        <v>14</v>
      </c>
      <c r="F137" t="s">
        <v>19</v>
      </c>
      <c r="H137">
        <v>1</v>
      </c>
      <c r="K137">
        <v>1</v>
      </c>
      <c r="AJ137">
        <f>SUM(Post[[#This Row],[47]:[75]])</f>
        <v>2</v>
      </c>
    </row>
    <row r="138" spans="1:36" x14ac:dyDescent="0.2">
      <c r="A138" t="s">
        <v>5</v>
      </c>
      <c r="B138" t="s">
        <v>6</v>
      </c>
      <c r="C138">
        <v>7021</v>
      </c>
      <c r="D138" t="s">
        <v>22</v>
      </c>
      <c r="E138" t="s">
        <v>14</v>
      </c>
      <c r="F138" t="s">
        <v>20</v>
      </c>
      <c r="H138">
        <v>1</v>
      </c>
      <c r="O138">
        <v>1</v>
      </c>
      <c r="S138">
        <v>1</v>
      </c>
      <c r="AJ138">
        <f>SUM(Post[[#This Row],[47]:[75]])</f>
        <v>3</v>
      </c>
    </row>
    <row r="139" spans="1:36" x14ac:dyDescent="0.2">
      <c r="A139" t="s">
        <v>5</v>
      </c>
      <c r="B139" t="s">
        <v>6</v>
      </c>
      <c r="C139">
        <v>18682</v>
      </c>
      <c r="D139" t="s">
        <v>22</v>
      </c>
      <c r="E139" t="s">
        <v>10</v>
      </c>
      <c r="F139" t="s">
        <v>11</v>
      </c>
      <c r="S139">
        <v>1</v>
      </c>
      <c r="U139">
        <v>1</v>
      </c>
      <c r="Z139">
        <v>1</v>
      </c>
      <c r="AA139">
        <v>2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f>SUM(Post[[#This Row],[47]:[75]])</f>
        <v>12</v>
      </c>
    </row>
    <row r="140" spans="1:36" x14ac:dyDescent="0.2">
      <c r="A140" t="s">
        <v>5</v>
      </c>
      <c r="B140" t="s">
        <v>6</v>
      </c>
      <c r="C140">
        <v>18682</v>
      </c>
      <c r="D140" t="s">
        <v>22</v>
      </c>
      <c r="E140" t="s">
        <v>14</v>
      </c>
      <c r="F140" t="s">
        <v>20</v>
      </c>
      <c r="AJ140">
        <f>SUM(Post[[#This Row],[47]:[75]])</f>
        <v>0</v>
      </c>
    </row>
    <row r="141" spans="1:36" x14ac:dyDescent="0.2">
      <c r="A141" t="s">
        <v>5</v>
      </c>
      <c r="B141" t="s">
        <v>6</v>
      </c>
      <c r="C141">
        <v>9111</v>
      </c>
      <c r="D141" t="s">
        <v>7</v>
      </c>
      <c r="E141" t="s">
        <v>14</v>
      </c>
      <c r="F141" t="s">
        <v>21</v>
      </c>
      <c r="AJ141">
        <f>SUM(Post[[#This Row],[47]:[75]])</f>
        <v>0</v>
      </c>
    </row>
    <row r="142" spans="1:36" x14ac:dyDescent="0.2">
      <c r="A142" t="s">
        <v>5</v>
      </c>
      <c r="B142" t="s">
        <v>6</v>
      </c>
      <c r="C142">
        <v>29130</v>
      </c>
      <c r="D142" t="s">
        <v>7</v>
      </c>
      <c r="E142" t="s">
        <v>10</v>
      </c>
      <c r="F142" t="s">
        <v>11</v>
      </c>
      <c r="Q142">
        <v>1</v>
      </c>
      <c r="W142">
        <v>1</v>
      </c>
      <c r="AB142">
        <v>1</v>
      </c>
      <c r="AJ142">
        <f>SUM(Post[[#This Row],[47]:[75]])</f>
        <v>3</v>
      </c>
    </row>
    <row r="143" spans="1:36" x14ac:dyDescent="0.2">
      <c r="A143" t="s">
        <v>5</v>
      </c>
      <c r="B143" t="s">
        <v>6</v>
      </c>
      <c r="C143">
        <v>9110</v>
      </c>
      <c r="D143" t="s">
        <v>22</v>
      </c>
      <c r="E143" t="s">
        <v>10</v>
      </c>
      <c r="F143" t="s">
        <v>11</v>
      </c>
      <c r="AJ143">
        <f>SUM(Post[[#This Row],[47]:[75]])</f>
        <v>0</v>
      </c>
    </row>
    <row r="144" spans="1:36" x14ac:dyDescent="0.2">
      <c r="A144" t="s">
        <v>5</v>
      </c>
      <c r="B144" t="s">
        <v>6</v>
      </c>
      <c r="C144">
        <v>9110</v>
      </c>
      <c r="D144" t="s">
        <v>22</v>
      </c>
      <c r="E144" t="s">
        <v>14</v>
      </c>
      <c r="F144" t="s">
        <v>35</v>
      </c>
      <c r="AJ144">
        <f>SUM(Post[[#This Row],[47]:[75]])</f>
        <v>0</v>
      </c>
    </row>
    <row r="145" spans="1:36" x14ac:dyDescent="0.2">
      <c r="A145" t="s">
        <v>5</v>
      </c>
      <c r="B145" t="s">
        <v>6</v>
      </c>
      <c r="C145">
        <v>9110</v>
      </c>
      <c r="D145" t="s">
        <v>22</v>
      </c>
      <c r="E145" t="s">
        <v>14</v>
      </c>
      <c r="F145" t="s">
        <v>19</v>
      </c>
      <c r="AJ145">
        <f>SUM(Post[[#This Row],[47]:[75]])</f>
        <v>0</v>
      </c>
    </row>
    <row r="146" spans="1:36" x14ac:dyDescent="0.2">
      <c r="A146" t="s">
        <v>5</v>
      </c>
      <c r="B146" t="s">
        <v>6</v>
      </c>
      <c r="C146">
        <v>9110</v>
      </c>
      <c r="D146" t="s">
        <v>22</v>
      </c>
      <c r="E146" t="s">
        <v>14</v>
      </c>
      <c r="F146" t="s">
        <v>20</v>
      </c>
      <c r="AJ146">
        <f>SUM(Post[[#This Row],[47]:[75]])</f>
        <v>0</v>
      </c>
    </row>
    <row r="147" spans="1:36" x14ac:dyDescent="0.2">
      <c r="A147" t="s">
        <v>5</v>
      </c>
      <c r="B147" t="s">
        <v>6</v>
      </c>
      <c r="C147">
        <v>4277</v>
      </c>
      <c r="D147" t="s">
        <v>7</v>
      </c>
      <c r="E147" t="s">
        <v>8</v>
      </c>
      <c r="F147" t="s">
        <v>23</v>
      </c>
      <c r="AJ147">
        <f>SUM(Post[[#This Row],[47]:[75]])</f>
        <v>0</v>
      </c>
    </row>
    <row r="148" spans="1:36" x14ac:dyDescent="0.2">
      <c r="A148" t="s">
        <v>5</v>
      </c>
      <c r="B148" t="s">
        <v>6</v>
      </c>
      <c r="C148">
        <v>7080</v>
      </c>
      <c r="D148" t="s">
        <v>7</v>
      </c>
      <c r="E148" t="s">
        <v>8</v>
      </c>
      <c r="F148" t="s">
        <v>23</v>
      </c>
      <c r="K148">
        <v>1</v>
      </c>
      <c r="Y148">
        <v>1</v>
      </c>
      <c r="AJ148">
        <f>SUM(Post[[#This Row],[47]:[75]])</f>
        <v>2</v>
      </c>
    </row>
    <row r="149" spans="1:36" x14ac:dyDescent="0.2">
      <c r="A149" t="s">
        <v>5</v>
      </c>
      <c r="B149" t="s">
        <v>6</v>
      </c>
      <c r="C149">
        <v>8684</v>
      </c>
      <c r="D149" t="s">
        <v>7</v>
      </c>
      <c r="E149" t="s">
        <v>8</v>
      </c>
      <c r="F149" t="s">
        <v>23</v>
      </c>
      <c r="AJ149">
        <f>SUM(Post[[#This Row],[47]:[75]])</f>
        <v>0</v>
      </c>
    </row>
    <row r="150" spans="1:36" x14ac:dyDescent="0.2">
      <c r="A150" t="s">
        <v>5</v>
      </c>
      <c r="B150" t="s">
        <v>6</v>
      </c>
      <c r="C150">
        <v>20630</v>
      </c>
      <c r="D150" t="s">
        <v>7</v>
      </c>
      <c r="E150" t="s">
        <v>8</v>
      </c>
      <c r="F150" t="s">
        <v>29</v>
      </c>
      <c r="G150">
        <v>1</v>
      </c>
      <c r="Q150">
        <v>1</v>
      </c>
      <c r="Y150">
        <v>1</v>
      </c>
      <c r="AD150">
        <v>1</v>
      </c>
      <c r="AH150">
        <v>1</v>
      </c>
      <c r="AJ150">
        <f>SUM(Post[[#This Row],[47]:[75]])</f>
        <v>5</v>
      </c>
    </row>
    <row r="151" spans="1:36" x14ac:dyDescent="0.2">
      <c r="A151" t="s">
        <v>5</v>
      </c>
      <c r="B151" t="s">
        <v>6</v>
      </c>
      <c r="C151">
        <v>535</v>
      </c>
      <c r="D151" t="s">
        <v>22</v>
      </c>
      <c r="E151" t="s">
        <v>8</v>
      </c>
      <c r="F151" t="s">
        <v>9</v>
      </c>
      <c r="AC151">
        <v>1</v>
      </c>
      <c r="AG151">
        <v>1</v>
      </c>
      <c r="AJ151">
        <f>SUM(Post[[#This Row],[47]:[75]])</f>
        <v>2</v>
      </c>
    </row>
    <row r="152" spans="1:36" x14ac:dyDescent="0.2">
      <c r="A152" t="s">
        <v>5</v>
      </c>
      <c r="B152" t="s">
        <v>6</v>
      </c>
      <c r="C152">
        <v>535</v>
      </c>
      <c r="D152" t="s">
        <v>22</v>
      </c>
      <c r="E152" t="s">
        <v>8</v>
      </c>
      <c r="F152" t="s">
        <v>29</v>
      </c>
      <c r="J152">
        <v>1</v>
      </c>
      <c r="V152">
        <v>1</v>
      </c>
      <c r="AB152">
        <v>1</v>
      </c>
      <c r="AJ152">
        <f>SUM(Post[[#This Row],[47]:[75]])</f>
        <v>3</v>
      </c>
    </row>
    <row r="153" spans="1:36" x14ac:dyDescent="0.2">
      <c r="A153" t="s">
        <v>5</v>
      </c>
      <c r="B153" t="s">
        <v>6</v>
      </c>
      <c r="C153">
        <v>976</v>
      </c>
      <c r="D153" t="s">
        <v>22</v>
      </c>
      <c r="E153" t="s">
        <v>8</v>
      </c>
      <c r="F153" t="s">
        <v>23</v>
      </c>
      <c r="J153">
        <v>1</v>
      </c>
      <c r="AJ153">
        <f>SUM(Post[[#This Row],[47]:[75]])</f>
        <v>1</v>
      </c>
    </row>
    <row r="154" spans="1:36" x14ac:dyDescent="0.2">
      <c r="A154" t="s">
        <v>5</v>
      </c>
      <c r="B154" t="s">
        <v>6</v>
      </c>
      <c r="C154">
        <v>976</v>
      </c>
      <c r="D154" t="s">
        <v>22</v>
      </c>
      <c r="E154" t="s">
        <v>8</v>
      </c>
      <c r="F154" t="s">
        <v>9</v>
      </c>
      <c r="AJ154">
        <f>SUM(Post[[#This Row],[47]:[75]])</f>
        <v>0</v>
      </c>
    </row>
    <row r="155" spans="1:36" x14ac:dyDescent="0.2">
      <c r="A155" t="s">
        <v>5</v>
      </c>
      <c r="B155" t="s">
        <v>6</v>
      </c>
      <c r="C155">
        <v>976</v>
      </c>
      <c r="D155" t="s">
        <v>22</v>
      </c>
      <c r="E155" t="s">
        <v>24</v>
      </c>
      <c r="F155" t="s">
        <v>25</v>
      </c>
      <c r="P155">
        <v>2</v>
      </c>
      <c r="U155">
        <v>3</v>
      </c>
      <c r="AJ155">
        <f>SUM(Post[[#This Row],[47]:[75]])</f>
        <v>5</v>
      </c>
    </row>
    <row r="156" spans="1:36" x14ac:dyDescent="0.2">
      <c r="A156" t="s">
        <v>5</v>
      </c>
      <c r="B156" t="s">
        <v>6</v>
      </c>
      <c r="C156">
        <v>1548</v>
      </c>
      <c r="D156" t="s">
        <v>22</v>
      </c>
      <c r="E156" t="s">
        <v>8</v>
      </c>
      <c r="F156" t="s">
        <v>9</v>
      </c>
      <c r="R156">
        <v>1</v>
      </c>
      <c r="W156">
        <v>1</v>
      </c>
      <c r="AA156">
        <v>1</v>
      </c>
      <c r="AE156">
        <v>1</v>
      </c>
      <c r="AJ156">
        <f>SUM(Post[[#This Row],[47]:[75]])</f>
        <v>4</v>
      </c>
    </row>
    <row r="157" spans="1:36" x14ac:dyDescent="0.2">
      <c r="A157" t="s">
        <v>5</v>
      </c>
      <c r="B157" t="s">
        <v>6</v>
      </c>
      <c r="C157">
        <v>1949</v>
      </c>
      <c r="D157" t="s">
        <v>22</v>
      </c>
      <c r="E157" t="s">
        <v>8</v>
      </c>
      <c r="F157" t="s">
        <v>23</v>
      </c>
      <c r="I157">
        <v>1</v>
      </c>
      <c r="K157">
        <v>1</v>
      </c>
      <c r="P157">
        <v>1</v>
      </c>
      <c r="T157">
        <v>1</v>
      </c>
      <c r="X157">
        <v>1</v>
      </c>
      <c r="AB157">
        <v>1</v>
      </c>
      <c r="AG157">
        <v>1</v>
      </c>
      <c r="AI157">
        <v>1</v>
      </c>
      <c r="AJ157">
        <f>SUM(Post[[#This Row],[47]:[75]])</f>
        <v>8</v>
      </c>
    </row>
    <row r="158" spans="1:36" x14ac:dyDescent="0.2">
      <c r="A158" t="s">
        <v>5</v>
      </c>
      <c r="B158" t="s">
        <v>6</v>
      </c>
      <c r="C158">
        <v>2273</v>
      </c>
      <c r="D158" t="s">
        <v>22</v>
      </c>
      <c r="E158" t="s">
        <v>8</v>
      </c>
      <c r="F158" t="s">
        <v>23</v>
      </c>
      <c r="G158">
        <v>1</v>
      </c>
      <c r="V158">
        <v>1</v>
      </c>
      <c r="AJ158">
        <f>SUM(Post[[#This Row],[47]:[75]])</f>
        <v>2</v>
      </c>
    </row>
    <row r="159" spans="1:36" x14ac:dyDescent="0.2">
      <c r="A159" t="s">
        <v>5</v>
      </c>
      <c r="B159" t="s">
        <v>6</v>
      </c>
      <c r="C159">
        <v>6177</v>
      </c>
      <c r="D159" t="s">
        <v>22</v>
      </c>
      <c r="E159" t="s">
        <v>8</v>
      </c>
      <c r="F159" t="s">
        <v>9</v>
      </c>
      <c r="AA159">
        <v>1</v>
      </c>
      <c r="AJ159">
        <f>SUM(Post[[#This Row],[47]:[75]])</f>
        <v>1</v>
      </c>
    </row>
    <row r="160" spans="1:36" x14ac:dyDescent="0.2">
      <c r="A160" t="s">
        <v>5</v>
      </c>
      <c r="B160" t="s">
        <v>6</v>
      </c>
      <c r="C160">
        <v>8786</v>
      </c>
      <c r="D160" t="s">
        <v>22</v>
      </c>
      <c r="E160" t="s">
        <v>37</v>
      </c>
      <c r="F160" t="s">
        <v>38</v>
      </c>
      <c r="Q160">
        <v>1</v>
      </c>
      <c r="AD160">
        <v>1</v>
      </c>
      <c r="AJ160">
        <f>SUM(Post[[#This Row],[47]:[75]])</f>
        <v>2</v>
      </c>
    </row>
    <row r="161" spans="1:36" x14ac:dyDescent="0.2">
      <c r="A161" t="s">
        <v>5</v>
      </c>
      <c r="B161" t="s">
        <v>6</v>
      </c>
      <c r="C161">
        <v>8786</v>
      </c>
      <c r="D161" t="s">
        <v>22</v>
      </c>
      <c r="E161" t="s">
        <v>8</v>
      </c>
      <c r="F161" t="s">
        <v>23</v>
      </c>
      <c r="P161">
        <v>1</v>
      </c>
      <c r="AD161">
        <v>1</v>
      </c>
      <c r="AJ161">
        <f>SUM(Post[[#This Row],[47]:[75]])</f>
        <v>2</v>
      </c>
    </row>
    <row r="162" spans="1:36" x14ac:dyDescent="0.2">
      <c r="A162" t="s">
        <v>5</v>
      </c>
      <c r="B162" t="s">
        <v>6</v>
      </c>
      <c r="C162">
        <v>9330</v>
      </c>
      <c r="D162" t="s">
        <v>22</v>
      </c>
      <c r="E162" t="s">
        <v>8</v>
      </c>
      <c r="F162" t="s">
        <v>29</v>
      </c>
      <c r="K162">
        <v>1</v>
      </c>
      <c r="Z162">
        <v>1</v>
      </c>
      <c r="AJ162">
        <f>SUM(Post[[#This Row],[47]:[75]])</f>
        <v>2</v>
      </c>
    </row>
    <row r="163" spans="1:36" x14ac:dyDescent="0.2">
      <c r="A163" t="s">
        <v>5</v>
      </c>
      <c r="B163" t="s">
        <v>6</v>
      </c>
      <c r="C163">
        <v>9928</v>
      </c>
      <c r="D163" t="s">
        <v>22</v>
      </c>
      <c r="E163" t="s">
        <v>8</v>
      </c>
      <c r="F163" t="s">
        <v>29</v>
      </c>
      <c r="AJ163">
        <f>SUM(Post[[#This Row],[47]:[75]])</f>
        <v>0</v>
      </c>
    </row>
    <row r="164" spans="1:36" x14ac:dyDescent="0.2">
      <c r="A164" t="s">
        <v>5</v>
      </c>
      <c r="B164" t="s">
        <v>6</v>
      </c>
      <c r="C164">
        <v>9928</v>
      </c>
      <c r="D164" t="s">
        <v>22</v>
      </c>
      <c r="E164" t="s">
        <v>24</v>
      </c>
      <c r="F164" t="s">
        <v>25</v>
      </c>
      <c r="H164">
        <v>1</v>
      </c>
      <c r="N164">
        <v>1</v>
      </c>
      <c r="R164">
        <v>1</v>
      </c>
      <c r="Y164">
        <v>1</v>
      </c>
      <c r="AC164">
        <v>1</v>
      </c>
      <c r="AG164">
        <v>1</v>
      </c>
      <c r="AJ164">
        <f>SUM(Post[[#This Row],[47]:[75]])</f>
        <v>6</v>
      </c>
    </row>
    <row r="165" spans="1:36" x14ac:dyDescent="0.2">
      <c r="A165" t="s">
        <v>5</v>
      </c>
      <c r="B165" t="s">
        <v>6</v>
      </c>
      <c r="C165">
        <v>9935</v>
      </c>
      <c r="D165" t="s">
        <v>22</v>
      </c>
      <c r="E165" t="s">
        <v>8</v>
      </c>
      <c r="F165" t="s">
        <v>9</v>
      </c>
      <c r="I165">
        <v>1</v>
      </c>
      <c r="AJ165">
        <f>SUM(Post[[#This Row],[47]:[75]])</f>
        <v>1</v>
      </c>
    </row>
    <row r="166" spans="1:36" x14ac:dyDescent="0.2">
      <c r="A166" t="s">
        <v>5</v>
      </c>
      <c r="B166" t="s">
        <v>6</v>
      </c>
      <c r="C166">
        <v>11256</v>
      </c>
      <c r="D166" t="s">
        <v>22</v>
      </c>
      <c r="E166" t="s">
        <v>8</v>
      </c>
      <c r="F166" t="s">
        <v>23</v>
      </c>
      <c r="S166">
        <v>1</v>
      </c>
      <c r="AF166">
        <v>1</v>
      </c>
      <c r="AJ166">
        <f>SUM(Post[[#This Row],[47]:[75]])</f>
        <v>2</v>
      </c>
    </row>
    <row r="167" spans="1:36" x14ac:dyDescent="0.2">
      <c r="A167" t="s">
        <v>5</v>
      </c>
      <c r="B167" t="s">
        <v>6</v>
      </c>
      <c r="C167">
        <v>11312</v>
      </c>
      <c r="D167" t="s">
        <v>22</v>
      </c>
      <c r="E167" t="s">
        <v>8</v>
      </c>
      <c r="F167" t="s">
        <v>23</v>
      </c>
      <c r="G167">
        <v>1</v>
      </c>
      <c r="U167">
        <v>1</v>
      </c>
      <c r="AH167">
        <v>1</v>
      </c>
      <c r="AJ167">
        <f>SUM(Post[[#This Row],[47]:[75]])</f>
        <v>3</v>
      </c>
    </row>
    <row r="168" spans="1:36" x14ac:dyDescent="0.2">
      <c r="A168" t="s">
        <v>5</v>
      </c>
      <c r="B168" t="s">
        <v>6</v>
      </c>
      <c r="C168">
        <v>11977</v>
      </c>
      <c r="D168" t="s">
        <v>22</v>
      </c>
      <c r="E168" t="s">
        <v>8</v>
      </c>
      <c r="F168" t="s">
        <v>9</v>
      </c>
      <c r="U168">
        <v>1</v>
      </c>
      <c r="AJ168">
        <f>SUM(Post[[#This Row],[47]:[75]])</f>
        <v>1</v>
      </c>
    </row>
    <row r="169" spans="1:36" x14ac:dyDescent="0.2">
      <c r="A169" t="s">
        <v>5</v>
      </c>
      <c r="B169" t="s">
        <v>6</v>
      </c>
      <c r="C169">
        <v>12602</v>
      </c>
      <c r="D169" t="s">
        <v>22</v>
      </c>
      <c r="E169" t="s">
        <v>37</v>
      </c>
      <c r="F169" t="s">
        <v>39</v>
      </c>
      <c r="H169">
        <v>1</v>
      </c>
      <c r="K169">
        <v>2</v>
      </c>
      <c r="R169">
        <v>1</v>
      </c>
      <c r="V169">
        <v>1</v>
      </c>
      <c r="AA169">
        <v>1</v>
      </c>
      <c r="AE169">
        <v>1</v>
      </c>
      <c r="AJ169">
        <f>SUM(Post[[#This Row],[47]:[75]])</f>
        <v>7</v>
      </c>
    </row>
    <row r="170" spans="1:36" x14ac:dyDescent="0.2">
      <c r="A170" t="s">
        <v>5</v>
      </c>
      <c r="B170" t="s">
        <v>6</v>
      </c>
      <c r="C170">
        <v>12602</v>
      </c>
      <c r="D170" t="s">
        <v>22</v>
      </c>
      <c r="E170" t="s">
        <v>8</v>
      </c>
      <c r="F170" t="s">
        <v>9</v>
      </c>
      <c r="K170">
        <v>1</v>
      </c>
      <c r="R170">
        <v>1</v>
      </c>
      <c r="V170">
        <v>1</v>
      </c>
      <c r="AA170">
        <v>1</v>
      </c>
      <c r="AE170">
        <v>1</v>
      </c>
      <c r="AJ170">
        <f>SUM(Post[[#This Row],[47]:[75]])</f>
        <v>5</v>
      </c>
    </row>
    <row r="171" spans="1:36" x14ac:dyDescent="0.2">
      <c r="A171" t="s">
        <v>5</v>
      </c>
      <c r="B171" t="s">
        <v>6</v>
      </c>
      <c r="C171">
        <v>12602</v>
      </c>
      <c r="D171" t="s">
        <v>22</v>
      </c>
      <c r="E171" t="s">
        <v>26</v>
      </c>
      <c r="F171" t="s">
        <v>27</v>
      </c>
      <c r="AA171">
        <v>1</v>
      </c>
      <c r="AE171">
        <v>1</v>
      </c>
      <c r="AJ171">
        <f>SUM(Post[[#This Row],[47]:[75]])</f>
        <v>2</v>
      </c>
    </row>
    <row r="172" spans="1:36" x14ac:dyDescent="0.2">
      <c r="A172" t="s">
        <v>5</v>
      </c>
      <c r="B172" t="s">
        <v>6</v>
      </c>
      <c r="C172">
        <v>13081</v>
      </c>
      <c r="D172" t="s">
        <v>22</v>
      </c>
      <c r="E172" t="s">
        <v>8</v>
      </c>
      <c r="F172" t="s">
        <v>9</v>
      </c>
      <c r="U172">
        <v>1</v>
      </c>
      <c r="AG172">
        <v>2</v>
      </c>
      <c r="AJ172">
        <f>SUM(Post[[#This Row],[47]:[75]])</f>
        <v>3</v>
      </c>
    </row>
    <row r="173" spans="1:36" x14ac:dyDescent="0.2">
      <c r="A173" t="s">
        <v>5</v>
      </c>
      <c r="B173" t="s">
        <v>6</v>
      </c>
      <c r="C173">
        <v>15935</v>
      </c>
      <c r="D173" t="s">
        <v>22</v>
      </c>
      <c r="E173" t="s">
        <v>8</v>
      </c>
      <c r="F173" t="s">
        <v>23</v>
      </c>
      <c r="R173">
        <v>1</v>
      </c>
      <c r="AD173">
        <v>1</v>
      </c>
      <c r="AJ173">
        <f>SUM(Post[[#This Row],[47]:[75]])</f>
        <v>2</v>
      </c>
    </row>
    <row r="174" spans="1:36" x14ac:dyDescent="0.2">
      <c r="A174" t="s">
        <v>5</v>
      </c>
      <c r="B174" t="s">
        <v>6</v>
      </c>
      <c r="C174">
        <v>20214</v>
      </c>
      <c r="D174" t="s">
        <v>22</v>
      </c>
      <c r="E174" t="s">
        <v>8</v>
      </c>
      <c r="F174" t="s">
        <v>9</v>
      </c>
      <c r="Q174">
        <v>1</v>
      </c>
      <c r="AI174">
        <v>1</v>
      </c>
      <c r="AJ174">
        <f>SUM(Post[[#This Row],[47]:[75]])</f>
        <v>2</v>
      </c>
    </row>
    <row r="175" spans="1:36" x14ac:dyDescent="0.2">
      <c r="A175" t="s">
        <v>5</v>
      </c>
      <c r="B175" t="s">
        <v>6</v>
      </c>
      <c r="C175">
        <v>20559</v>
      </c>
      <c r="D175" t="s">
        <v>22</v>
      </c>
      <c r="E175" t="s">
        <v>8</v>
      </c>
      <c r="F175" t="s">
        <v>9</v>
      </c>
      <c r="I175">
        <v>1</v>
      </c>
      <c r="O175">
        <v>1</v>
      </c>
      <c r="S175">
        <v>1</v>
      </c>
      <c r="W175">
        <v>1</v>
      </c>
      <c r="AA175">
        <v>1</v>
      </c>
      <c r="AF175">
        <v>2</v>
      </c>
      <c r="AJ175">
        <f>SUM(Post[[#This Row],[47]:[75]])</f>
        <v>7</v>
      </c>
    </row>
    <row r="176" spans="1:36" x14ac:dyDescent="0.2">
      <c r="A176" t="s">
        <v>5</v>
      </c>
      <c r="B176" t="s">
        <v>6</v>
      </c>
      <c r="C176">
        <v>20923</v>
      </c>
      <c r="D176" t="s">
        <v>22</v>
      </c>
      <c r="E176" t="s">
        <v>8</v>
      </c>
      <c r="F176" t="s">
        <v>23</v>
      </c>
      <c r="O176">
        <v>1</v>
      </c>
      <c r="T176">
        <v>1</v>
      </c>
      <c r="AA176">
        <v>1</v>
      </c>
      <c r="AD176">
        <v>1</v>
      </c>
      <c r="AJ176">
        <f>SUM(Post[[#This Row],[47]:[75]])</f>
        <v>4</v>
      </c>
    </row>
    <row r="177" spans="1:36" x14ac:dyDescent="0.2">
      <c r="A177" t="s">
        <v>5</v>
      </c>
      <c r="B177" t="s">
        <v>6</v>
      </c>
      <c r="C177">
        <v>969</v>
      </c>
      <c r="D177" t="s">
        <v>7</v>
      </c>
      <c r="E177" t="s">
        <v>8</v>
      </c>
      <c r="F177" t="s">
        <v>23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f>SUM(Post[[#This Row],[47]:[75]])</f>
        <v>27</v>
      </c>
    </row>
    <row r="178" spans="1:36" x14ac:dyDescent="0.2">
      <c r="A178" t="s">
        <v>5</v>
      </c>
      <c r="B178" t="s">
        <v>6</v>
      </c>
      <c r="C178">
        <v>1143</v>
      </c>
      <c r="D178" t="s">
        <v>7</v>
      </c>
      <c r="E178" t="s">
        <v>40</v>
      </c>
      <c r="F178" t="s">
        <v>41</v>
      </c>
      <c r="AJ178">
        <f>SUM(Post[[#This Row],[47]:[75]])</f>
        <v>0</v>
      </c>
    </row>
    <row r="179" spans="1:36" x14ac:dyDescent="0.2">
      <c r="A179" t="s">
        <v>5</v>
      </c>
      <c r="B179" t="s">
        <v>6</v>
      </c>
      <c r="C179">
        <v>4296</v>
      </c>
      <c r="D179" t="s">
        <v>7</v>
      </c>
      <c r="E179" t="s">
        <v>8</v>
      </c>
      <c r="F179" t="s">
        <v>23</v>
      </c>
      <c r="H179">
        <v>1</v>
      </c>
      <c r="L179">
        <v>1</v>
      </c>
      <c r="Z179">
        <v>1</v>
      </c>
      <c r="AE179">
        <v>1</v>
      </c>
      <c r="AJ179">
        <f>SUM(Post[[#This Row],[47]:[75]])</f>
        <v>4</v>
      </c>
    </row>
    <row r="180" spans="1:36" x14ac:dyDescent="0.2">
      <c r="A180" t="s">
        <v>5</v>
      </c>
      <c r="B180" t="s">
        <v>6</v>
      </c>
      <c r="C180">
        <v>12497</v>
      </c>
      <c r="D180" t="s">
        <v>7</v>
      </c>
      <c r="E180" t="s">
        <v>8</v>
      </c>
      <c r="F180" t="s">
        <v>23</v>
      </c>
      <c r="AJ180">
        <f>SUM(Post[[#This Row],[47]:[75]])</f>
        <v>0</v>
      </c>
    </row>
    <row r="181" spans="1:36" x14ac:dyDescent="0.2">
      <c r="A181" t="s">
        <v>5</v>
      </c>
      <c r="B181" t="s">
        <v>6</v>
      </c>
      <c r="C181">
        <v>31355</v>
      </c>
      <c r="D181" t="s">
        <v>7</v>
      </c>
      <c r="E181" t="s">
        <v>8</v>
      </c>
      <c r="F181" t="s">
        <v>23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P181">
        <v>1</v>
      </c>
      <c r="Q181">
        <v>2</v>
      </c>
      <c r="R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f>SUM(Post[[#This Row],[47]:[75]])</f>
        <v>26</v>
      </c>
    </row>
    <row r="182" spans="1:36" x14ac:dyDescent="0.2">
      <c r="A182" t="s">
        <v>5</v>
      </c>
      <c r="B182" t="s">
        <v>6</v>
      </c>
      <c r="C182">
        <v>33035</v>
      </c>
      <c r="D182" t="s">
        <v>7</v>
      </c>
      <c r="E182" t="s">
        <v>24</v>
      </c>
      <c r="F182" t="s">
        <v>25</v>
      </c>
      <c r="N182">
        <v>3</v>
      </c>
      <c r="AJ182">
        <f>SUM(Post[[#This Row],[47]:[75]])</f>
        <v>3</v>
      </c>
    </row>
    <row r="183" spans="1:36" x14ac:dyDescent="0.2">
      <c r="A183" t="s">
        <v>5</v>
      </c>
      <c r="B183" t="s">
        <v>6</v>
      </c>
      <c r="C183">
        <v>650</v>
      </c>
      <c r="D183" t="s">
        <v>22</v>
      </c>
      <c r="E183" t="s">
        <v>8</v>
      </c>
      <c r="F183" t="s">
        <v>29</v>
      </c>
      <c r="O183">
        <v>1</v>
      </c>
      <c r="AD183">
        <v>1</v>
      </c>
      <c r="AJ183">
        <f>SUM(Post[[#This Row],[47]:[75]])</f>
        <v>2</v>
      </c>
    </row>
    <row r="184" spans="1:36" x14ac:dyDescent="0.2">
      <c r="A184" t="s">
        <v>5</v>
      </c>
      <c r="B184" t="s">
        <v>6</v>
      </c>
      <c r="C184">
        <v>974</v>
      </c>
      <c r="D184" t="s">
        <v>22</v>
      </c>
      <c r="E184" t="s">
        <v>24</v>
      </c>
      <c r="F184" t="s">
        <v>25</v>
      </c>
      <c r="AJ184">
        <f>SUM(Post[[#This Row],[47]:[75]])</f>
        <v>0</v>
      </c>
    </row>
    <row r="185" spans="1:36" x14ac:dyDescent="0.2">
      <c r="A185" t="s">
        <v>5</v>
      </c>
      <c r="B185" t="s">
        <v>6</v>
      </c>
      <c r="C185">
        <v>2034</v>
      </c>
      <c r="D185" t="s">
        <v>22</v>
      </c>
      <c r="E185" t="s">
        <v>8</v>
      </c>
      <c r="F185" t="s">
        <v>9</v>
      </c>
      <c r="P185">
        <v>1</v>
      </c>
      <c r="AC185">
        <v>1</v>
      </c>
      <c r="AJ185">
        <f>SUM(Post[[#This Row],[47]:[75]])</f>
        <v>2</v>
      </c>
    </row>
    <row r="186" spans="1:36" x14ac:dyDescent="0.2">
      <c r="A186" t="s">
        <v>5</v>
      </c>
      <c r="B186" t="s">
        <v>6</v>
      </c>
      <c r="C186">
        <v>2034</v>
      </c>
      <c r="D186" t="s">
        <v>22</v>
      </c>
      <c r="E186" t="s">
        <v>26</v>
      </c>
      <c r="F186" t="s">
        <v>27</v>
      </c>
      <c r="AJ186">
        <f>SUM(Post[[#This Row],[47]:[75]])</f>
        <v>0</v>
      </c>
    </row>
    <row r="187" spans="1:36" x14ac:dyDescent="0.2">
      <c r="A187" t="s">
        <v>5</v>
      </c>
      <c r="B187" t="s">
        <v>6</v>
      </c>
      <c r="C187">
        <v>5947</v>
      </c>
      <c r="D187" t="s">
        <v>22</v>
      </c>
      <c r="E187" t="s">
        <v>8</v>
      </c>
      <c r="F187" t="s">
        <v>23</v>
      </c>
      <c r="N187">
        <v>1</v>
      </c>
      <c r="AB187">
        <v>1</v>
      </c>
      <c r="AJ187">
        <f>SUM(Post[[#This Row],[47]:[75]])</f>
        <v>2</v>
      </c>
    </row>
    <row r="188" spans="1:36" x14ac:dyDescent="0.2">
      <c r="A188" t="s">
        <v>5</v>
      </c>
      <c r="B188" t="s">
        <v>6</v>
      </c>
      <c r="C188">
        <v>5947</v>
      </c>
      <c r="D188" t="s">
        <v>22</v>
      </c>
      <c r="E188" t="s">
        <v>24</v>
      </c>
      <c r="F188" t="s">
        <v>25</v>
      </c>
      <c r="AJ188">
        <f>SUM(Post[[#This Row],[47]:[75]])</f>
        <v>0</v>
      </c>
    </row>
    <row r="189" spans="1:36" x14ac:dyDescent="0.2">
      <c r="A189" t="s">
        <v>5</v>
      </c>
      <c r="B189" t="s">
        <v>6</v>
      </c>
      <c r="C189">
        <v>6373</v>
      </c>
      <c r="D189" t="s">
        <v>22</v>
      </c>
      <c r="E189" t="s">
        <v>8</v>
      </c>
      <c r="F189" t="s">
        <v>29</v>
      </c>
      <c r="H189">
        <v>1</v>
      </c>
      <c r="W189">
        <v>1</v>
      </c>
      <c r="AJ189">
        <f>SUM(Post[[#This Row],[47]:[75]])</f>
        <v>2</v>
      </c>
    </row>
    <row r="190" spans="1:36" x14ac:dyDescent="0.2">
      <c r="A190" t="s">
        <v>5</v>
      </c>
      <c r="B190" t="s">
        <v>6</v>
      </c>
      <c r="C190">
        <v>9656</v>
      </c>
      <c r="D190" t="s">
        <v>22</v>
      </c>
      <c r="E190" t="s">
        <v>8</v>
      </c>
      <c r="F190" t="s">
        <v>9</v>
      </c>
      <c r="T190">
        <v>1</v>
      </c>
      <c r="AI190">
        <v>1</v>
      </c>
      <c r="AJ190">
        <f>SUM(Post[[#This Row],[47]:[75]])</f>
        <v>2</v>
      </c>
    </row>
    <row r="191" spans="1:36" x14ac:dyDescent="0.2">
      <c r="A191" t="s">
        <v>5</v>
      </c>
      <c r="B191" t="s">
        <v>6</v>
      </c>
      <c r="C191">
        <v>12144</v>
      </c>
      <c r="D191" t="s">
        <v>22</v>
      </c>
      <c r="E191" t="s">
        <v>8</v>
      </c>
      <c r="F191" t="s">
        <v>23</v>
      </c>
      <c r="H191">
        <v>1</v>
      </c>
      <c r="L191">
        <v>1</v>
      </c>
      <c r="R191">
        <v>1</v>
      </c>
      <c r="W191">
        <v>1</v>
      </c>
      <c r="AC191">
        <v>1</v>
      </c>
      <c r="AI191">
        <v>1</v>
      </c>
      <c r="AJ191">
        <f>SUM(Post[[#This Row],[47]:[75]])</f>
        <v>6</v>
      </c>
    </row>
    <row r="192" spans="1:36" x14ac:dyDescent="0.2">
      <c r="A192" t="s">
        <v>5</v>
      </c>
      <c r="B192" t="s">
        <v>6</v>
      </c>
      <c r="C192">
        <v>13514</v>
      </c>
      <c r="D192" t="s">
        <v>22</v>
      </c>
      <c r="E192" t="s">
        <v>8</v>
      </c>
      <c r="F192" t="s">
        <v>9</v>
      </c>
      <c r="AJ192">
        <f>SUM(Post[[#This Row],[47]:[75]])</f>
        <v>0</v>
      </c>
    </row>
    <row r="193" spans="1:36" x14ac:dyDescent="0.2">
      <c r="A193" t="s">
        <v>5</v>
      </c>
      <c r="B193" t="s">
        <v>6</v>
      </c>
      <c r="C193">
        <v>13514</v>
      </c>
      <c r="D193" t="s">
        <v>22</v>
      </c>
      <c r="E193" t="s">
        <v>24</v>
      </c>
      <c r="F193" t="s">
        <v>25</v>
      </c>
      <c r="AJ193">
        <f>SUM(Post[[#This Row],[47]:[75]])</f>
        <v>0</v>
      </c>
    </row>
    <row r="194" spans="1:36" x14ac:dyDescent="0.2">
      <c r="A194" t="s">
        <v>5</v>
      </c>
      <c r="B194" t="s">
        <v>6</v>
      </c>
      <c r="C194">
        <v>18786</v>
      </c>
      <c r="D194" t="s">
        <v>22</v>
      </c>
      <c r="E194" t="s">
        <v>8</v>
      </c>
      <c r="F194" t="s">
        <v>9</v>
      </c>
      <c r="J194">
        <v>1</v>
      </c>
      <c r="V194">
        <v>1</v>
      </c>
      <c r="AI194">
        <v>2</v>
      </c>
      <c r="AJ194">
        <f>SUM(Post[[#This Row],[47]:[75]])</f>
        <v>4</v>
      </c>
    </row>
    <row r="195" spans="1:36" x14ac:dyDescent="0.2">
      <c r="A195" t="s">
        <v>42</v>
      </c>
      <c r="B195" t="s">
        <v>6</v>
      </c>
      <c r="C195">
        <v>864</v>
      </c>
      <c r="D195" t="s">
        <v>7</v>
      </c>
      <c r="E195" t="s">
        <v>37</v>
      </c>
      <c r="F195" t="s">
        <v>43</v>
      </c>
      <c r="L195">
        <v>1</v>
      </c>
      <c r="Q195">
        <v>1</v>
      </c>
      <c r="AE195">
        <v>1</v>
      </c>
      <c r="AJ195">
        <f>SUM(Post[[#This Row],[47]:[75]])</f>
        <v>3</v>
      </c>
    </row>
    <row r="196" spans="1:36" x14ac:dyDescent="0.2">
      <c r="A196" t="s">
        <v>42</v>
      </c>
      <c r="B196" t="s">
        <v>6</v>
      </c>
      <c r="C196">
        <v>864</v>
      </c>
      <c r="D196" t="s">
        <v>7</v>
      </c>
      <c r="E196" t="s">
        <v>37</v>
      </c>
      <c r="F196" t="s">
        <v>38</v>
      </c>
      <c r="AJ196">
        <f>SUM(Post[[#This Row],[47]:[75]])</f>
        <v>0</v>
      </c>
    </row>
    <row r="197" spans="1:36" x14ac:dyDescent="0.2">
      <c r="A197" t="s">
        <v>42</v>
      </c>
      <c r="B197" t="s">
        <v>6</v>
      </c>
      <c r="C197">
        <v>1373</v>
      </c>
      <c r="D197" t="s">
        <v>7</v>
      </c>
      <c r="E197" t="s">
        <v>10</v>
      </c>
      <c r="F197" t="s">
        <v>16</v>
      </c>
      <c r="Y197">
        <v>1</v>
      </c>
      <c r="AJ197">
        <f>SUM(Post[[#This Row],[47]:[75]])</f>
        <v>1</v>
      </c>
    </row>
    <row r="198" spans="1:36" x14ac:dyDescent="0.2">
      <c r="A198" t="s">
        <v>42</v>
      </c>
      <c r="B198" t="s">
        <v>6</v>
      </c>
      <c r="C198">
        <v>1733</v>
      </c>
      <c r="D198" t="s">
        <v>7</v>
      </c>
      <c r="E198" t="s">
        <v>14</v>
      </c>
      <c r="F198" t="s">
        <v>20</v>
      </c>
      <c r="AJ198">
        <f>SUM(Post[[#This Row],[47]:[75]])</f>
        <v>0</v>
      </c>
    </row>
    <row r="199" spans="1:36" x14ac:dyDescent="0.2">
      <c r="A199" t="s">
        <v>42</v>
      </c>
      <c r="B199" t="s">
        <v>6</v>
      </c>
      <c r="C199">
        <v>1897</v>
      </c>
      <c r="D199" t="s">
        <v>7</v>
      </c>
      <c r="E199" t="s">
        <v>14</v>
      </c>
      <c r="F199" t="s">
        <v>20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f>SUM(Post[[#This Row],[47]:[75]])</f>
        <v>29</v>
      </c>
    </row>
    <row r="200" spans="1:36" x14ac:dyDescent="0.2">
      <c r="A200" t="s">
        <v>42</v>
      </c>
      <c r="B200" t="s">
        <v>6</v>
      </c>
      <c r="C200">
        <v>2377</v>
      </c>
      <c r="D200" t="s">
        <v>7</v>
      </c>
      <c r="E200" t="s">
        <v>14</v>
      </c>
      <c r="F200" t="s">
        <v>20</v>
      </c>
      <c r="AJ200">
        <f>SUM(Post[[#This Row],[47]:[75]])</f>
        <v>0</v>
      </c>
    </row>
    <row r="201" spans="1:36" x14ac:dyDescent="0.2">
      <c r="A201" t="s">
        <v>42</v>
      </c>
      <c r="B201" t="s">
        <v>6</v>
      </c>
      <c r="C201">
        <v>2788</v>
      </c>
      <c r="D201" t="s">
        <v>7</v>
      </c>
      <c r="E201" t="s">
        <v>10</v>
      </c>
      <c r="F201" t="s">
        <v>11</v>
      </c>
      <c r="S201">
        <v>1</v>
      </c>
      <c r="AJ201">
        <f>SUM(Post[[#This Row],[47]:[75]])</f>
        <v>1</v>
      </c>
    </row>
    <row r="202" spans="1:36" x14ac:dyDescent="0.2">
      <c r="A202" t="s">
        <v>42</v>
      </c>
      <c r="B202" t="s">
        <v>6</v>
      </c>
      <c r="C202">
        <v>2788</v>
      </c>
      <c r="D202" t="s">
        <v>7</v>
      </c>
      <c r="E202" t="s">
        <v>14</v>
      </c>
      <c r="F202" t="s">
        <v>19</v>
      </c>
      <c r="Q202">
        <v>1</v>
      </c>
      <c r="AJ202">
        <f>SUM(Post[[#This Row],[47]:[75]])</f>
        <v>1</v>
      </c>
    </row>
    <row r="203" spans="1:36" x14ac:dyDescent="0.2">
      <c r="A203" t="s">
        <v>42</v>
      </c>
      <c r="B203" t="s">
        <v>6</v>
      </c>
      <c r="C203">
        <v>2788</v>
      </c>
      <c r="D203" t="s">
        <v>7</v>
      </c>
      <c r="E203" t="s">
        <v>14</v>
      </c>
      <c r="F203" t="s">
        <v>21</v>
      </c>
      <c r="AJ203">
        <f>SUM(Post[[#This Row],[47]:[75]])</f>
        <v>0</v>
      </c>
    </row>
    <row r="204" spans="1:36" x14ac:dyDescent="0.2">
      <c r="A204" t="s">
        <v>42</v>
      </c>
      <c r="B204" t="s">
        <v>6</v>
      </c>
      <c r="C204">
        <v>3720</v>
      </c>
      <c r="D204" t="s">
        <v>7</v>
      </c>
      <c r="E204" t="s">
        <v>14</v>
      </c>
      <c r="F204" t="s">
        <v>35</v>
      </c>
      <c r="J204">
        <v>1</v>
      </c>
      <c r="P204">
        <v>1</v>
      </c>
      <c r="T204">
        <v>1</v>
      </c>
      <c r="AB204">
        <v>1</v>
      </c>
      <c r="AJ204">
        <f>SUM(Post[[#This Row],[47]:[75]])</f>
        <v>4</v>
      </c>
    </row>
    <row r="205" spans="1:36" x14ac:dyDescent="0.2">
      <c r="A205" t="s">
        <v>42</v>
      </c>
      <c r="B205" t="s">
        <v>6</v>
      </c>
      <c r="C205">
        <v>5621</v>
      </c>
      <c r="D205" t="s">
        <v>7</v>
      </c>
      <c r="E205" t="s">
        <v>14</v>
      </c>
      <c r="F205" t="s">
        <v>19</v>
      </c>
      <c r="AJ205">
        <f>SUM(Post[[#This Row],[47]:[75]])</f>
        <v>0</v>
      </c>
    </row>
    <row r="206" spans="1:36" x14ac:dyDescent="0.2">
      <c r="A206" t="s">
        <v>42</v>
      </c>
      <c r="B206" t="s">
        <v>6</v>
      </c>
      <c r="C206">
        <v>6053</v>
      </c>
      <c r="D206" t="s">
        <v>7</v>
      </c>
      <c r="E206" t="s">
        <v>10</v>
      </c>
      <c r="F206" t="s">
        <v>11</v>
      </c>
      <c r="AH206">
        <v>2</v>
      </c>
      <c r="AJ206">
        <f>SUM(Post[[#This Row],[47]:[75]])</f>
        <v>2</v>
      </c>
    </row>
    <row r="207" spans="1:36" x14ac:dyDescent="0.2">
      <c r="A207" t="s">
        <v>42</v>
      </c>
      <c r="B207" t="s">
        <v>6</v>
      </c>
      <c r="C207">
        <v>6053</v>
      </c>
      <c r="D207" t="s">
        <v>7</v>
      </c>
      <c r="E207" t="s">
        <v>14</v>
      </c>
      <c r="F207" t="s">
        <v>21</v>
      </c>
      <c r="AJ207">
        <f>SUM(Post[[#This Row],[47]:[75]])</f>
        <v>0</v>
      </c>
    </row>
    <row r="208" spans="1:36" x14ac:dyDescent="0.2">
      <c r="A208" t="s">
        <v>42</v>
      </c>
      <c r="B208" t="s">
        <v>6</v>
      </c>
      <c r="C208">
        <v>6458</v>
      </c>
      <c r="D208" t="s">
        <v>7</v>
      </c>
      <c r="E208" t="s">
        <v>14</v>
      </c>
      <c r="F208" t="s">
        <v>28</v>
      </c>
      <c r="AJ208">
        <f>SUM(Post[[#This Row],[47]:[75]])</f>
        <v>0</v>
      </c>
    </row>
    <row r="209" spans="1:36" x14ac:dyDescent="0.2">
      <c r="A209" t="s">
        <v>42</v>
      </c>
      <c r="B209" t="s">
        <v>6</v>
      </c>
      <c r="C209">
        <v>6657</v>
      </c>
      <c r="D209" t="s">
        <v>7</v>
      </c>
      <c r="E209" t="s">
        <v>8</v>
      </c>
      <c r="F209" t="s">
        <v>23</v>
      </c>
      <c r="I209">
        <v>1</v>
      </c>
      <c r="L209">
        <v>1</v>
      </c>
      <c r="Q209">
        <v>1</v>
      </c>
      <c r="AD209">
        <v>1</v>
      </c>
      <c r="AJ209">
        <f>SUM(Post[[#This Row],[47]:[75]])</f>
        <v>4</v>
      </c>
    </row>
    <row r="210" spans="1:36" x14ac:dyDescent="0.2">
      <c r="A210" t="s">
        <v>42</v>
      </c>
      <c r="B210" t="s">
        <v>6</v>
      </c>
      <c r="C210">
        <v>6657</v>
      </c>
      <c r="D210" t="s">
        <v>7</v>
      </c>
      <c r="E210" t="s">
        <v>14</v>
      </c>
      <c r="F210" t="s">
        <v>20</v>
      </c>
      <c r="N210">
        <v>1</v>
      </c>
      <c r="AA210">
        <v>1</v>
      </c>
      <c r="AJ210">
        <f>SUM(Post[[#This Row],[47]:[75]])</f>
        <v>2</v>
      </c>
    </row>
    <row r="211" spans="1:36" x14ac:dyDescent="0.2">
      <c r="A211" t="s">
        <v>42</v>
      </c>
      <c r="B211" t="s">
        <v>6</v>
      </c>
      <c r="C211">
        <v>7171</v>
      </c>
      <c r="D211" t="s">
        <v>7</v>
      </c>
      <c r="E211" t="s">
        <v>8</v>
      </c>
      <c r="F211" t="s">
        <v>29</v>
      </c>
      <c r="AJ211">
        <f>SUM(Post[[#This Row],[47]:[75]])</f>
        <v>0</v>
      </c>
    </row>
    <row r="212" spans="1:36" x14ac:dyDescent="0.2">
      <c r="A212" t="s">
        <v>42</v>
      </c>
      <c r="B212" t="s">
        <v>6</v>
      </c>
      <c r="C212">
        <v>7502</v>
      </c>
      <c r="D212" t="s">
        <v>7</v>
      </c>
      <c r="E212" t="s">
        <v>8</v>
      </c>
      <c r="F212" t="s">
        <v>29</v>
      </c>
      <c r="S212">
        <v>1</v>
      </c>
      <c r="AE212">
        <v>1</v>
      </c>
      <c r="AJ212">
        <f>SUM(Post[[#This Row],[47]:[75]])</f>
        <v>2</v>
      </c>
    </row>
    <row r="213" spans="1:36" x14ac:dyDescent="0.2">
      <c r="A213" t="s">
        <v>42</v>
      </c>
      <c r="B213" t="s">
        <v>6</v>
      </c>
      <c r="C213">
        <v>7654</v>
      </c>
      <c r="D213" t="s">
        <v>7</v>
      </c>
      <c r="E213" t="s">
        <v>14</v>
      </c>
      <c r="F213" t="s">
        <v>19</v>
      </c>
      <c r="AJ213">
        <f>SUM(Post[[#This Row],[47]:[75]])</f>
        <v>0</v>
      </c>
    </row>
    <row r="214" spans="1:36" x14ac:dyDescent="0.2">
      <c r="A214" t="s">
        <v>42</v>
      </c>
      <c r="B214" t="s">
        <v>6</v>
      </c>
      <c r="C214">
        <v>8296</v>
      </c>
      <c r="D214" t="s">
        <v>7</v>
      </c>
      <c r="E214" t="s">
        <v>14</v>
      </c>
      <c r="F214" t="s">
        <v>19</v>
      </c>
      <c r="W214">
        <v>1</v>
      </c>
      <c r="AB214">
        <v>1</v>
      </c>
      <c r="AJ214">
        <f>SUM(Post[[#This Row],[47]:[75]])</f>
        <v>2</v>
      </c>
    </row>
    <row r="215" spans="1:36" x14ac:dyDescent="0.2">
      <c r="A215" t="s">
        <v>42</v>
      </c>
      <c r="B215" t="s">
        <v>6</v>
      </c>
      <c r="C215">
        <v>14791</v>
      </c>
      <c r="D215" t="s">
        <v>7</v>
      </c>
      <c r="E215" t="s">
        <v>14</v>
      </c>
      <c r="F215" t="s">
        <v>20</v>
      </c>
      <c r="Z215">
        <v>2</v>
      </c>
      <c r="AJ215">
        <f>SUM(Post[[#This Row],[47]:[75]])</f>
        <v>2</v>
      </c>
    </row>
    <row r="216" spans="1:36" x14ac:dyDescent="0.2">
      <c r="A216" t="s">
        <v>42</v>
      </c>
      <c r="B216" t="s">
        <v>6</v>
      </c>
      <c r="C216">
        <v>15211</v>
      </c>
      <c r="D216" t="s">
        <v>7</v>
      </c>
      <c r="E216" t="s">
        <v>10</v>
      </c>
      <c r="F216" t="s">
        <v>11</v>
      </c>
      <c r="AJ216">
        <f>SUM(Post[[#This Row],[47]:[75]])</f>
        <v>0</v>
      </c>
    </row>
    <row r="217" spans="1:36" x14ac:dyDescent="0.2">
      <c r="A217" t="s">
        <v>42</v>
      </c>
      <c r="B217" t="s">
        <v>6</v>
      </c>
      <c r="C217">
        <v>16954</v>
      </c>
      <c r="D217" t="s">
        <v>7</v>
      </c>
      <c r="E217" t="s">
        <v>8</v>
      </c>
      <c r="F217" t="s">
        <v>29</v>
      </c>
      <c r="Q217">
        <v>1</v>
      </c>
      <c r="AD217">
        <v>1</v>
      </c>
      <c r="AJ217">
        <f>SUM(Post[[#This Row],[47]:[75]])</f>
        <v>2</v>
      </c>
    </row>
    <row r="218" spans="1:36" x14ac:dyDescent="0.2">
      <c r="A218" t="s">
        <v>42</v>
      </c>
      <c r="B218" t="s">
        <v>6</v>
      </c>
      <c r="C218">
        <v>17562</v>
      </c>
      <c r="D218" t="s">
        <v>7</v>
      </c>
      <c r="E218" t="s">
        <v>10</v>
      </c>
      <c r="F218" t="s">
        <v>11</v>
      </c>
      <c r="AH218">
        <v>1</v>
      </c>
      <c r="AJ218">
        <f>SUM(Post[[#This Row],[47]:[75]])</f>
        <v>1</v>
      </c>
    </row>
    <row r="219" spans="1:36" x14ac:dyDescent="0.2">
      <c r="A219" t="s">
        <v>42</v>
      </c>
      <c r="B219" t="s">
        <v>6</v>
      </c>
      <c r="C219">
        <v>17753</v>
      </c>
      <c r="D219" t="s">
        <v>7</v>
      </c>
      <c r="E219" t="s">
        <v>14</v>
      </c>
      <c r="F219" t="s">
        <v>21</v>
      </c>
      <c r="I219">
        <v>1</v>
      </c>
      <c r="AJ219">
        <f>SUM(Post[[#This Row],[47]:[75]])</f>
        <v>1</v>
      </c>
    </row>
    <row r="220" spans="1:36" x14ac:dyDescent="0.2">
      <c r="A220" t="s">
        <v>42</v>
      </c>
      <c r="B220" t="s">
        <v>6</v>
      </c>
      <c r="C220">
        <v>17759</v>
      </c>
      <c r="D220" t="s">
        <v>7</v>
      </c>
      <c r="E220" t="s">
        <v>8</v>
      </c>
      <c r="F220" t="s">
        <v>29</v>
      </c>
      <c r="U220">
        <v>2</v>
      </c>
      <c r="AJ220">
        <f>SUM(Post[[#This Row],[47]:[75]])</f>
        <v>2</v>
      </c>
    </row>
    <row r="221" spans="1:36" x14ac:dyDescent="0.2">
      <c r="A221" t="s">
        <v>42</v>
      </c>
      <c r="B221" t="s">
        <v>6</v>
      </c>
      <c r="C221">
        <v>18339</v>
      </c>
      <c r="D221" t="s">
        <v>7</v>
      </c>
      <c r="E221" t="s">
        <v>14</v>
      </c>
      <c r="F221" t="s">
        <v>19</v>
      </c>
      <c r="AB221">
        <v>1</v>
      </c>
      <c r="AJ221">
        <f>SUM(Post[[#This Row],[47]:[75]])</f>
        <v>1</v>
      </c>
    </row>
    <row r="222" spans="1:36" x14ac:dyDescent="0.2">
      <c r="A222" t="s">
        <v>42</v>
      </c>
      <c r="B222" t="s">
        <v>6</v>
      </c>
      <c r="C222">
        <v>19710</v>
      </c>
      <c r="D222" t="s">
        <v>7</v>
      </c>
      <c r="E222" t="s">
        <v>14</v>
      </c>
      <c r="F222" t="s">
        <v>19</v>
      </c>
      <c r="I222">
        <v>1</v>
      </c>
      <c r="AJ222">
        <f>SUM(Post[[#This Row],[47]:[75]])</f>
        <v>1</v>
      </c>
    </row>
    <row r="223" spans="1:36" x14ac:dyDescent="0.2">
      <c r="A223" t="s">
        <v>42</v>
      </c>
      <c r="B223" t="s">
        <v>6</v>
      </c>
      <c r="C223">
        <v>20822</v>
      </c>
      <c r="D223" t="s">
        <v>7</v>
      </c>
      <c r="E223" t="s">
        <v>14</v>
      </c>
      <c r="F223" t="s">
        <v>20</v>
      </c>
      <c r="W223">
        <v>1</v>
      </c>
      <c r="AJ223">
        <f>SUM(Post[[#This Row],[47]:[75]])</f>
        <v>1</v>
      </c>
    </row>
    <row r="224" spans="1:36" x14ac:dyDescent="0.2">
      <c r="A224" t="s">
        <v>42</v>
      </c>
      <c r="B224" t="s">
        <v>6</v>
      </c>
      <c r="C224">
        <v>22399</v>
      </c>
      <c r="D224" t="s">
        <v>7</v>
      </c>
      <c r="E224" t="s">
        <v>14</v>
      </c>
      <c r="F224" t="s">
        <v>19</v>
      </c>
      <c r="Z224">
        <v>1</v>
      </c>
      <c r="AJ224">
        <f>SUM(Post[[#This Row],[47]:[75]])</f>
        <v>1</v>
      </c>
    </row>
    <row r="225" spans="1:36" x14ac:dyDescent="0.2">
      <c r="A225" t="s">
        <v>42</v>
      </c>
      <c r="B225" t="s">
        <v>6</v>
      </c>
      <c r="C225">
        <v>30512</v>
      </c>
      <c r="D225" t="s">
        <v>7</v>
      </c>
      <c r="E225" t="s">
        <v>8</v>
      </c>
      <c r="F225" t="s">
        <v>29</v>
      </c>
      <c r="AJ225">
        <f>SUM(Post[[#This Row],[47]:[75]])</f>
        <v>0</v>
      </c>
    </row>
    <row r="226" spans="1:36" x14ac:dyDescent="0.2">
      <c r="A226" t="s">
        <v>42</v>
      </c>
      <c r="B226" t="s">
        <v>6</v>
      </c>
      <c r="C226">
        <v>30512</v>
      </c>
      <c r="D226" t="s">
        <v>7</v>
      </c>
      <c r="E226" t="s">
        <v>14</v>
      </c>
      <c r="F226" t="s">
        <v>20</v>
      </c>
      <c r="AJ226">
        <f>SUM(Post[[#This Row],[47]:[75]])</f>
        <v>0</v>
      </c>
    </row>
    <row r="227" spans="1:36" x14ac:dyDescent="0.2">
      <c r="A227" t="s">
        <v>42</v>
      </c>
      <c r="B227" t="s">
        <v>6</v>
      </c>
      <c r="C227">
        <v>30651</v>
      </c>
      <c r="D227" t="s">
        <v>7</v>
      </c>
      <c r="E227" t="s">
        <v>10</v>
      </c>
      <c r="F227" t="s">
        <v>11</v>
      </c>
      <c r="J227">
        <v>1</v>
      </c>
      <c r="AJ227">
        <f>SUM(Post[[#This Row],[47]:[75]])</f>
        <v>1</v>
      </c>
    </row>
    <row r="228" spans="1:36" x14ac:dyDescent="0.2">
      <c r="A228" t="s">
        <v>42</v>
      </c>
      <c r="B228" t="s">
        <v>6</v>
      </c>
      <c r="C228">
        <v>30651</v>
      </c>
      <c r="D228" t="s">
        <v>7</v>
      </c>
      <c r="E228" t="s">
        <v>14</v>
      </c>
      <c r="F228" t="s">
        <v>19</v>
      </c>
      <c r="W228">
        <v>1</v>
      </c>
      <c r="AJ228">
        <f>SUM(Post[[#This Row],[47]:[75]])</f>
        <v>1</v>
      </c>
    </row>
    <row r="229" spans="1:36" x14ac:dyDescent="0.2">
      <c r="A229" t="s">
        <v>42</v>
      </c>
      <c r="B229" t="s">
        <v>6</v>
      </c>
      <c r="C229">
        <v>32234</v>
      </c>
      <c r="D229" t="s">
        <v>7</v>
      </c>
      <c r="E229" t="s">
        <v>14</v>
      </c>
      <c r="F229" t="s">
        <v>35</v>
      </c>
      <c r="AJ229">
        <f>SUM(Post[[#This Row],[47]:[75]])</f>
        <v>0</v>
      </c>
    </row>
    <row r="230" spans="1:36" x14ac:dyDescent="0.2">
      <c r="A230" t="s">
        <v>42</v>
      </c>
      <c r="B230" t="s">
        <v>6</v>
      </c>
      <c r="C230">
        <v>32234</v>
      </c>
      <c r="D230" t="s">
        <v>7</v>
      </c>
      <c r="E230" t="s">
        <v>14</v>
      </c>
      <c r="F230" t="s">
        <v>21</v>
      </c>
      <c r="J230">
        <v>2</v>
      </c>
      <c r="T230">
        <v>1</v>
      </c>
      <c r="X230">
        <v>1</v>
      </c>
      <c r="AJ230">
        <f>SUM(Post[[#This Row],[47]:[75]])</f>
        <v>4</v>
      </c>
    </row>
    <row r="231" spans="1:36" x14ac:dyDescent="0.2">
      <c r="A231" t="s">
        <v>42</v>
      </c>
      <c r="B231" t="s">
        <v>6</v>
      </c>
      <c r="C231">
        <v>32315</v>
      </c>
      <c r="D231" t="s">
        <v>7</v>
      </c>
      <c r="E231" t="s">
        <v>14</v>
      </c>
      <c r="F231" t="s">
        <v>19</v>
      </c>
      <c r="P231">
        <v>1</v>
      </c>
      <c r="AJ231">
        <f>SUM(Post[[#This Row],[47]:[75]])</f>
        <v>1</v>
      </c>
    </row>
    <row r="232" spans="1:36" x14ac:dyDescent="0.2">
      <c r="A232" t="s">
        <v>42</v>
      </c>
      <c r="B232" t="s">
        <v>6</v>
      </c>
      <c r="C232">
        <v>32315</v>
      </c>
      <c r="D232" t="s">
        <v>7</v>
      </c>
      <c r="E232" t="s">
        <v>14</v>
      </c>
      <c r="F232" t="s">
        <v>20</v>
      </c>
      <c r="AD232">
        <v>1</v>
      </c>
      <c r="AJ232">
        <f>SUM(Post[[#This Row],[47]:[75]])</f>
        <v>1</v>
      </c>
    </row>
    <row r="233" spans="1:36" x14ac:dyDescent="0.2">
      <c r="A233" t="s">
        <v>42</v>
      </c>
      <c r="B233" t="s">
        <v>6</v>
      </c>
      <c r="C233">
        <v>32414</v>
      </c>
      <c r="D233" t="s">
        <v>7</v>
      </c>
      <c r="E233" t="s">
        <v>10</v>
      </c>
      <c r="F233" t="s">
        <v>11</v>
      </c>
      <c r="O233">
        <v>1</v>
      </c>
      <c r="AC233">
        <v>1</v>
      </c>
      <c r="AJ233">
        <f>SUM(Post[[#This Row],[47]:[75]])</f>
        <v>2</v>
      </c>
    </row>
    <row r="234" spans="1:36" x14ac:dyDescent="0.2">
      <c r="A234" t="s">
        <v>42</v>
      </c>
      <c r="B234" t="s">
        <v>6</v>
      </c>
      <c r="C234">
        <v>32683</v>
      </c>
      <c r="D234" t="s">
        <v>7</v>
      </c>
      <c r="E234" t="s">
        <v>10</v>
      </c>
      <c r="F234" t="s">
        <v>11</v>
      </c>
      <c r="AH234">
        <v>1</v>
      </c>
      <c r="AJ234">
        <f>SUM(Post[[#This Row],[47]:[75]])</f>
        <v>1</v>
      </c>
    </row>
    <row r="235" spans="1:36" x14ac:dyDescent="0.2">
      <c r="A235" t="s">
        <v>42</v>
      </c>
      <c r="B235" t="s">
        <v>6</v>
      </c>
      <c r="C235">
        <v>32683</v>
      </c>
      <c r="D235" t="s">
        <v>7</v>
      </c>
      <c r="E235" t="s">
        <v>14</v>
      </c>
      <c r="F235" t="s">
        <v>20</v>
      </c>
      <c r="J235">
        <v>1</v>
      </c>
      <c r="R235">
        <v>1</v>
      </c>
      <c r="Z235">
        <v>1</v>
      </c>
      <c r="AH235">
        <v>1</v>
      </c>
      <c r="AJ235">
        <f>SUM(Post[[#This Row],[47]:[75]])</f>
        <v>4</v>
      </c>
    </row>
    <row r="236" spans="1:36" x14ac:dyDescent="0.2">
      <c r="A236" t="s">
        <v>42</v>
      </c>
      <c r="B236" t="s">
        <v>6</v>
      </c>
      <c r="C236">
        <v>32795</v>
      </c>
      <c r="D236" t="s">
        <v>7</v>
      </c>
      <c r="E236" t="s">
        <v>14</v>
      </c>
      <c r="F236" t="s">
        <v>31</v>
      </c>
      <c r="H236">
        <v>1</v>
      </c>
      <c r="N236">
        <v>1</v>
      </c>
      <c r="AJ236">
        <f>SUM(Post[[#This Row],[47]:[75]])</f>
        <v>2</v>
      </c>
    </row>
    <row r="237" spans="1:36" x14ac:dyDescent="0.2">
      <c r="A237" t="s">
        <v>42</v>
      </c>
      <c r="B237" t="s">
        <v>6</v>
      </c>
      <c r="C237">
        <v>32795</v>
      </c>
      <c r="D237" t="s">
        <v>7</v>
      </c>
      <c r="E237" t="s">
        <v>14</v>
      </c>
      <c r="F237" t="s">
        <v>28</v>
      </c>
      <c r="AJ237">
        <f>SUM(Post[[#This Row],[47]:[75]])</f>
        <v>0</v>
      </c>
    </row>
    <row r="238" spans="1:36" x14ac:dyDescent="0.2">
      <c r="A238" t="s">
        <v>42</v>
      </c>
      <c r="B238" t="s">
        <v>6</v>
      </c>
      <c r="C238">
        <v>32830</v>
      </c>
      <c r="D238" t="s">
        <v>7</v>
      </c>
      <c r="E238" t="s">
        <v>10</v>
      </c>
      <c r="F238" t="s">
        <v>11</v>
      </c>
      <c r="AH238">
        <v>1</v>
      </c>
      <c r="AJ238">
        <f>SUM(Post[[#This Row],[47]:[75]])</f>
        <v>1</v>
      </c>
    </row>
    <row r="239" spans="1:36" x14ac:dyDescent="0.2">
      <c r="A239" t="s">
        <v>42</v>
      </c>
      <c r="B239" t="s">
        <v>6</v>
      </c>
      <c r="C239">
        <v>33211</v>
      </c>
      <c r="D239" t="s">
        <v>7</v>
      </c>
      <c r="E239" t="s">
        <v>8</v>
      </c>
      <c r="F239" t="s">
        <v>29</v>
      </c>
      <c r="G239">
        <v>1</v>
      </c>
      <c r="I239">
        <v>1</v>
      </c>
      <c r="K239">
        <v>1</v>
      </c>
      <c r="N239">
        <v>1</v>
      </c>
      <c r="Q239">
        <v>1</v>
      </c>
      <c r="S239">
        <v>1</v>
      </c>
      <c r="U239">
        <v>1</v>
      </c>
      <c r="W239">
        <v>1</v>
      </c>
      <c r="Z239">
        <v>1</v>
      </c>
      <c r="AB239">
        <v>1</v>
      </c>
      <c r="AC239">
        <v>1</v>
      </c>
      <c r="AE239">
        <v>1</v>
      </c>
      <c r="AG239">
        <v>1</v>
      </c>
      <c r="AJ239">
        <f>SUM(Post[[#This Row],[47]:[75]])</f>
        <v>13</v>
      </c>
    </row>
    <row r="240" spans="1:36" x14ac:dyDescent="0.2">
      <c r="A240" t="s">
        <v>42</v>
      </c>
      <c r="B240" t="s">
        <v>6</v>
      </c>
      <c r="C240">
        <v>33211</v>
      </c>
      <c r="D240" t="s">
        <v>7</v>
      </c>
      <c r="E240" t="s">
        <v>14</v>
      </c>
      <c r="F240" t="s">
        <v>21</v>
      </c>
      <c r="G240">
        <v>1</v>
      </c>
      <c r="I240">
        <v>1</v>
      </c>
      <c r="K240">
        <v>1</v>
      </c>
      <c r="N240">
        <v>1</v>
      </c>
      <c r="Q240">
        <v>2</v>
      </c>
      <c r="S240">
        <v>1</v>
      </c>
      <c r="U240">
        <v>1</v>
      </c>
      <c r="W240">
        <v>1</v>
      </c>
      <c r="Z240">
        <v>1</v>
      </c>
      <c r="AB240">
        <v>1</v>
      </c>
      <c r="AC240">
        <v>1</v>
      </c>
      <c r="AE240">
        <v>1</v>
      </c>
      <c r="AG240">
        <v>1</v>
      </c>
      <c r="AJ240">
        <f>SUM(Post[[#This Row],[47]:[75]])</f>
        <v>14</v>
      </c>
    </row>
    <row r="241" spans="1:36" x14ac:dyDescent="0.2">
      <c r="A241" t="s">
        <v>42</v>
      </c>
      <c r="B241" t="s">
        <v>6</v>
      </c>
      <c r="C241">
        <v>33730</v>
      </c>
      <c r="D241" t="s">
        <v>7</v>
      </c>
      <c r="E241" t="s">
        <v>14</v>
      </c>
      <c r="F241" t="s">
        <v>21</v>
      </c>
      <c r="AJ241">
        <f>SUM(Post[[#This Row],[47]:[75]])</f>
        <v>0</v>
      </c>
    </row>
    <row r="242" spans="1:36" x14ac:dyDescent="0.2">
      <c r="A242" t="s">
        <v>42</v>
      </c>
      <c r="B242" t="s">
        <v>6</v>
      </c>
      <c r="C242">
        <v>33835</v>
      </c>
      <c r="D242" t="s">
        <v>7</v>
      </c>
      <c r="E242" t="s">
        <v>8</v>
      </c>
      <c r="F242" t="s">
        <v>29</v>
      </c>
      <c r="H242">
        <v>1</v>
      </c>
      <c r="W242">
        <v>1</v>
      </c>
      <c r="AJ242">
        <f>SUM(Post[[#This Row],[47]:[75]])</f>
        <v>2</v>
      </c>
    </row>
    <row r="243" spans="1:36" x14ac:dyDescent="0.2">
      <c r="A243" t="s">
        <v>42</v>
      </c>
      <c r="B243" t="s">
        <v>6</v>
      </c>
      <c r="C243">
        <v>33843</v>
      </c>
      <c r="D243" t="s">
        <v>7</v>
      </c>
      <c r="E243" t="s">
        <v>14</v>
      </c>
      <c r="F243" t="s">
        <v>35</v>
      </c>
      <c r="AJ243">
        <f>SUM(Post[[#This Row],[47]:[75]])</f>
        <v>0</v>
      </c>
    </row>
    <row r="244" spans="1:36" x14ac:dyDescent="0.2">
      <c r="A244" t="s">
        <v>42</v>
      </c>
      <c r="B244" t="s">
        <v>6</v>
      </c>
      <c r="C244">
        <v>2429</v>
      </c>
      <c r="D244" t="s">
        <v>22</v>
      </c>
      <c r="E244" t="s">
        <v>14</v>
      </c>
      <c r="F244" t="s">
        <v>21</v>
      </c>
      <c r="AG244">
        <v>1</v>
      </c>
      <c r="AJ244">
        <f>SUM(Post[[#This Row],[47]:[75]])</f>
        <v>1</v>
      </c>
    </row>
    <row r="245" spans="1:36" x14ac:dyDescent="0.2">
      <c r="A245" t="s">
        <v>42</v>
      </c>
      <c r="B245" t="s">
        <v>6</v>
      </c>
      <c r="C245">
        <v>5351</v>
      </c>
      <c r="D245" t="s">
        <v>22</v>
      </c>
      <c r="E245" t="s">
        <v>8</v>
      </c>
      <c r="F245" t="s">
        <v>9</v>
      </c>
      <c r="I245">
        <v>1</v>
      </c>
      <c r="AA245">
        <v>1</v>
      </c>
      <c r="AJ245">
        <f>SUM(Post[[#This Row],[47]:[75]])</f>
        <v>2</v>
      </c>
    </row>
    <row r="246" spans="1:36" x14ac:dyDescent="0.2">
      <c r="A246" t="s">
        <v>42</v>
      </c>
      <c r="B246" t="s">
        <v>6</v>
      </c>
      <c r="C246">
        <v>8489</v>
      </c>
      <c r="D246" t="s">
        <v>22</v>
      </c>
      <c r="E246" t="s">
        <v>8</v>
      </c>
      <c r="F246" t="s">
        <v>29</v>
      </c>
      <c r="I246">
        <v>1</v>
      </c>
      <c r="AA246">
        <v>1</v>
      </c>
      <c r="AJ246">
        <f>SUM(Post[[#This Row],[47]:[75]])</f>
        <v>2</v>
      </c>
    </row>
    <row r="247" spans="1:36" x14ac:dyDescent="0.2">
      <c r="A247" t="s">
        <v>42</v>
      </c>
      <c r="B247" t="s">
        <v>6</v>
      </c>
      <c r="C247">
        <v>17844</v>
      </c>
      <c r="D247" t="s">
        <v>22</v>
      </c>
      <c r="E247" t="s">
        <v>8</v>
      </c>
      <c r="F247" t="s">
        <v>29</v>
      </c>
      <c r="H247">
        <v>1</v>
      </c>
      <c r="P247">
        <v>3</v>
      </c>
      <c r="AD247">
        <v>1</v>
      </c>
      <c r="AJ247">
        <f>SUM(Post[[#This Row],[47]:[75]])</f>
        <v>5</v>
      </c>
    </row>
    <row r="248" spans="1:36" x14ac:dyDescent="0.2">
      <c r="A248" t="s">
        <v>42</v>
      </c>
      <c r="B248" t="s">
        <v>6</v>
      </c>
      <c r="C248">
        <v>19696</v>
      </c>
      <c r="D248" t="s">
        <v>22</v>
      </c>
      <c r="E248" t="s">
        <v>14</v>
      </c>
      <c r="F248" t="s">
        <v>31</v>
      </c>
      <c r="H248">
        <v>1</v>
      </c>
      <c r="Q248">
        <v>3</v>
      </c>
      <c r="AF248">
        <v>1</v>
      </c>
      <c r="AJ248">
        <f>SUM(Post[[#This Row],[47]:[75]])</f>
        <v>5</v>
      </c>
    </row>
    <row r="249" spans="1:36" x14ac:dyDescent="0.2">
      <c r="A249" t="s">
        <v>42</v>
      </c>
      <c r="B249" t="s">
        <v>6</v>
      </c>
      <c r="C249">
        <v>21888</v>
      </c>
      <c r="D249" t="s">
        <v>22</v>
      </c>
      <c r="E249" t="s">
        <v>14</v>
      </c>
      <c r="F249" t="s">
        <v>19</v>
      </c>
      <c r="AJ249">
        <f>SUM(Post[[#This Row],[47]:[75]])</f>
        <v>0</v>
      </c>
    </row>
    <row r="250" spans="1:36" x14ac:dyDescent="0.2">
      <c r="A250" t="s">
        <v>42</v>
      </c>
      <c r="B250" t="s">
        <v>6</v>
      </c>
      <c r="C250">
        <v>23658</v>
      </c>
      <c r="D250" t="s">
        <v>22</v>
      </c>
      <c r="E250" t="s">
        <v>10</v>
      </c>
      <c r="F250" t="s">
        <v>11</v>
      </c>
      <c r="AG250">
        <v>1</v>
      </c>
      <c r="AJ250">
        <f>SUM(Post[[#This Row],[47]:[75]])</f>
        <v>1</v>
      </c>
    </row>
    <row r="251" spans="1:36" x14ac:dyDescent="0.2">
      <c r="A251" t="s">
        <v>42</v>
      </c>
      <c r="B251" t="s">
        <v>6</v>
      </c>
      <c r="C251">
        <v>30597</v>
      </c>
      <c r="D251" t="s">
        <v>22</v>
      </c>
      <c r="E251" t="s">
        <v>14</v>
      </c>
      <c r="F251" t="s">
        <v>20</v>
      </c>
      <c r="R251">
        <v>2</v>
      </c>
      <c r="AJ251">
        <f>SUM(Post[[#This Row],[47]:[75]])</f>
        <v>2</v>
      </c>
    </row>
    <row r="252" spans="1:36" x14ac:dyDescent="0.2">
      <c r="A252" t="s">
        <v>42</v>
      </c>
      <c r="B252" t="s">
        <v>6</v>
      </c>
      <c r="C252">
        <v>31872</v>
      </c>
      <c r="D252" t="s">
        <v>22</v>
      </c>
      <c r="E252" t="s">
        <v>14</v>
      </c>
      <c r="F252" t="s">
        <v>21</v>
      </c>
      <c r="AJ252">
        <f>SUM(Post[[#This Row],[47]:[75]])</f>
        <v>0</v>
      </c>
    </row>
    <row r="253" spans="1:36" x14ac:dyDescent="0.2">
      <c r="A253" t="s">
        <v>42</v>
      </c>
      <c r="B253" t="s">
        <v>6</v>
      </c>
      <c r="C253">
        <v>32378</v>
      </c>
      <c r="D253" t="s">
        <v>22</v>
      </c>
      <c r="E253" t="s">
        <v>14</v>
      </c>
      <c r="F253" t="s">
        <v>19</v>
      </c>
      <c r="AJ253">
        <f>SUM(Post[[#This Row],[47]:[75]])</f>
        <v>0</v>
      </c>
    </row>
    <row r="254" spans="1:36" x14ac:dyDescent="0.2">
      <c r="A254" t="s">
        <v>42</v>
      </c>
      <c r="B254" t="s">
        <v>6</v>
      </c>
      <c r="C254">
        <v>32498</v>
      </c>
      <c r="D254" t="s">
        <v>22</v>
      </c>
      <c r="E254" t="s">
        <v>8</v>
      </c>
      <c r="F254" t="s">
        <v>23</v>
      </c>
      <c r="P254">
        <v>1</v>
      </c>
      <c r="V254">
        <v>1</v>
      </c>
      <c r="AJ254">
        <f>SUM(Post[[#This Row],[47]:[75]])</f>
        <v>2</v>
      </c>
    </row>
    <row r="255" spans="1:36" x14ac:dyDescent="0.2">
      <c r="A255" t="s">
        <v>42</v>
      </c>
      <c r="B255" t="s">
        <v>6</v>
      </c>
      <c r="C255">
        <v>32670</v>
      </c>
      <c r="D255" t="s">
        <v>22</v>
      </c>
      <c r="E255" t="s">
        <v>14</v>
      </c>
      <c r="F255" t="s">
        <v>21</v>
      </c>
      <c r="Y255">
        <v>1</v>
      </c>
      <c r="AJ255">
        <f>SUM(Post[[#This Row],[47]:[75]])</f>
        <v>1</v>
      </c>
    </row>
    <row r="256" spans="1:36" x14ac:dyDescent="0.2">
      <c r="A256" t="s">
        <v>42</v>
      </c>
      <c r="B256" t="s">
        <v>6</v>
      </c>
      <c r="C256">
        <v>564</v>
      </c>
      <c r="D256" t="s">
        <v>7</v>
      </c>
      <c r="E256" t="s">
        <v>10</v>
      </c>
      <c r="F256" t="s">
        <v>11</v>
      </c>
      <c r="N256">
        <v>1</v>
      </c>
      <c r="AB256">
        <v>1</v>
      </c>
      <c r="AJ256">
        <f>SUM(Post[[#This Row],[47]:[75]])</f>
        <v>2</v>
      </c>
    </row>
    <row r="257" spans="1:36" x14ac:dyDescent="0.2">
      <c r="A257" t="s">
        <v>42</v>
      </c>
      <c r="B257" t="s">
        <v>6</v>
      </c>
      <c r="C257">
        <v>564</v>
      </c>
      <c r="D257" t="s">
        <v>7</v>
      </c>
      <c r="E257" t="s">
        <v>14</v>
      </c>
      <c r="F257" t="s">
        <v>20</v>
      </c>
      <c r="AJ257">
        <f>SUM(Post[[#This Row],[47]:[75]])</f>
        <v>0</v>
      </c>
    </row>
    <row r="258" spans="1:36" x14ac:dyDescent="0.2">
      <c r="A258" t="s">
        <v>42</v>
      </c>
      <c r="B258" t="s">
        <v>6</v>
      </c>
      <c r="C258">
        <v>844</v>
      </c>
      <c r="D258" t="s">
        <v>7</v>
      </c>
      <c r="E258" t="s">
        <v>40</v>
      </c>
      <c r="F258" t="s">
        <v>44</v>
      </c>
      <c r="W258">
        <v>2</v>
      </c>
      <c r="AB258">
        <v>1</v>
      </c>
      <c r="AH258">
        <v>1</v>
      </c>
      <c r="AJ258">
        <f>SUM(Post[[#This Row],[47]:[75]])</f>
        <v>4</v>
      </c>
    </row>
    <row r="259" spans="1:36" x14ac:dyDescent="0.2">
      <c r="A259" t="s">
        <v>42</v>
      </c>
      <c r="B259" t="s">
        <v>6</v>
      </c>
      <c r="C259">
        <v>1458</v>
      </c>
      <c r="D259" t="s">
        <v>7</v>
      </c>
      <c r="E259" t="s">
        <v>14</v>
      </c>
      <c r="F259" t="s">
        <v>21</v>
      </c>
      <c r="AJ259">
        <f>SUM(Post[[#This Row],[47]:[75]])</f>
        <v>0</v>
      </c>
    </row>
    <row r="260" spans="1:36" x14ac:dyDescent="0.2">
      <c r="A260" t="s">
        <v>42</v>
      </c>
      <c r="B260" t="s">
        <v>6</v>
      </c>
      <c r="C260">
        <v>1508</v>
      </c>
      <c r="D260" t="s">
        <v>7</v>
      </c>
      <c r="E260" t="s">
        <v>14</v>
      </c>
      <c r="F260" t="s">
        <v>19</v>
      </c>
      <c r="Z260">
        <v>1</v>
      </c>
      <c r="AA260">
        <v>1</v>
      </c>
      <c r="AJ260">
        <f>SUM(Post[[#This Row],[47]:[75]])</f>
        <v>2</v>
      </c>
    </row>
    <row r="261" spans="1:36" x14ac:dyDescent="0.2">
      <c r="A261" t="s">
        <v>42</v>
      </c>
      <c r="B261" t="s">
        <v>6</v>
      </c>
      <c r="C261">
        <v>4033</v>
      </c>
      <c r="D261" t="s">
        <v>7</v>
      </c>
      <c r="E261" t="s">
        <v>14</v>
      </c>
      <c r="F261" t="s">
        <v>31</v>
      </c>
      <c r="I261">
        <v>1</v>
      </c>
      <c r="K261">
        <v>1</v>
      </c>
      <c r="Y261">
        <v>1</v>
      </c>
      <c r="AJ261">
        <f>SUM(Post[[#This Row],[47]:[75]])</f>
        <v>3</v>
      </c>
    </row>
    <row r="262" spans="1:36" x14ac:dyDescent="0.2">
      <c r="A262" t="s">
        <v>42</v>
      </c>
      <c r="B262" t="s">
        <v>6</v>
      </c>
      <c r="C262">
        <v>5093</v>
      </c>
      <c r="D262" t="s">
        <v>7</v>
      </c>
      <c r="E262" t="s">
        <v>14</v>
      </c>
      <c r="F262" t="s">
        <v>28</v>
      </c>
      <c r="T262">
        <v>1</v>
      </c>
      <c r="AH262">
        <v>1</v>
      </c>
      <c r="AJ262">
        <f>SUM(Post[[#This Row],[47]:[75]])</f>
        <v>2</v>
      </c>
    </row>
    <row r="263" spans="1:36" x14ac:dyDescent="0.2">
      <c r="A263" t="s">
        <v>42</v>
      </c>
      <c r="B263" t="s">
        <v>6</v>
      </c>
      <c r="C263">
        <v>5093</v>
      </c>
      <c r="D263" t="s">
        <v>7</v>
      </c>
      <c r="E263" t="s">
        <v>14</v>
      </c>
      <c r="F263" t="s">
        <v>19</v>
      </c>
      <c r="AJ263">
        <f>SUM(Post[[#This Row],[47]:[75]])</f>
        <v>0</v>
      </c>
    </row>
    <row r="264" spans="1:36" x14ac:dyDescent="0.2">
      <c r="A264" t="s">
        <v>42</v>
      </c>
      <c r="B264" t="s">
        <v>6</v>
      </c>
      <c r="C264">
        <v>6625</v>
      </c>
      <c r="D264" t="s">
        <v>7</v>
      </c>
      <c r="E264" t="s">
        <v>14</v>
      </c>
      <c r="F264" t="s">
        <v>20</v>
      </c>
      <c r="AJ264">
        <f>SUM(Post[[#This Row],[47]:[75]])</f>
        <v>0</v>
      </c>
    </row>
    <row r="265" spans="1:36" x14ac:dyDescent="0.2">
      <c r="A265" t="s">
        <v>42</v>
      </c>
      <c r="B265" t="s">
        <v>6</v>
      </c>
      <c r="C265">
        <v>6626</v>
      </c>
      <c r="D265" t="s">
        <v>7</v>
      </c>
      <c r="E265" t="s">
        <v>14</v>
      </c>
      <c r="F265" t="s">
        <v>35</v>
      </c>
      <c r="H265">
        <v>1</v>
      </c>
      <c r="J265">
        <v>1</v>
      </c>
      <c r="L265">
        <v>1</v>
      </c>
      <c r="O265">
        <v>1</v>
      </c>
      <c r="Q265">
        <v>1</v>
      </c>
      <c r="S265">
        <v>1</v>
      </c>
      <c r="U265">
        <v>1</v>
      </c>
      <c r="W265">
        <v>1</v>
      </c>
      <c r="Y265">
        <v>1</v>
      </c>
      <c r="AA265">
        <v>1</v>
      </c>
      <c r="AC265">
        <v>1</v>
      </c>
      <c r="AE265">
        <v>1</v>
      </c>
      <c r="AG265">
        <v>1</v>
      </c>
      <c r="AI265">
        <v>1</v>
      </c>
      <c r="AJ265">
        <f>SUM(Post[[#This Row],[47]:[75]])</f>
        <v>14</v>
      </c>
    </row>
    <row r="266" spans="1:36" x14ac:dyDescent="0.2">
      <c r="A266" t="s">
        <v>42</v>
      </c>
      <c r="B266" t="s">
        <v>6</v>
      </c>
      <c r="C266">
        <v>6720</v>
      </c>
      <c r="D266" t="s">
        <v>7</v>
      </c>
      <c r="E266" t="s">
        <v>14</v>
      </c>
      <c r="F266" t="s">
        <v>20</v>
      </c>
      <c r="N266">
        <v>1</v>
      </c>
      <c r="Z266">
        <v>1</v>
      </c>
      <c r="AJ266">
        <f>SUM(Post[[#This Row],[47]:[75]])</f>
        <v>2</v>
      </c>
    </row>
    <row r="267" spans="1:36" x14ac:dyDescent="0.2">
      <c r="A267" t="s">
        <v>42</v>
      </c>
      <c r="B267" t="s">
        <v>6</v>
      </c>
      <c r="C267">
        <v>6754</v>
      </c>
      <c r="D267" t="s">
        <v>7</v>
      </c>
      <c r="E267" t="s">
        <v>14</v>
      </c>
      <c r="F267" t="s">
        <v>20</v>
      </c>
      <c r="T267">
        <v>1</v>
      </c>
      <c r="AH267">
        <v>1</v>
      </c>
      <c r="AJ267">
        <f>SUM(Post[[#This Row],[47]:[75]])</f>
        <v>2</v>
      </c>
    </row>
    <row r="268" spans="1:36" x14ac:dyDescent="0.2">
      <c r="A268" t="s">
        <v>42</v>
      </c>
      <c r="B268" t="s">
        <v>6</v>
      </c>
      <c r="C268">
        <v>7023</v>
      </c>
      <c r="D268" t="s">
        <v>7</v>
      </c>
      <c r="E268" t="s">
        <v>14</v>
      </c>
      <c r="F268" t="s">
        <v>20</v>
      </c>
      <c r="P268">
        <v>1</v>
      </c>
      <c r="AC268">
        <v>1</v>
      </c>
      <c r="AJ268">
        <f>SUM(Post[[#This Row],[47]:[75]])</f>
        <v>2</v>
      </c>
    </row>
    <row r="269" spans="1:36" x14ac:dyDescent="0.2">
      <c r="A269" t="s">
        <v>42</v>
      </c>
      <c r="B269" t="s">
        <v>6</v>
      </c>
      <c r="C269">
        <v>7111</v>
      </c>
      <c r="D269" t="s">
        <v>7</v>
      </c>
      <c r="E269" t="s">
        <v>14</v>
      </c>
      <c r="F269" t="s">
        <v>21</v>
      </c>
      <c r="AJ269">
        <f>SUM(Post[[#This Row],[47]:[75]])</f>
        <v>0</v>
      </c>
    </row>
    <row r="270" spans="1:36" x14ac:dyDescent="0.2">
      <c r="A270" t="s">
        <v>42</v>
      </c>
      <c r="B270" t="s">
        <v>6</v>
      </c>
      <c r="C270">
        <v>8015</v>
      </c>
      <c r="D270" t="s">
        <v>7</v>
      </c>
      <c r="E270" t="s">
        <v>10</v>
      </c>
      <c r="F270" t="s">
        <v>16</v>
      </c>
      <c r="Z270">
        <v>1</v>
      </c>
      <c r="AJ270">
        <f>SUM(Post[[#This Row],[47]:[75]])</f>
        <v>1</v>
      </c>
    </row>
    <row r="271" spans="1:36" x14ac:dyDescent="0.2">
      <c r="A271" t="s">
        <v>42</v>
      </c>
      <c r="B271" t="s">
        <v>6</v>
      </c>
      <c r="C271">
        <v>11003</v>
      </c>
      <c r="D271" t="s">
        <v>7</v>
      </c>
      <c r="E271" t="s">
        <v>14</v>
      </c>
      <c r="F271" t="s">
        <v>20</v>
      </c>
      <c r="AJ271">
        <f>SUM(Post[[#This Row],[47]:[75]])</f>
        <v>0</v>
      </c>
    </row>
    <row r="272" spans="1:36" x14ac:dyDescent="0.2">
      <c r="A272" t="s">
        <v>42</v>
      </c>
      <c r="B272" t="s">
        <v>6</v>
      </c>
      <c r="C272">
        <v>12533</v>
      </c>
      <c r="D272" t="s">
        <v>7</v>
      </c>
      <c r="E272" t="s">
        <v>14</v>
      </c>
      <c r="F272" t="s">
        <v>19</v>
      </c>
      <c r="O272">
        <v>1</v>
      </c>
      <c r="AJ272">
        <f>SUM(Post[[#This Row],[47]:[75]])</f>
        <v>1</v>
      </c>
    </row>
    <row r="273" spans="1:36" x14ac:dyDescent="0.2">
      <c r="A273" t="s">
        <v>42</v>
      </c>
      <c r="B273" t="s">
        <v>6</v>
      </c>
      <c r="C273">
        <v>13333</v>
      </c>
      <c r="D273" t="s">
        <v>7</v>
      </c>
      <c r="E273" t="s">
        <v>14</v>
      </c>
      <c r="F273" t="s">
        <v>20</v>
      </c>
      <c r="Q273">
        <v>1</v>
      </c>
      <c r="AE273">
        <v>1</v>
      </c>
      <c r="AJ273">
        <f>SUM(Post[[#This Row],[47]:[75]])</f>
        <v>2</v>
      </c>
    </row>
    <row r="274" spans="1:36" x14ac:dyDescent="0.2">
      <c r="A274" t="s">
        <v>42</v>
      </c>
      <c r="B274" t="s">
        <v>6</v>
      </c>
      <c r="C274">
        <v>15715</v>
      </c>
      <c r="D274" t="s">
        <v>7</v>
      </c>
      <c r="E274" t="s">
        <v>14</v>
      </c>
      <c r="F274" t="s">
        <v>21</v>
      </c>
      <c r="AA274">
        <v>1</v>
      </c>
      <c r="AJ274">
        <f>SUM(Post[[#This Row],[47]:[75]])</f>
        <v>1</v>
      </c>
    </row>
    <row r="275" spans="1:36" x14ac:dyDescent="0.2">
      <c r="A275" t="s">
        <v>42</v>
      </c>
      <c r="B275" t="s">
        <v>6</v>
      </c>
      <c r="C275">
        <v>16904</v>
      </c>
      <c r="D275" t="s">
        <v>7</v>
      </c>
      <c r="E275" t="s">
        <v>14</v>
      </c>
      <c r="F275" t="s">
        <v>20</v>
      </c>
      <c r="AJ275">
        <f>SUM(Post[[#This Row],[47]:[75]])</f>
        <v>0</v>
      </c>
    </row>
    <row r="276" spans="1:36" x14ac:dyDescent="0.2">
      <c r="A276" t="s">
        <v>42</v>
      </c>
      <c r="B276" t="s">
        <v>6</v>
      </c>
      <c r="C276">
        <v>18094</v>
      </c>
      <c r="D276" t="s">
        <v>7</v>
      </c>
      <c r="E276" t="s">
        <v>10</v>
      </c>
      <c r="F276" t="s">
        <v>11</v>
      </c>
      <c r="K276">
        <v>2</v>
      </c>
      <c r="Y276">
        <v>1</v>
      </c>
      <c r="AJ276">
        <f>SUM(Post[[#This Row],[47]:[75]])</f>
        <v>3</v>
      </c>
    </row>
    <row r="277" spans="1:36" x14ac:dyDescent="0.2">
      <c r="A277" t="s">
        <v>42</v>
      </c>
      <c r="B277" t="s">
        <v>6</v>
      </c>
      <c r="C277">
        <v>18094</v>
      </c>
      <c r="D277" t="s">
        <v>7</v>
      </c>
      <c r="E277" t="s">
        <v>14</v>
      </c>
      <c r="F277" t="s">
        <v>35</v>
      </c>
      <c r="P277">
        <v>1</v>
      </c>
      <c r="Y277">
        <v>1</v>
      </c>
      <c r="AJ277">
        <f>SUM(Post[[#This Row],[47]:[75]])</f>
        <v>2</v>
      </c>
    </row>
    <row r="278" spans="1:36" x14ac:dyDescent="0.2">
      <c r="A278" t="s">
        <v>42</v>
      </c>
      <c r="B278" t="s">
        <v>6</v>
      </c>
      <c r="C278">
        <v>18094</v>
      </c>
      <c r="D278" t="s">
        <v>7</v>
      </c>
      <c r="E278" t="s">
        <v>14</v>
      </c>
      <c r="F278" t="s">
        <v>20</v>
      </c>
      <c r="AJ278">
        <f>SUM(Post[[#This Row],[47]:[75]])</f>
        <v>0</v>
      </c>
    </row>
    <row r="279" spans="1:36" x14ac:dyDescent="0.2">
      <c r="A279" t="s">
        <v>42</v>
      </c>
      <c r="B279" t="s">
        <v>6</v>
      </c>
      <c r="C279">
        <v>22508</v>
      </c>
      <c r="D279" t="s">
        <v>7</v>
      </c>
      <c r="E279" t="s">
        <v>14</v>
      </c>
      <c r="F279" t="s">
        <v>19</v>
      </c>
      <c r="U279">
        <v>1</v>
      </c>
      <c r="AJ279">
        <f>SUM(Post[[#This Row],[47]:[75]])</f>
        <v>1</v>
      </c>
    </row>
    <row r="280" spans="1:36" x14ac:dyDescent="0.2">
      <c r="A280" t="s">
        <v>42</v>
      </c>
      <c r="B280" t="s">
        <v>6</v>
      </c>
      <c r="C280">
        <v>30312</v>
      </c>
      <c r="D280" t="s">
        <v>7</v>
      </c>
      <c r="E280" t="s">
        <v>10</v>
      </c>
      <c r="F280" t="s">
        <v>11</v>
      </c>
      <c r="O280">
        <v>3</v>
      </c>
      <c r="AJ280">
        <f>SUM(Post[[#This Row],[47]:[75]])</f>
        <v>3</v>
      </c>
    </row>
    <row r="281" spans="1:36" x14ac:dyDescent="0.2">
      <c r="A281" t="s">
        <v>42</v>
      </c>
      <c r="B281" t="s">
        <v>6</v>
      </c>
      <c r="C281">
        <v>33615</v>
      </c>
      <c r="D281" t="s">
        <v>7</v>
      </c>
      <c r="E281" t="s">
        <v>14</v>
      </c>
      <c r="F281" t="s">
        <v>21</v>
      </c>
      <c r="P281">
        <v>1</v>
      </c>
      <c r="AD281">
        <v>2</v>
      </c>
      <c r="AJ281">
        <f>SUM(Post[[#This Row],[47]:[75]])</f>
        <v>3</v>
      </c>
    </row>
    <row r="282" spans="1:36" x14ac:dyDescent="0.2">
      <c r="A282" t="s">
        <v>42</v>
      </c>
      <c r="B282" t="s">
        <v>6</v>
      </c>
      <c r="C282">
        <v>5660</v>
      </c>
      <c r="D282" t="s">
        <v>22</v>
      </c>
      <c r="E282" t="s">
        <v>8</v>
      </c>
      <c r="F282" t="s">
        <v>9</v>
      </c>
      <c r="J282">
        <v>1</v>
      </c>
      <c r="AA282">
        <v>2</v>
      </c>
      <c r="AJ282">
        <f>SUM(Post[[#This Row],[47]:[75]])</f>
        <v>3</v>
      </c>
    </row>
    <row r="283" spans="1:36" x14ac:dyDescent="0.2">
      <c r="A283" t="s">
        <v>42</v>
      </c>
      <c r="B283" t="s">
        <v>6</v>
      </c>
      <c r="C283">
        <v>5660</v>
      </c>
      <c r="D283" t="s">
        <v>22</v>
      </c>
      <c r="E283" t="s">
        <v>14</v>
      </c>
      <c r="F283" t="s">
        <v>21</v>
      </c>
      <c r="G283">
        <v>1</v>
      </c>
      <c r="J283">
        <v>1</v>
      </c>
      <c r="Q283">
        <v>1</v>
      </c>
      <c r="V283">
        <v>1</v>
      </c>
      <c r="AJ283">
        <f>SUM(Post[[#This Row],[47]:[75]])</f>
        <v>4</v>
      </c>
    </row>
    <row r="284" spans="1:36" x14ac:dyDescent="0.2">
      <c r="A284" t="s">
        <v>42</v>
      </c>
      <c r="B284" t="s">
        <v>6</v>
      </c>
      <c r="C284">
        <v>7752</v>
      </c>
      <c r="D284" t="s">
        <v>22</v>
      </c>
      <c r="E284" t="s">
        <v>14</v>
      </c>
      <c r="F284" t="s">
        <v>19</v>
      </c>
      <c r="AJ284">
        <f>SUM(Post[[#This Row],[47]:[75]])</f>
        <v>0</v>
      </c>
    </row>
    <row r="285" spans="1:36" x14ac:dyDescent="0.2">
      <c r="A285" t="s">
        <v>42</v>
      </c>
      <c r="B285" t="s">
        <v>6</v>
      </c>
      <c r="C285">
        <v>15025</v>
      </c>
      <c r="D285" t="s">
        <v>22</v>
      </c>
      <c r="E285" t="s">
        <v>10</v>
      </c>
      <c r="F285" t="s">
        <v>11</v>
      </c>
      <c r="Z285">
        <v>2</v>
      </c>
      <c r="AJ285">
        <f>SUM(Post[[#This Row],[47]:[75]])</f>
        <v>2</v>
      </c>
    </row>
    <row r="286" spans="1:36" x14ac:dyDescent="0.2">
      <c r="A286" t="s">
        <v>42</v>
      </c>
      <c r="B286" t="s">
        <v>6</v>
      </c>
      <c r="C286">
        <v>15025</v>
      </c>
      <c r="D286" t="s">
        <v>22</v>
      </c>
      <c r="E286" t="s">
        <v>14</v>
      </c>
      <c r="F286" t="s">
        <v>35</v>
      </c>
      <c r="K286">
        <v>1</v>
      </c>
      <c r="AA286">
        <v>1</v>
      </c>
      <c r="AJ286">
        <f>SUM(Post[[#This Row],[47]:[75]])</f>
        <v>2</v>
      </c>
    </row>
    <row r="287" spans="1:36" x14ac:dyDescent="0.2">
      <c r="A287" t="s">
        <v>42</v>
      </c>
      <c r="B287" t="s">
        <v>6</v>
      </c>
      <c r="C287">
        <v>26562</v>
      </c>
      <c r="D287" t="s">
        <v>22</v>
      </c>
      <c r="E287" t="s">
        <v>14</v>
      </c>
      <c r="F287" t="s">
        <v>35</v>
      </c>
      <c r="AJ287">
        <f>SUM(Post[[#This Row],[47]:[75]])</f>
        <v>0</v>
      </c>
    </row>
    <row r="288" spans="1:36" x14ac:dyDescent="0.2">
      <c r="A288" t="s">
        <v>42</v>
      </c>
      <c r="B288" t="s">
        <v>6</v>
      </c>
      <c r="C288">
        <v>30758</v>
      </c>
      <c r="D288" t="s">
        <v>22</v>
      </c>
      <c r="E288" t="s">
        <v>10</v>
      </c>
      <c r="F288" t="s">
        <v>11</v>
      </c>
      <c r="AB288">
        <v>1</v>
      </c>
      <c r="AJ288">
        <f>SUM(Post[[#This Row],[47]:[75]])</f>
        <v>1</v>
      </c>
    </row>
    <row r="289" spans="1:36" x14ac:dyDescent="0.2">
      <c r="A289" t="s">
        <v>42</v>
      </c>
      <c r="B289" t="s">
        <v>6</v>
      </c>
      <c r="C289">
        <v>6500</v>
      </c>
      <c r="D289" t="s">
        <v>7</v>
      </c>
      <c r="E289" t="s">
        <v>14</v>
      </c>
      <c r="F289" t="s">
        <v>19</v>
      </c>
      <c r="AJ289">
        <f>SUM(Post[[#This Row],[47]:[75]])</f>
        <v>0</v>
      </c>
    </row>
    <row r="290" spans="1:36" x14ac:dyDescent="0.2">
      <c r="A290" t="s">
        <v>42</v>
      </c>
      <c r="B290" t="s">
        <v>6</v>
      </c>
      <c r="C290">
        <v>6500</v>
      </c>
      <c r="D290" t="s">
        <v>7</v>
      </c>
      <c r="E290" t="s">
        <v>14</v>
      </c>
      <c r="F290" t="s">
        <v>21</v>
      </c>
      <c r="J290">
        <v>1</v>
      </c>
      <c r="W290">
        <v>1</v>
      </c>
      <c r="AE290">
        <v>1</v>
      </c>
      <c r="AJ290">
        <f>SUM(Post[[#This Row],[47]:[75]])</f>
        <v>3</v>
      </c>
    </row>
    <row r="291" spans="1:36" x14ac:dyDescent="0.2">
      <c r="A291" t="s">
        <v>42</v>
      </c>
      <c r="B291" t="s">
        <v>6</v>
      </c>
      <c r="C291">
        <v>17636</v>
      </c>
      <c r="D291" t="s">
        <v>7</v>
      </c>
      <c r="E291" t="s">
        <v>14</v>
      </c>
      <c r="F291" t="s">
        <v>19</v>
      </c>
      <c r="AJ291">
        <f>SUM(Post[[#This Row],[47]:[75]])</f>
        <v>0</v>
      </c>
    </row>
    <row r="292" spans="1:36" x14ac:dyDescent="0.2">
      <c r="A292" t="s">
        <v>42</v>
      </c>
      <c r="B292" t="s">
        <v>6</v>
      </c>
      <c r="C292">
        <v>17636</v>
      </c>
      <c r="D292" t="s">
        <v>7</v>
      </c>
      <c r="E292" t="s">
        <v>14</v>
      </c>
      <c r="F292" t="s">
        <v>21</v>
      </c>
      <c r="AJ292">
        <f>SUM(Post[[#This Row],[47]:[75]])</f>
        <v>0</v>
      </c>
    </row>
    <row r="293" spans="1:36" x14ac:dyDescent="0.2">
      <c r="A293" t="s">
        <v>42</v>
      </c>
      <c r="B293" t="s">
        <v>6</v>
      </c>
      <c r="C293">
        <v>20715</v>
      </c>
      <c r="D293" t="s">
        <v>7</v>
      </c>
      <c r="E293" t="s">
        <v>14</v>
      </c>
      <c r="F293" t="s">
        <v>20</v>
      </c>
      <c r="AB293">
        <v>1</v>
      </c>
      <c r="AJ293">
        <f>SUM(Post[[#This Row],[47]:[75]])</f>
        <v>1</v>
      </c>
    </row>
    <row r="294" spans="1:36" x14ac:dyDescent="0.2">
      <c r="A294" t="s">
        <v>42</v>
      </c>
      <c r="B294" t="s">
        <v>6</v>
      </c>
      <c r="C294">
        <v>30458</v>
      </c>
      <c r="D294" t="s">
        <v>22</v>
      </c>
      <c r="E294" t="s">
        <v>14</v>
      </c>
      <c r="F294" t="s">
        <v>31</v>
      </c>
      <c r="H294">
        <v>1</v>
      </c>
      <c r="Q294">
        <v>2</v>
      </c>
      <c r="AJ294">
        <f>SUM(Post[[#This Row],[47]:[75]])</f>
        <v>3</v>
      </c>
    </row>
    <row r="295" spans="1:36" x14ac:dyDescent="0.2">
      <c r="A295" t="s">
        <v>42</v>
      </c>
      <c r="B295" t="s">
        <v>6</v>
      </c>
      <c r="C295">
        <v>2945</v>
      </c>
      <c r="D295" t="s">
        <v>7</v>
      </c>
      <c r="E295" t="s">
        <v>14</v>
      </c>
      <c r="F295" t="s">
        <v>20</v>
      </c>
      <c r="P295">
        <v>1</v>
      </c>
      <c r="AB295">
        <v>1</v>
      </c>
      <c r="AJ295">
        <f>SUM(Post[[#This Row],[47]:[75]])</f>
        <v>2</v>
      </c>
    </row>
    <row r="296" spans="1:36" x14ac:dyDescent="0.2">
      <c r="A296" t="s">
        <v>42</v>
      </c>
      <c r="B296" t="s">
        <v>6</v>
      </c>
      <c r="C296">
        <v>17040</v>
      </c>
      <c r="D296" t="s">
        <v>7</v>
      </c>
      <c r="E296" t="s">
        <v>14</v>
      </c>
      <c r="F296" t="s">
        <v>20</v>
      </c>
      <c r="AF296">
        <v>1</v>
      </c>
      <c r="AJ296">
        <f>SUM(Post[[#This Row],[47]:[75]])</f>
        <v>1</v>
      </c>
    </row>
    <row r="297" spans="1:36" x14ac:dyDescent="0.2">
      <c r="A297" t="s">
        <v>42</v>
      </c>
      <c r="B297" t="s">
        <v>6</v>
      </c>
      <c r="C297">
        <v>844</v>
      </c>
      <c r="D297" t="s">
        <v>7</v>
      </c>
      <c r="E297" t="s">
        <v>14</v>
      </c>
      <c r="F297" t="s">
        <v>19</v>
      </c>
      <c r="AJ297">
        <f>SUM(Post[[#This Row],[47]:[75]])</f>
        <v>0</v>
      </c>
    </row>
    <row r="298" spans="1:36" x14ac:dyDescent="0.2">
      <c r="A298" t="s">
        <v>42</v>
      </c>
      <c r="B298" t="s">
        <v>6</v>
      </c>
      <c r="C298">
        <v>844</v>
      </c>
      <c r="D298" t="s">
        <v>7</v>
      </c>
      <c r="E298" t="s">
        <v>14</v>
      </c>
      <c r="F298" t="s">
        <v>21</v>
      </c>
      <c r="AJ298">
        <f>SUM(Post[[#This Row],[47]:[75]])</f>
        <v>0</v>
      </c>
    </row>
    <row r="299" spans="1:36" x14ac:dyDescent="0.2">
      <c r="A299" t="s">
        <v>42</v>
      </c>
      <c r="B299" t="s">
        <v>6</v>
      </c>
      <c r="C299">
        <v>1170</v>
      </c>
      <c r="D299" t="s">
        <v>7</v>
      </c>
      <c r="E299" t="s">
        <v>14</v>
      </c>
      <c r="F299" t="s">
        <v>28</v>
      </c>
      <c r="AJ299">
        <f>SUM(Post[[#This Row],[47]:[75]])</f>
        <v>0</v>
      </c>
    </row>
    <row r="300" spans="1:36" x14ac:dyDescent="0.2">
      <c r="A300" t="s">
        <v>42</v>
      </c>
      <c r="B300" t="s">
        <v>6</v>
      </c>
      <c r="C300">
        <v>10013</v>
      </c>
      <c r="D300" t="s">
        <v>7</v>
      </c>
      <c r="E300" t="s">
        <v>10</v>
      </c>
      <c r="F300" t="s">
        <v>11</v>
      </c>
      <c r="AE300">
        <v>1</v>
      </c>
      <c r="AJ300">
        <f>SUM(Post[[#This Row],[47]:[75]])</f>
        <v>1</v>
      </c>
    </row>
    <row r="301" spans="1:36" x14ac:dyDescent="0.2">
      <c r="A301" t="s">
        <v>42</v>
      </c>
      <c r="B301" t="s">
        <v>6</v>
      </c>
      <c r="C301">
        <v>16882</v>
      </c>
      <c r="D301" t="s">
        <v>7</v>
      </c>
      <c r="E301" t="s">
        <v>14</v>
      </c>
      <c r="F301" t="s">
        <v>35</v>
      </c>
      <c r="AJ301">
        <f>SUM(Post[[#This Row],[47]:[75]])</f>
        <v>0</v>
      </c>
    </row>
    <row r="302" spans="1:36" x14ac:dyDescent="0.2">
      <c r="A302" t="s">
        <v>42</v>
      </c>
      <c r="B302" t="s">
        <v>6</v>
      </c>
      <c r="C302">
        <v>18084</v>
      </c>
      <c r="D302" t="s">
        <v>7</v>
      </c>
      <c r="E302" t="s">
        <v>14</v>
      </c>
      <c r="F302" t="s">
        <v>28</v>
      </c>
      <c r="G302">
        <v>1</v>
      </c>
      <c r="L302">
        <v>1</v>
      </c>
      <c r="Q302">
        <v>1</v>
      </c>
      <c r="W302">
        <v>2</v>
      </c>
      <c r="AJ302">
        <f>SUM(Post[[#This Row],[47]:[75]])</f>
        <v>5</v>
      </c>
    </row>
    <row r="303" spans="1:36" x14ac:dyDescent="0.2">
      <c r="A303" t="s">
        <v>42</v>
      </c>
      <c r="B303" t="s">
        <v>6</v>
      </c>
      <c r="C303">
        <v>629</v>
      </c>
      <c r="D303" t="s">
        <v>7</v>
      </c>
      <c r="E303" t="s">
        <v>8</v>
      </c>
      <c r="F303" t="s">
        <v>29</v>
      </c>
      <c r="K303">
        <v>1</v>
      </c>
      <c r="Z303">
        <v>1</v>
      </c>
      <c r="AJ303">
        <f>SUM(Post[[#This Row],[47]:[75]])</f>
        <v>2</v>
      </c>
    </row>
    <row r="304" spans="1:36" x14ac:dyDescent="0.2">
      <c r="A304" t="s">
        <v>42</v>
      </c>
      <c r="B304" t="s">
        <v>6</v>
      </c>
      <c r="C304">
        <v>901</v>
      </c>
      <c r="D304" t="s">
        <v>7</v>
      </c>
      <c r="E304" t="s">
        <v>8</v>
      </c>
      <c r="F304" t="s">
        <v>23</v>
      </c>
      <c r="AJ304">
        <f>SUM(Post[[#This Row],[47]:[75]])</f>
        <v>0</v>
      </c>
    </row>
    <row r="305" spans="1:36" x14ac:dyDescent="0.2">
      <c r="A305" t="s">
        <v>42</v>
      </c>
      <c r="B305" t="s">
        <v>6</v>
      </c>
      <c r="C305">
        <v>901</v>
      </c>
      <c r="D305" t="s">
        <v>7</v>
      </c>
      <c r="E305" t="s">
        <v>8</v>
      </c>
      <c r="F305" t="s">
        <v>29</v>
      </c>
      <c r="I305">
        <v>1</v>
      </c>
      <c r="W305">
        <v>1</v>
      </c>
      <c r="AJ305">
        <f>SUM(Post[[#This Row],[47]:[75]])</f>
        <v>2</v>
      </c>
    </row>
    <row r="306" spans="1:36" x14ac:dyDescent="0.2">
      <c r="A306" t="s">
        <v>42</v>
      </c>
      <c r="B306" t="s">
        <v>6</v>
      </c>
      <c r="C306">
        <v>4950</v>
      </c>
      <c r="D306" t="s">
        <v>7</v>
      </c>
      <c r="E306" t="s">
        <v>8</v>
      </c>
      <c r="F306" t="s">
        <v>29</v>
      </c>
      <c r="J306">
        <v>1</v>
      </c>
      <c r="AJ306">
        <f>SUM(Post[[#This Row],[47]:[75]])</f>
        <v>1</v>
      </c>
    </row>
    <row r="307" spans="1:36" x14ac:dyDescent="0.2">
      <c r="A307" t="s">
        <v>42</v>
      </c>
      <c r="B307" t="s">
        <v>6</v>
      </c>
      <c r="C307">
        <v>8296</v>
      </c>
      <c r="D307" t="s">
        <v>7</v>
      </c>
      <c r="E307" t="s">
        <v>8</v>
      </c>
      <c r="F307" t="s">
        <v>23</v>
      </c>
      <c r="G307">
        <v>1</v>
      </c>
      <c r="Z307">
        <v>1</v>
      </c>
      <c r="AJ307">
        <f>SUM(Post[[#This Row],[47]:[75]])</f>
        <v>2</v>
      </c>
    </row>
    <row r="308" spans="1:36" x14ac:dyDescent="0.2">
      <c r="A308" t="s">
        <v>42</v>
      </c>
      <c r="B308" t="s">
        <v>6</v>
      </c>
      <c r="C308">
        <v>9077</v>
      </c>
      <c r="D308" t="s">
        <v>7</v>
      </c>
      <c r="E308" t="s">
        <v>8</v>
      </c>
      <c r="F308" t="s">
        <v>30</v>
      </c>
      <c r="H308">
        <v>1</v>
      </c>
      <c r="I308">
        <v>1</v>
      </c>
      <c r="K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U308">
        <v>1</v>
      </c>
      <c r="W308">
        <v>1</v>
      </c>
      <c r="Y308">
        <v>1</v>
      </c>
      <c r="AB308">
        <v>1</v>
      </c>
      <c r="AD308">
        <v>1</v>
      </c>
      <c r="AE308">
        <v>1</v>
      </c>
      <c r="AG308">
        <v>1</v>
      </c>
      <c r="AJ308">
        <f>SUM(Post[[#This Row],[47]:[75]])</f>
        <v>15</v>
      </c>
    </row>
    <row r="309" spans="1:36" x14ac:dyDescent="0.2">
      <c r="A309" t="s">
        <v>42</v>
      </c>
      <c r="B309" t="s">
        <v>6</v>
      </c>
      <c r="C309">
        <v>20822</v>
      </c>
      <c r="D309" t="s">
        <v>7</v>
      </c>
      <c r="E309" t="s">
        <v>8</v>
      </c>
      <c r="F309" t="s">
        <v>29</v>
      </c>
      <c r="P309">
        <v>1</v>
      </c>
      <c r="AJ309">
        <f>SUM(Post[[#This Row],[47]:[75]])</f>
        <v>1</v>
      </c>
    </row>
    <row r="310" spans="1:36" x14ac:dyDescent="0.2">
      <c r="A310" t="s">
        <v>42</v>
      </c>
      <c r="B310" t="s">
        <v>6</v>
      </c>
      <c r="C310">
        <v>21553</v>
      </c>
      <c r="D310" t="s">
        <v>7</v>
      </c>
      <c r="E310" t="s">
        <v>8</v>
      </c>
      <c r="F310" t="s">
        <v>23</v>
      </c>
      <c r="O310">
        <v>2</v>
      </c>
      <c r="AA310">
        <v>1</v>
      </c>
      <c r="AJ310">
        <f>SUM(Post[[#This Row],[47]:[75]])</f>
        <v>3</v>
      </c>
    </row>
    <row r="311" spans="1:36" x14ac:dyDescent="0.2">
      <c r="A311" t="s">
        <v>42</v>
      </c>
      <c r="B311" t="s">
        <v>6</v>
      </c>
      <c r="C311">
        <v>25113</v>
      </c>
      <c r="D311" t="s">
        <v>7</v>
      </c>
      <c r="E311" t="s">
        <v>8</v>
      </c>
      <c r="F311" t="s">
        <v>29</v>
      </c>
      <c r="AJ311">
        <f>SUM(Post[[#This Row],[47]:[75]])</f>
        <v>0</v>
      </c>
    </row>
    <row r="312" spans="1:36" x14ac:dyDescent="0.2">
      <c r="A312" t="s">
        <v>42</v>
      </c>
      <c r="B312" t="s">
        <v>6</v>
      </c>
      <c r="C312">
        <v>32414</v>
      </c>
      <c r="D312" t="s">
        <v>7</v>
      </c>
      <c r="E312" t="s">
        <v>8</v>
      </c>
      <c r="F312" t="s">
        <v>29</v>
      </c>
      <c r="O312">
        <v>1</v>
      </c>
      <c r="AC312">
        <v>1</v>
      </c>
      <c r="AJ312">
        <f>SUM(Post[[#This Row],[47]:[75]])</f>
        <v>2</v>
      </c>
    </row>
    <row r="313" spans="1:36" x14ac:dyDescent="0.2">
      <c r="A313" t="s">
        <v>42</v>
      </c>
      <c r="B313" t="s">
        <v>6</v>
      </c>
      <c r="C313">
        <v>30652</v>
      </c>
      <c r="D313" t="s">
        <v>22</v>
      </c>
      <c r="E313" t="s">
        <v>8</v>
      </c>
      <c r="F313" t="s">
        <v>23</v>
      </c>
      <c r="G313">
        <v>2</v>
      </c>
      <c r="T313">
        <v>1</v>
      </c>
      <c r="AG313">
        <v>3</v>
      </c>
      <c r="AJ313">
        <f>SUM(Post[[#This Row],[47]:[75]])</f>
        <v>6</v>
      </c>
    </row>
    <row r="314" spans="1:36" x14ac:dyDescent="0.2">
      <c r="A314" t="s">
        <v>42</v>
      </c>
      <c r="B314" t="s">
        <v>6</v>
      </c>
      <c r="C314">
        <v>32816</v>
      </c>
      <c r="D314" t="s">
        <v>22</v>
      </c>
      <c r="E314" t="s">
        <v>8</v>
      </c>
      <c r="F314" t="s">
        <v>29</v>
      </c>
      <c r="O314">
        <v>1</v>
      </c>
      <c r="AB314">
        <v>1</v>
      </c>
      <c r="AJ314">
        <f>SUM(Post[[#This Row],[47]:[75]])</f>
        <v>2</v>
      </c>
    </row>
    <row r="315" spans="1:36" x14ac:dyDescent="0.2">
      <c r="A315" t="s">
        <v>42</v>
      </c>
      <c r="B315" t="s">
        <v>6</v>
      </c>
      <c r="C315">
        <v>564</v>
      </c>
      <c r="D315" t="s">
        <v>7</v>
      </c>
      <c r="E315" t="s">
        <v>37</v>
      </c>
      <c r="F315" t="s">
        <v>38</v>
      </c>
      <c r="I315">
        <v>1</v>
      </c>
      <c r="N315">
        <v>1</v>
      </c>
      <c r="AB315">
        <v>1</v>
      </c>
      <c r="AJ315">
        <f>SUM(Post[[#This Row],[47]:[75]])</f>
        <v>3</v>
      </c>
    </row>
    <row r="316" spans="1:36" x14ac:dyDescent="0.2">
      <c r="A316" t="s">
        <v>42</v>
      </c>
      <c r="B316" t="s">
        <v>6</v>
      </c>
      <c r="C316">
        <v>2945</v>
      </c>
      <c r="D316" t="s">
        <v>7</v>
      </c>
      <c r="E316" t="s">
        <v>8</v>
      </c>
      <c r="F316" t="s">
        <v>29</v>
      </c>
      <c r="P316">
        <v>1</v>
      </c>
      <c r="AB316">
        <v>1</v>
      </c>
      <c r="AJ316">
        <f>SUM(Post[[#This Row],[47]:[75]])</f>
        <v>2</v>
      </c>
    </row>
    <row r="317" spans="1:36" x14ac:dyDescent="0.2">
      <c r="A317" t="s">
        <v>42</v>
      </c>
      <c r="B317" t="s">
        <v>6</v>
      </c>
      <c r="C317">
        <v>6720</v>
      </c>
      <c r="D317" t="s">
        <v>7</v>
      </c>
      <c r="E317" t="s">
        <v>8</v>
      </c>
      <c r="F317" t="s">
        <v>29</v>
      </c>
      <c r="N317">
        <v>1</v>
      </c>
      <c r="Z317">
        <v>1</v>
      </c>
      <c r="AJ317">
        <f>SUM(Post[[#This Row],[47]:[75]])</f>
        <v>2</v>
      </c>
    </row>
    <row r="318" spans="1:36" x14ac:dyDescent="0.2">
      <c r="A318" t="s">
        <v>42</v>
      </c>
      <c r="B318" t="s">
        <v>6</v>
      </c>
      <c r="C318">
        <v>6754</v>
      </c>
      <c r="D318" t="s">
        <v>7</v>
      </c>
      <c r="E318" t="s">
        <v>8</v>
      </c>
      <c r="F318" t="s">
        <v>23</v>
      </c>
      <c r="AJ318">
        <f>SUM(Post[[#This Row],[47]:[75]])</f>
        <v>0</v>
      </c>
    </row>
    <row r="319" spans="1:36" x14ac:dyDescent="0.2">
      <c r="A319" t="s">
        <v>42</v>
      </c>
      <c r="B319" t="s">
        <v>6</v>
      </c>
      <c r="C319">
        <v>7023</v>
      </c>
      <c r="D319" t="s">
        <v>7</v>
      </c>
      <c r="E319" t="s">
        <v>8</v>
      </c>
      <c r="F319" t="s">
        <v>45</v>
      </c>
      <c r="P319">
        <v>1</v>
      </c>
      <c r="AC319">
        <v>2</v>
      </c>
      <c r="AJ319">
        <f>SUM(Post[[#This Row],[47]:[75]])</f>
        <v>3</v>
      </c>
    </row>
    <row r="320" spans="1:36" x14ac:dyDescent="0.2">
      <c r="A320" t="s">
        <v>42</v>
      </c>
      <c r="B320" t="s">
        <v>6</v>
      </c>
      <c r="C320">
        <v>10835</v>
      </c>
      <c r="D320" t="s">
        <v>7</v>
      </c>
      <c r="E320" t="s">
        <v>8</v>
      </c>
      <c r="F320" t="s">
        <v>29</v>
      </c>
      <c r="J320">
        <v>1</v>
      </c>
      <c r="Z320">
        <v>2</v>
      </c>
      <c r="AJ320">
        <f>SUM(Post[[#This Row],[47]:[75]])</f>
        <v>3</v>
      </c>
    </row>
    <row r="321" spans="1:36" x14ac:dyDescent="0.2">
      <c r="A321" t="s">
        <v>42</v>
      </c>
      <c r="B321" t="s">
        <v>6</v>
      </c>
      <c r="C321">
        <v>13333</v>
      </c>
      <c r="D321" t="s">
        <v>7</v>
      </c>
      <c r="E321" t="s">
        <v>8</v>
      </c>
      <c r="F321" t="s">
        <v>23</v>
      </c>
      <c r="J321">
        <v>1</v>
      </c>
      <c r="AE321">
        <v>1</v>
      </c>
      <c r="AJ321">
        <f>SUM(Post[[#This Row],[47]:[75]])</f>
        <v>2</v>
      </c>
    </row>
    <row r="322" spans="1:36" x14ac:dyDescent="0.2">
      <c r="A322" t="s">
        <v>42</v>
      </c>
      <c r="B322" t="s">
        <v>6</v>
      </c>
      <c r="C322">
        <v>19934</v>
      </c>
      <c r="D322" t="s">
        <v>7</v>
      </c>
      <c r="E322" t="s">
        <v>8</v>
      </c>
      <c r="F322" t="s">
        <v>29</v>
      </c>
      <c r="O322">
        <v>1</v>
      </c>
      <c r="AC322">
        <v>1</v>
      </c>
      <c r="AJ322">
        <f>SUM(Post[[#This Row],[47]:[75]])</f>
        <v>2</v>
      </c>
    </row>
    <row r="323" spans="1:36" x14ac:dyDescent="0.2">
      <c r="A323" t="s">
        <v>42</v>
      </c>
      <c r="B323" t="s">
        <v>6</v>
      </c>
      <c r="C323">
        <v>563</v>
      </c>
      <c r="D323" t="s">
        <v>22</v>
      </c>
      <c r="E323" t="s">
        <v>8</v>
      </c>
      <c r="F323" t="s">
        <v>9</v>
      </c>
      <c r="W323">
        <v>1</v>
      </c>
      <c r="AJ323">
        <f>SUM(Post[[#This Row],[47]:[75]])</f>
        <v>1</v>
      </c>
    </row>
    <row r="324" spans="1:36" x14ac:dyDescent="0.2">
      <c r="A324" t="s">
        <v>42</v>
      </c>
      <c r="B324" t="s">
        <v>6</v>
      </c>
      <c r="C324">
        <v>15025</v>
      </c>
      <c r="D324" t="s">
        <v>22</v>
      </c>
      <c r="E324" t="s">
        <v>8</v>
      </c>
      <c r="F324" t="s">
        <v>23</v>
      </c>
      <c r="Q324">
        <v>1</v>
      </c>
      <c r="AJ324">
        <f>SUM(Post[[#This Row],[47]:[75]])</f>
        <v>1</v>
      </c>
    </row>
    <row r="325" spans="1:36" x14ac:dyDescent="0.2">
      <c r="A325" t="s">
        <v>46</v>
      </c>
      <c r="B325" t="s">
        <v>6</v>
      </c>
      <c r="C325">
        <v>2289</v>
      </c>
      <c r="D325" t="s">
        <v>7</v>
      </c>
      <c r="E325" t="s">
        <v>8</v>
      </c>
      <c r="F325" t="s">
        <v>29</v>
      </c>
      <c r="P325">
        <v>1</v>
      </c>
      <c r="AH325">
        <v>1</v>
      </c>
      <c r="AJ325">
        <f>SUM(Post[[#This Row],[47]:[75]])</f>
        <v>2</v>
      </c>
    </row>
    <row r="326" spans="1:36" x14ac:dyDescent="0.2">
      <c r="A326" t="s">
        <v>46</v>
      </c>
      <c r="B326" t="s">
        <v>6</v>
      </c>
      <c r="C326">
        <v>3221</v>
      </c>
      <c r="D326" t="s">
        <v>7</v>
      </c>
      <c r="E326" t="s">
        <v>8</v>
      </c>
      <c r="F326" t="s">
        <v>9</v>
      </c>
      <c r="S326">
        <v>1</v>
      </c>
      <c r="U326">
        <v>1</v>
      </c>
      <c r="AH326">
        <v>1</v>
      </c>
      <c r="AJ326">
        <f>SUM(Post[[#This Row],[47]:[75]])</f>
        <v>3</v>
      </c>
    </row>
    <row r="327" spans="1:36" x14ac:dyDescent="0.2">
      <c r="A327" t="s">
        <v>46</v>
      </c>
      <c r="B327" t="s">
        <v>6</v>
      </c>
      <c r="C327">
        <v>5088</v>
      </c>
      <c r="D327" t="s">
        <v>7</v>
      </c>
      <c r="E327" t="s">
        <v>14</v>
      </c>
      <c r="F327" t="s">
        <v>20</v>
      </c>
      <c r="S327">
        <v>1</v>
      </c>
      <c r="AJ327">
        <f>SUM(Post[[#This Row],[47]:[75]])</f>
        <v>1</v>
      </c>
    </row>
    <row r="328" spans="1:36" x14ac:dyDescent="0.2">
      <c r="A328" t="s">
        <v>46</v>
      </c>
      <c r="B328" t="s">
        <v>6</v>
      </c>
      <c r="C328">
        <v>5624</v>
      </c>
      <c r="D328" t="s">
        <v>7</v>
      </c>
      <c r="E328" t="s">
        <v>14</v>
      </c>
      <c r="F328" t="s">
        <v>31</v>
      </c>
      <c r="AJ328">
        <f>SUM(Post[[#This Row],[47]:[75]])</f>
        <v>0</v>
      </c>
    </row>
    <row r="329" spans="1:36" x14ac:dyDescent="0.2">
      <c r="A329" t="s">
        <v>46</v>
      </c>
      <c r="B329" t="s">
        <v>6</v>
      </c>
      <c r="C329">
        <v>6116</v>
      </c>
      <c r="D329" t="s">
        <v>7</v>
      </c>
      <c r="E329" t="s">
        <v>8</v>
      </c>
      <c r="F329" t="s">
        <v>23</v>
      </c>
      <c r="H329">
        <v>1</v>
      </c>
      <c r="L329">
        <v>1</v>
      </c>
      <c r="V329">
        <v>1</v>
      </c>
      <c r="AA329">
        <v>1</v>
      </c>
      <c r="AF329">
        <v>1</v>
      </c>
      <c r="AJ329">
        <f>SUM(Post[[#This Row],[47]:[75]])</f>
        <v>5</v>
      </c>
    </row>
    <row r="330" spans="1:36" x14ac:dyDescent="0.2">
      <c r="A330" t="s">
        <v>46</v>
      </c>
      <c r="B330" t="s">
        <v>6</v>
      </c>
      <c r="C330">
        <v>6401</v>
      </c>
      <c r="D330" t="s">
        <v>7</v>
      </c>
      <c r="E330" t="s">
        <v>8</v>
      </c>
      <c r="F330" t="s">
        <v>23</v>
      </c>
      <c r="AJ330">
        <f>SUM(Post[[#This Row],[47]:[75]])</f>
        <v>0</v>
      </c>
    </row>
    <row r="331" spans="1:36" x14ac:dyDescent="0.2">
      <c r="A331" t="s">
        <v>46</v>
      </c>
      <c r="B331" t="s">
        <v>6</v>
      </c>
      <c r="C331">
        <v>6401</v>
      </c>
      <c r="D331" t="s">
        <v>7</v>
      </c>
      <c r="E331" t="s">
        <v>8</v>
      </c>
      <c r="F331" t="s">
        <v>29</v>
      </c>
      <c r="X331">
        <v>2</v>
      </c>
      <c r="Y331">
        <v>1</v>
      </c>
      <c r="Z331">
        <v>1</v>
      </c>
      <c r="AA331">
        <v>1</v>
      </c>
      <c r="AB331">
        <v>1</v>
      </c>
      <c r="AF331">
        <v>1</v>
      </c>
      <c r="AJ331">
        <f>SUM(Post[[#This Row],[47]:[75]])</f>
        <v>7</v>
      </c>
    </row>
    <row r="332" spans="1:36" x14ac:dyDescent="0.2">
      <c r="A332" t="s">
        <v>46</v>
      </c>
      <c r="B332" t="s">
        <v>6</v>
      </c>
      <c r="C332">
        <v>6401</v>
      </c>
      <c r="D332" t="s">
        <v>7</v>
      </c>
      <c r="E332" t="s">
        <v>14</v>
      </c>
      <c r="F332" t="s">
        <v>19</v>
      </c>
      <c r="W332">
        <v>2</v>
      </c>
      <c r="X332">
        <v>1</v>
      </c>
      <c r="Y332">
        <v>1</v>
      </c>
      <c r="Z332">
        <v>1</v>
      </c>
      <c r="AA332">
        <v>2</v>
      </c>
      <c r="AJ332">
        <f>SUM(Post[[#This Row],[47]:[75]])</f>
        <v>7</v>
      </c>
    </row>
    <row r="333" spans="1:36" x14ac:dyDescent="0.2">
      <c r="A333" t="s">
        <v>46</v>
      </c>
      <c r="B333" t="s">
        <v>6</v>
      </c>
      <c r="C333">
        <v>6401</v>
      </c>
      <c r="D333" t="s">
        <v>7</v>
      </c>
      <c r="E333" t="s">
        <v>14</v>
      </c>
      <c r="F333" t="s">
        <v>20</v>
      </c>
      <c r="AJ333">
        <f>SUM(Post[[#This Row],[47]:[75]])</f>
        <v>0</v>
      </c>
    </row>
    <row r="334" spans="1:36" x14ac:dyDescent="0.2">
      <c r="A334" t="s">
        <v>46</v>
      </c>
      <c r="B334" t="s">
        <v>6</v>
      </c>
      <c r="C334">
        <v>7297</v>
      </c>
      <c r="D334" t="s">
        <v>7</v>
      </c>
      <c r="E334" t="s">
        <v>14</v>
      </c>
      <c r="F334" t="s">
        <v>20</v>
      </c>
      <c r="I334">
        <v>1</v>
      </c>
      <c r="U334">
        <v>1</v>
      </c>
      <c r="AB334">
        <v>1</v>
      </c>
      <c r="AJ334">
        <f>SUM(Post[[#This Row],[47]:[75]])</f>
        <v>3</v>
      </c>
    </row>
    <row r="335" spans="1:36" x14ac:dyDescent="0.2">
      <c r="A335" t="s">
        <v>46</v>
      </c>
      <c r="B335" t="s">
        <v>6</v>
      </c>
      <c r="C335">
        <v>7833</v>
      </c>
      <c r="D335" t="s">
        <v>7</v>
      </c>
      <c r="E335" t="s">
        <v>14</v>
      </c>
      <c r="F335" t="s">
        <v>21</v>
      </c>
      <c r="P335">
        <v>1</v>
      </c>
      <c r="AB335">
        <v>1</v>
      </c>
      <c r="AJ335">
        <f>SUM(Post[[#This Row],[47]:[75]])</f>
        <v>2</v>
      </c>
    </row>
    <row r="336" spans="1:36" x14ac:dyDescent="0.2">
      <c r="A336" t="s">
        <v>46</v>
      </c>
      <c r="B336" t="s">
        <v>6</v>
      </c>
      <c r="C336">
        <v>7894</v>
      </c>
      <c r="D336" t="s">
        <v>7</v>
      </c>
      <c r="E336" t="s">
        <v>8</v>
      </c>
      <c r="F336" t="s">
        <v>23</v>
      </c>
      <c r="Q336">
        <v>1</v>
      </c>
      <c r="AB336">
        <v>1</v>
      </c>
      <c r="AJ336">
        <f>SUM(Post[[#This Row],[47]:[75]])</f>
        <v>2</v>
      </c>
    </row>
    <row r="337" spans="1:36" x14ac:dyDescent="0.2">
      <c r="A337" t="s">
        <v>46</v>
      </c>
      <c r="B337" t="s">
        <v>6</v>
      </c>
      <c r="C337">
        <v>10071</v>
      </c>
      <c r="D337" t="s">
        <v>7</v>
      </c>
      <c r="E337" t="s">
        <v>8</v>
      </c>
      <c r="F337" t="s">
        <v>23</v>
      </c>
      <c r="T337">
        <v>1</v>
      </c>
      <c r="AF337">
        <v>1</v>
      </c>
      <c r="AJ337">
        <f>SUM(Post[[#This Row],[47]:[75]])</f>
        <v>2</v>
      </c>
    </row>
    <row r="338" spans="1:36" x14ac:dyDescent="0.2">
      <c r="A338" t="s">
        <v>46</v>
      </c>
      <c r="B338" t="s">
        <v>6</v>
      </c>
      <c r="C338">
        <v>11014</v>
      </c>
      <c r="D338" t="s">
        <v>7</v>
      </c>
      <c r="E338" t="s">
        <v>8</v>
      </c>
      <c r="F338" t="s">
        <v>9</v>
      </c>
      <c r="Q338">
        <v>1</v>
      </c>
      <c r="AJ338">
        <f>SUM(Post[[#This Row],[47]:[75]])</f>
        <v>1</v>
      </c>
    </row>
    <row r="339" spans="1:36" x14ac:dyDescent="0.2">
      <c r="A339" t="s">
        <v>46</v>
      </c>
      <c r="B339" t="s">
        <v>6</v>
      </c>
      <c r="C339">
        <v>13745</v>
      </c>
      <c r="D339" t="s">
        <v>7</v>
      </c>
      <c r="E339" t="s">
        <v>14</v>
      </c>
      <c r="F339" t="s">
        <v>20</v>
      </c>
      <c r="AJ339">
        <f>SUM(Post[[#This Row],[47]:[75]])</f>
        <v>0</v>
      </c>
    </row>
    <row r="340" spans="1:36" x14ac:dyDescent="0.2">
      <c r="A340" t="s">
        <v>46</v>
      </c>
      <c r="B340" t="s">
        <v>6</v>
      </c>
      <c r="C340">
        <v>14181</v>
      </c>
      <c r="D340" t="s">
        <v>7</v>
      </c>
      <c r="E340" t="s">
        <v>8</v>
      </c>
      <c r="F340" t="s">
        <v>9</v>
      </c>
      <c r="H340">
        <v>1</v>
      </c>
      <c r="Y340">
        <v>2</v>
      </c>
      <c r="AI340">
        <v>1</v>
      </c>
      <c r="AJ340">
        <f>SUM(Post[[#This Row],[47]:[75]])</f>
        <v>4</v>
      </c>
    </row>
    <row r="341" spans="1:36" x14ac:dyDescent="0.2">
      <c r="A341" t="s">
        <v>46</v>
      </c>
      <c r="B341" t="s">
        <v>6</v>
      </c>
      <c r="C341">
        <v>14290</v>
      </c>
      <c r="D341" t="s">
        <v>7</v>
      </c>
      <c r="E341" t="s">
        <v>10</v>
      </c>
      <c r="F341" t="s">
        <v>16</v>
      </c>
      <c r="J341">
        <v>2</v>
      </c>
      <c r="AJ341">
        <f>SUM(Post[[#This Row],[47]:[75]])</f>
        <v>2</v>
      </c>
    </row>
    <row r="342" spans="1:36" x14ac:dyDescent="0.2">
      <c r="A342" t="s">
        <v>46</v>
      </c>
      <c r="B342" t="s">
        <v>6</v>
      </c>
      <c r="C342">
        <v>14290</v>
      </c>
      <c r="D342" t="s">
        <v>7</v>
      </c>
      <c r="E342" t="s">
        <v>10</v>
      </c>
      <c r="F342" t="s">
        <v>11</v>
      </c>
      <c r="AJ342">
        <f>SUM(Post[[#This Row],[47]:[75]])</f>
        <v>0</v>
      </c>
    </row>
    <row r="343" spans="1:36" x14ac:dyDescent="0.2">
      <c r="A343" t="s">
        <v>46</v>
      </c>
      <c r="B343" t="s">
        <v>6</v>
      </c>
      <c r="C343">
        <v>16030</v>
      </c>
      <c r="D343" t="s">
        <v>7</v>
      </c>
      <c r="E343" t="s">
        <v>14</v>
      </c>
      <c r="F343" t="s">
        <v>19</v>
      </c>
      <c r="AJ343">
        <f>SUM(Post[[#This Row],[47]:[75]])</f>
        <v>0</v>
      </c>
    </row>
    <row r="344" spans="1:36" x14ac:dyDescent="0.2">
      <c r="A344" t="s">
        <v>46</v>
      </c>
      <c r="B344" t="s">
        <v>6</v>
      </c>
      <c r="C344">
        <v>17630</v>
      </c>
      <c r="D344" t="s">
        <v>7</v>
      </c>
      <c r="E344" t="s">
        <v>8</v>
      </c>
      <c r="F344" t="s">
        <v>23</v>
      </c>
      <c r="AJ344">
        <f>SUM(Post[[#This Row],[47]:[75]])</f>
        <v>0</v>
      </c>
    </row>
    <row r="345" spans="1:36" x14ac:dyDescent="0.2">
      <c r="A345" t="s">
        <v>46</v>
      </c>
      <c r="B345" t="s">
        <v>6</v>
      </c>
      <c r="C345">
        <v>17630</v>
      </c>
      <c r="D345" t="s">
        <v>7</v>
      </c>
      <c r="E345" t="s">
        <v>14</v>
      </c>
      <c r="F345" t="s">
        <v>31</v>
      </c>
      <c r="AJ345">
        <f>SUM(Post[[#This Row],[47]:[75]])</f>
        <v>0</v>
      </c>
    </row>
    <row r="346" spans="1:36" x14ac:dyDescent="0.2">
      <c r="A346" t="s">
        <v>46</v>
      </c>
      <c r="B346" t="s">
        <v>6</v>
      </c>
      <c r="C346">
        <v>17630</v>
      </c>
      <c r="D346" t="s">
        <v>7</v>
      </c>
      <c r="E346" t="s">
        <v>14</v>
      </c>
      <c r="F346" t="s">
        <v>28</v>
      </c>
      <c r="AJ346">
        <f>SUM(Post[[#This Row],[47]:[75]])</f>
        <v>0</v>
      </c>
    </row>
    <row r="347" spans="1:36" x14ac:dyDescent="0.2">
      <c r="A347" t="s">
        <v>46</v>
      </c>
      <c r="B347" t="s">
        <v>6</v>
      </c>
      <c r="C347">
        <v>19937</v>
      </c>
      <c r="D347" t="s">
        <v>7</v>
      </c>
      <c r="E347" t="s">
        <v>14</v>
      </c>
      <c r="F347" t="s">
        <v>28</v>
      </c>
      <c r="AJ347">
        <f>SUM(Post[[#This Row],[47]:[75]])</f>
        <v>0</v>
      </c>
    </row>
    <row r="348" spans="1:36" x14ac:dyDescent="0.2">
      <c r="A348" t="s">
        <v>46</v>
      </c>
      <c r="B348" t="s">
        <v>6</v>
      </c>
      <c r="C348">
        <v>20039</v>
      </c>
      <c r="D348" t="s">
        <v>7</v>
      </c>
      <c r="E348" t="s">
        <v>12</v>
      </c>
      <c r="F348" t="s">
        <v>13</v>
      </c>
      <c r="AJ348">
        <f>SUM(Post[[#This Row],[47]:[75]])</f>
        <v>0</v>
      </c>
    </row>
    <row r="349" spans="1:36" x14ac:dyDescent="0.2">
      <c r="A349" t="s">
        <v>46</v>
      </c>
      <c r="B349" t="s">
        <v>6</v>
      </c>
      <c r="C349">
        <v>20117</v>
      </c>
      <c r="D349" t="s">
        <v>7</v>
      </c>
      <c r="E349" t="s">
        <v>14</v>
      </c>
      <c r="F349" t="s">
        <v>20</v>
      </c>
      <c r="AE349">
        <v>1</v>
      </c>
      <c r="AJ349">
        <f>SUM(Post[[#This Row],[47]:[75]])</f>
        <v>1</v>
      </c>
    </row>
    <row r="350" spans="1:36" x14ac:dyDescent="0.2">
      <c r="A350" t="s">
        <v>46</v>
      </c>
      <c r="B350" t="s">
        <v>6</v>
      </c>
      <c r="C350">
        <v>20937</v>
      </c>
      <c r="D350" t="s">
        <v>7</v>
      </c>
      <c r="E350" t="s">
        <v>14</v>
      </c>
      <c r="F350" t="s">
        <v>20</v>
      </c>
      <c r="K350">
        <v>1</v>
      </c>
      <c r="AH350">
        <v>1</v>
      </c>
      <c r="AJ350">
        <f>SUM(Post[[#This Row],[47]:[75]])</f>
        <v>2</v>
      </c>
    </row>
    <row r="351" spans="1:36" x14ac:dyDescent="0.2">
      <c r="A351" t="s">
        <v>46</v>
      </c>
      <c r="B351" t="s">
        <v>6</v>
      </c>
      <c r="C351">
        <v>22643</v>
      </c>
      <c r="D351" t="s">
        <v>7</v>
      </c>
      <c r="E351" t="s">
        <v>14</v>
      </c>
      <c r="F351" t="s">
        <v>31</v>
      </c>
      <c r="AJ351">
        <f>SUM(Post[[#This Row],[47]:[75]])</f>
        <v>0</v>
      </c>
    </row>
    <row r="352" spans="1:36" x14ac:dyDescent="0.2">
      <c r="A352" t="s">
        <v>46</v>
      </c>
      <c r="B352" t="s">
        <v>6</v>
      </c>
      <c r="C352">
        <v>23470</v>
      </c>
      <c r="D352" t="s">
        <v>7</v>
      </c>
      <c r="E352" t="s">
        <v>8</v>
      </c>
      <c r="F352" t="s">
        <v>23</v>
      </c>
      <c r="R352">
        <v>1</v>
      </c>
      <c r="AD352">
        <v>1</v>
      </c>
      <c r="AJ352">
        <f>SUM(Post[[#This Row],[47]:[75]])</f>
        <v>2</v>
      </c>
    </row>
    <row r="353" spans="1:36" x14ac:dyDescent="0.2">
      <c r="A353" t="s">
        <v>46</v>
      </c>
      <c r="B353" t="s">
        <v>6</v>
      </c>
      <c r="C353">
        <v>24654</v>
      </c>
      <c r="D353" t="s">
        <v>7</v>
      </c>
      <c r="E353" t="s">
        <v>14</v>
      </c>
      <c r="F353" t="s">
        <v>31</v>
      </c>
      <c r="G353">
        <v>1</v>
      </c>
      <c r="K353">
        <v>2</v>
      </c>
      <c r="U353">
        <v>1</v>
      </c>
      <c r="AE353">
        <v>2</v>
      </c>
      <c r="AJ353">
        <f>SUM(Post[[#This Row],[47]:[75]])</f>
        <v>6</v>
      </c>
    </row>
    <row r="354" spans="1:36" x14ac:dyDescent="0.2">
      <c r="A354" t="s">
        <v>46</v>
      </c>
      <c r="B354" t="s">
        <v>6</v>
      </c>
      <c r="C354">
        <v>24887</v>
      </c>
      <c r="D354" t="s">
        <v>7</v>
      </c>
      <c r="E354" t="s">
        <v>14</v>
      </c>
      <c r="F354" t="s">
        <v>35</v>
      </c>
      <c r="AJ354">
        <f>SUM(Post[[#This Row],[47]:[75]])</f>
        <v>0</v>
      </c>
    </row>
    <row r="355" spans="1:36" x14ac:dyDescent="0.2">
      <c r="A355" t="s">
        <v>46</v>
      </c>
      <c r="B355" t="s">
        <v>6</v>
      </c>
      <c r="C355">
        <v>24887</v>
      </c>
      <c r="D355" t="s">
        <v>7</v>
      </c>
      <c r="E355" t="s">
        <v>14</v>
      </c>
      <c r="F355" t="s">
        <v>31</v>
      </c>
      <c r="AJ355">
        <f>SUM(Post[[#This Row],[47]:[75]])</f>
        <v>0</v>
      </c>
    </row>
    <row r="356" spans="1:36" x14ac:dyDescent="0.2">
      <c r="A356" t="s">
        <v>46</v>
      </c>
      <c r="B356" t="s">
        <v>6</v>
      </c>
      <c r="C356">
        <v>24976</v>
      </c>
      <c r="D356" t="s">
        <v>7</v>
      </c>
      <c r="E356" t="s">
        <v>14</v>
      </c>
      <c r="F356" t="s">
        <v>19</v>
      </c>
      <c r="AJ356">
        <f>SUM(Post[[#This Row],[47]:[75]])</f>
        <v>0</v>
      </c>
    </row>
    <row r="357" spans="1:36" x14ac:dyDescent="0.2">
      <c r="A357" t="s">
        <v>46</v>
      </c>
      <c r="B357" t="s">
        <v>6</v>
      </c>
      <c r="C357">
        <v>25026</v>
      </c>
      <c r="D357" t="s">
        <v>7</v>
      </c>
      <c r="E357" t="s">
        <v>14</v>
      </c>
      <c r="F357" t="s">
        <v>21</v>
      </c>
      <c r="S357">
        <v>1</v>
      </c>
      <c r="AG357">
        <v>1</v>
      </c>
      <c r="AJ357">
        <f>SUM(Post[[#This Row],[47]:[75]])</f>
        <v>2</v>
      </c>
    </row>
    <row r="358" spans="1:36" x14ac:dyDescent="0.2">
      <c r="A358" t="s">
        <v>46</v>
      </c>
      <c r="B358" t="s">
        <v>6</v>
      </c>
      <c r="C358">
        <v>25122</v>
      </c>
      <c r="D358" t="s">
        <v>7</v>
      </c>
      <c r="E358" t="s">
        <v>14</v>
      </c>
      <c r="F358" t="s">
        <v>31</v>
      </c>
      <c r="AJ358">
        <f>SUM(Post[[#This Row],[47]:[75]])</f>
        <v>0</v>
      </c>
    </row>
    <row r="359" spans="1:36" x14ac:dyDescent="0.2">
      <c r="A359" t="s">
        <v>46</v>
      </c>
      <c r="B359" t="s">
        <v>6</v>
      </c>
      <c r="C359">
        <v>25156</v>
      </c>
      <c r="D359" t="s">
        <v>7</v>
      </c>
      <c r="E359" t="s">
        <v>14</v>
      </c>
      <c r="F359" t="s">
        <v>31</v>
      </c>
      <c r="Z359">
        <v>1</v>
      </c>
      <c r="AJ359">
        <f>SUM(Post[[#This Row],[47]:[75]])</f>
        <v>1</v>
      </c>
    </row>
    <row r="360" spans="1:36" x14ac:dyDescent="0.2">
      <c r="A360" t="s">
        <v>46</v>
      </c>
      <c r="B360" t="s">
        <v>6</v>
      </c>
      <c r="C360">
        <v>25318</v>
      </c>
      <c r="D360" t="s">
        <v>7</v>
      </c>
      <c r="E360" t="s">
        <v>14</v>
      </c>
      <c r="F360" t="s">
        <v>31</v>
      </c>
      <c r="AJ360">
        <f>SUM(Post[[#This Row],[47]:[75]])</f>
        <v>0</v>
      </c>
    </row>
    <row r="361" spans="1:36" x14ac:dyDescent="0.2">
      <c r="A361" t="s">
        <v>46</v>
      </c>
      <c r="B361" t="s">
        <v>6</v>
      </c>
      <c r="C361">
        <v>25436</v>
      </c>
      <c r="D361" t="s">
        <v>7</v>
      </c>
      <c r="E361" t="s">
        <v>14</v>
      </c>
      <c r="F361" t="s">
        <v>31</v>
      </c>
      <c r="AJ361">
        <f>SUM(Post[[#This Row],[47]:[75]])</f>
        <v>0</v>
      </c>
    </row>
    <row r="362" spans="1:36" x14ac:dyDescent="0.2">
      <c r="A362" t="s">
        <v>46</v>
      </c>
      <c r="B362" t="s">
        <v>6</v>
      </c>
      <c r="C362">
        <v>25449</v>
      </c>
      <c r="D362" t="s">
        <v>7</v>
      </c>
      <c r="E362" t="s">
        <v>14</v>
      </c>
      <c r="F362" t="s">
        <v>31</v>
      </c>
      <c r="AJ362">
        <f>SUM(Post[[#This Row],[47]:[75]])</f>
        <v>0</v>
      </c>
    </row>
    <row r="363" spans="1:36" x14ac:dyDescent="0.2">
      <c r="A363" t="s">
        <v>46</v>
      </c>
      <c r="B363" t="s">
        <v>6</v>
      </c>
      <c r="C363">
        <v>25708</v>
      </c>
      <c r="D363" t="s">
        <v>7</v>
      </c>
      <c r="E363" t="s">
        <v>14</v>
      </c>
      <c r="F363" t="s">
        <v>21</v>
      </c>
      <c r="AJ363">
        <f>SUM(Post[[#This Row],[47]:[75]])</f>
        <v>0</v>
      </c>
    </row>
    <row r="364" spans="1:36" x14ac:dyDescent="0.2">
      <c r="A364" t="s">
        <v>46</v>
      </c>
      <c r="B364" t="s">
        <v>6</v>
      </c>
      <c r="C364">
        <v>26039</v>
      </c>
      <c r="D364" t="s">
        <v>7</v>
      </c>
      <c r="E364" t="s">
        <v>14</v>
      </c>
      <c r="F364" t="s">
        <v>31</v>
      </c>
      <c r="X364">
        <v>1</v>
      </c>
      <c r="AJ364">
        <f>SUM(Post[[#This Row],[47]:[75]])</f>
        <v>1</v>
      </c>
    </row>
    <row r="365" spans="1:36" x14ac:dyDescent="0.2">
      <c r="A365" t="s">
        <v>46</v>
      </c>
      <c r="B365" t="s">
        <v>6</v>
      </c>
      <c r="C365">
        <v>26374</v>
      </c>
      <c r="D365" t="s">
        <v>7</v>
      </c>
      <c r="E365" t="s">
        <v>12</v>
      </c>
      <c r="F365" t="s">
        <v>13</v>
      </c>
      <c r="AJ365">
        <f>SUM(Post[[#This Row],[47]:[75]])</f>
        <v>0</v>
      </c>
    </row>
    <row r="366" spans="1:36" x14ac:dyDescent="0.2">
      <c r="A366" t="s">
        <v>46</v>
      </c>
      <c r="B366" t="s">
        <v>6</v>
      </c>
      <c r="C366">
        <v>26468</v>
      </c>
      <c r="D366" t="s">
        <v>7</v>
      </c>
      <c r="E366" t="s">
        <v>14</v>
      </c>
      <c r="F366" t="s">
        <v>31</v>
      </c>
      <c r="AI366">
        <v>1</v>
      </c>
      <c r="AJ366">
        <f>SUM(Post[[#This Row],[47]:[75]])</f>
        <v>1</v>
      </c>
    </row>
    <row r="367" spans="1:36" x14ac:dyDescent="0.2">
      <c r="A367" t="s">
        <v>46</v>
      </c>
      <c r="B367" t="s">
        <v>6</v>
      </c>
      <c r="C367">
        <v>26770</v>
      </c>
      <c r="D367" t="s">
        <v>7</v>
      </c>
      <c r="E367" t="s">
        <v>12</v>
      </c>
      <c r="F367" t="s">
        <v>13</v>
      </c>
      <c r="H367">
        <v>1</v>
      </c>
      <c r="AJ367">
        <f>SUM(Post[[#This Row],[47]:[75]])</f>
        <v>1</v>
      </c>
    </row>
    <row r="368" spans="1:36" x14ac:dyDescent="0.2">
      <c r="A368" t="s">
        <v>46</v>
      </c>
      <c r="B368" t="s">
        <v>6</v>
      </c>
      <c r="C368">
        <v>27063</v>
      </c>
      <c r="D368" t="s">
        <v>7</v>
      </c>
      <c r="E368" t="s">
        <v>14</v>
      </c>
      <c r="F368" t="s">
        <v>28</v>
      </c>
      <c r="AJ368">
        <f>SUM(Post[[#This Row],[47]:[75]])</f>
        <v>0</v>
      </c>
    </row>
    <row r="369" spans="1:36" x14ac:dyDescent="0.2">
      <c r="A369" t="s">
        <v>46</v>
      </c>
      <c r="B369" t="s">
        <v>6</v>
      </c>
      <c r="C369">
        <v>27126</v>
      </c>
      <c r="D369" t="s">
        <v>7</v>
      </c>
      <c r="E369" t="s">
        <v>12</v>
      </c>
      <c r="F369" t="s">
        <v>13</v>
      </c>
      <c r="AJ369">
        <f>SUM(Post[[#This Row],[47]:[75]])</f>
        <v>0</v>
      </c>
    </row>
    <row r="370" spans="1:36" x14ac:dyDescent="0.2">
      <c r="A370" t="s">
        <v>46</v>
      </c>
      <c r="B370" t="s">
        <v>6</v>
      </c>
      <c r="C370">
        <v>27371</v>
      </c>
      <c r="D370" t="s">
        <v>7</v>
      </c>
      <c r="E370" t="s">
        <v>10</v>
      </c>
      <c r="F370" t="s">
        <v>11</v>
      </c>
      <c r="X370">
        <v>1</v>
      </c>
      <c r="AJ370">
        <f>SUM(Post[[#This Row],[47]:[75]])</f>
        <v>1</v>
      </c>
    </row>
    <row r="371" spans="1:36" x14ac:dyDescent="0.2">
      <c r="A371" t="s">
        <v>46</v>
      </c>
      <c r="B371" t="s">
        <v>6</v>
      </c>
      <c r="C371">
        <v>29100</v>
      </c>
      <c r="D371" t="s">
        <v>7</v>
      </c>
      <c r="E371" t="s">
        <v>12</v>
      </c>
      <c r="F371" t="s">
        <v>13</v>
      </c>
      <c r="AJ371">
        <f>SUM(Post[[#This Row],[47]:[75]])</f>
        <v>0</v>
      </c>
    </row>
    <row r="372" spans="1:36" x14ac:dyDescent="0.2">
      <c r="A372" t="s">
        <v>46</v>
      </c>
      <c r="B372" t="s">
        <v>6</v>
      </c>
      <c r="C372">
        <v>29226</v>
      </c>
      <c r="D372" t="s">
        <v>7</v>
      </c>
      <c r="E372" t="s">
        <v>10</v>
      </c>
      <c r="F372" t="s">
        <v>11</v>
      </c>
      <c r="AJ372">
        <f>SUM(Post[[#This Row],[47]:[75]])</f>
        <v>0</v>
      </c>
    </row>
    <row r="373" spans="1:36" x14ac:dyDescent="0.2">
      <c r="A373" t="s">
        <v>46</v>
      </c>
      <c r="B373" t="s">
        <v>6</v>
      </c>
      <c r="C373">
        <v>29383</v>
      </c>
      <c r="D373" t="s">
        <v>7</v>
      </c>
      <c r="E373" t="s">
        <v>14</v>
      </c>
      <c r="F373" t="s">
        <v>19</v>
      </c>
      <c r="Z373">
        <v>2</v>
      </c>
      <c r="AJ373">
        <f>SUM(Post[[#This Row],[47]:[75]])</f>
        <v>2</v>
      </c>
    </row>
    <row r="374" spans="1:36" x14ac:dyDescent="0.2">
      <c r="A374" t="s">
        <v>46</v>
      </c>
      <c r="B374" t="s">
        <v>6</v>
      </c>
      <c r="C374">
        <v>29503</v>
      </c>
      <c r="D374" t="s">
        <v>7</v>
      </c>
      <c r="E374" t="s">
        <v>14</v>
      </c>
      <c r="F374" t="s">
        <v>35</v>
      </c>
      <c r="AJ374">
        <f>SUM(Post[[#This Row],[47]:[75]])</f>
        <v>0</v>
      </c>
    </row>
    <row r="375" spans="1:36" x14ac:dyDescent="0.2">
      <c r="A375" t="s">
        <v>46</v>
      </c>
      <c r="B375" t="s">
        <v>6</v>
      </c>
      <c r="C375">
        <v>29911</v>
      </c>
      <c r="D375" t="s">
        <v>7</v>
      </c>
      <c r="E375" t="s">
        <v>12</v>
      </c>
      <c r="F375" t="s">
        <v>13</v>
      </c>
      <c r="AJ375">
        <f>SUM(Post[[#This Row],[47]:[75]])</f>
        <v>0</v>
      </c>
    </row>
    <row r="376" spans="1:36" x14ac:dyDescent="0.2">
      <c r="A376" t="s">
        <v>46</v>
      </c>
      <c r="B376" t="s">
        <v>6</v>
      </c>
      <c r="C376">
        <v>30267</v>
      </c>
      <c r="D376" t="s">
        <v>7</v>
      </c>
      <c r="E376" t="s">
        <v>10</v>
      </c>
      <c r="F376" t="s">
        <v>11</v>
      </c>
      <c r="AJ376">
        <f>SUM(Post[[#This Row],[47]:[75]])</f>
        <v>0</v>
      </c>
    </row>
    <row r="377" spans="1:36" x14ac:dyDescent="0.2">
      <c r="A377" t="s">
        <v>46</v>
      </c>
      <c r="B377" t="s">
        <v>6</v>
      </c>
      <c r="C377">
        <v>30396</v>
      </c>
      <c r="D377" t="s">
        <v>7</v>
      </c>
      <c r="E377" t="s">
        <v>14</v>
      </c>
      <c r="F377" t="s">
        <v>21</v>
      </c>
      <c r="AJ377">
        <f>SUM(Post[[#This Row],[47]:[75]])</f>
        <v>0</v>
      </c>
    </row>
    <row r="378" spans="1:36" x14ac:dyDescent="0.2">
      <c r="A378" t="s">
        <v>46</v>
      </c>
      <c r="B378" t="s">
        <v>6</v>
      </c>
      <c r="C378">
        <v>30481</v>
      </c>
      <c r="D378" t="s">
        <v>7</v>
      </c>
      <c r="E378" t="s">
        <v>8</v>
      </c>
      <c r="F378" t="s">
        <v>23</v>
      </c>
      <c r="T378">
        <v>1</v>
      </c>
      <c r="AC378">
        <v>1</v>
      </c>
      <c r="AF378">
        <v>1</v>
      </c>
      <c r="AJ378">
        <f>SUM(Post[[#This Row],[47]:[75]])</f>
        <v>3</v>
      </c>
    </row>
    <row r="379" spans="1:36" x14ac:dyDescent="0.2">
      <c r="A379" t="s">
        <v>46</v>
      </c>
      <c r="B379" t="s">
        <v>6</v>
      </c>
      <c r="C379">
        <v>30920</v>
      </c>
      <c r="D379" t="s">
        <v>7</v>
      </c>
      <c r="E379" t="s">
        <v>12</v>
      </c>
      <c r="F379" t="s">
        <v>13</v>
      </c>
      <c r="W379">
        <v>1</v>
      </c>
      <c r="AJ379">
        <f>SUM(Post[[#This Row],[47]:[75]])</f>
        <v>1</v>
      </c>
    </row>
    <row r="380" spans="1:36" x14ac:dyDescent="0.2">
      <c r="A380" t="s">
        <v>46</v>
      </c>
      <c r="B380" t="s">
        <v>6</v>
      </c>
      <c r="C380">
        <v>31443</v>
      </c>
      <c r="D380" t="s">
        <v>7</v>
      </c>
      <c r="E380" t="s">
        <v>12</v>
      </c>
      <c r="F380" t="s">
        <v>13</v>
      </c>
      <c r="AJ380">
        <f>SUM(Post[[#This Row],[47]:[75]])</f>
        <v>0</v>
      </c>
    </row>
    <row r="381" spans="1:36" x14ac:dyDescent="0.2">
      <c r="A381" t="s">
        <v>46</v>
      </c>
      <c r="B381" t="s">
        <v>6</v>
      </c>
      <c r="C381">
        <v>31648</v>
      </c>
      <c r="D381" t="s">
        <v>7</v>
      </c>
      <c r="E381" t="s">
        <v>14</v>
      </c>
      <c r="F381" t="s">
        <v>20</v>
      </c>
      <c r="AJ381">
        <f>SUM(Post[[#This Row],[47]:[75]])</f>
        <v>0</v>
      </c>
    </row>
    <row r="382" spans="1:36" x14ac:dyDescent="0.2">
      <c r="A382" t="s">
        <v>46</v>
      </c>
      <c r="B382" t="s">
        <v>6</v>
      </c>
      <c r="C382">
        <v>33857</v>
      </c>
      <c r="D382" t="s">
        <v>7</v>
      </c>
      <c r="E382" t="s">
        <v>8</v>
      </c>
      <c r="F382" t="s">
        <v>9</v>
      </c>
      <c r="P382">
        <v>1</v>
      </c>
      <c r="Q382">
        <v>1</v>
      </c>
      <c r="AJ382">
        <f>SUM(Post[[#This Row],[47]:[75]])</f>
        <v>2</v>
      </c>
    </row>
    <row r="383" spans="1:36" x14ac:dyDescent="0.2">
      <c r="A383" t="s">
        <v>46</v>
      </c>
      <c r="B383" t="s">
        <v>6</v>
      </c>
      <c r="C383">
        <v>881</v>
      </c>
      <c r="D383" t="s">
        <v>22</v>
      </c>
      <c r="E383" t="s">
        <v>8</v>
      </c>
      <c r="F383" t="s">
        <v>23</v>
      </c>
      <c r="H383">
        <v>1</v>
      </c>
      <c r="W383">
        <v>2</v>
      </c>
      <c r="AJ383">
        <f>SUM(Post[[#This Row],[47]:[75]])</f>
        <v>3</v>
      </c>
    </row>
    <row r="384" spans="1:36" x14ac:dyDescent="0.2">
      <c r="A384" t="s">
        <v>46</v>
      </c>
      <c r="B384" t="s">
        <v>6</v>
      </c>
      <c r="C384">
        <v>1767</v>
      </c>
      <c r="D384" t="s">
        <v>22</v>
      </c>
      <c r="E384" t="s">
        <v>8</v>
      </c>
      <c r="F384" t="s">
        <v>23</v>
      </c>
      <c r="J384">
        <v>1</v>
      </c>
      <c r="Z384">
        <v>1</v>
      </c>
      <c r="AJ384">
        <f>SUM(Post[[#This Row],[47]:[75]])</f>
        <v>2</v>
      </c>
    </row>
    <row r="385" spans="1:36" x14ac:dyDescent="0.2">
      <c r="A385" t="s">
        <v>46</v>
      </c>
      <c r="B385" t="s">
        <v>6</v>
      </c>
      <c r="C385">
        <v>6866</v>
      </c>
      <c r="D385" t="s">
        <v>22</v>
      </c>
      <c r="E385" t="s">
        <v>8</v>
      </c>
      <c r="F385" t="s">
        <v>23</v>
      </c>
      <c r="X385">
        <v>1</v>
      </c>
      <c r="AJ385">
        <f>SUM(Post[[#This Row],[47]:[75]])</f>
        <v>1</v>
      </c>
    </row>
    <row r="386" spans="1:36" x14ac:dyDescent="0.2">
      <c r="A386" t="s">
        <v>46</v>
      </c>
      <c r="B386" t="s">
        <v>6</v>
      </c>
      <c r="C386">
        <v>7019</v>
      </c>
      <c r="D386" t="s">
        <v>22</v>
      </c>
      <c r="E386" t="s">
        <v>14</v>
      </c>
      <c r="F386" t="s">
        <v>20</v>
      </c>
      <c r="G386">
        <v>1</v>
      </c>
      <c r="I386">
        <v>1</v>
      </c>
      <c r="T386">
        <v>1</v>
      </c>
      <c r="Z386">
        <v>1</v>
      </c>
      <c r="AD386">
        <v>1</v>
      </c>
      <c r="AG386">
        <v>1</v>
      </c>
      <c r="AJ386">
        <f>SUM(Post[[#This Row],[47]:[75]])</f>
        <v>6</v>
      </c>
    </row>
    <row r="387" spans="1:36" x14ac:dyDescent="0.2">
      <c r="A387" t="s">
        <v>46</v>
      </c>
      <c r="B387" t="s">
        <v>6</v>
      </c>
      <c r="C387">
        <v>7832</v>
      </c>
      <c r="D387" t="s">
        <v>22</v>
      </c>
      <c r="E387" t="s">
        <v>8</v>
      </c>
      <c r="F387" t="s">
        <v>29</v>
      </c>
      <c r="AJ387">
        <f>SUM(Post[[#This Row],[47]:[75]])</f>
        <v>0</v>
      </c>
    </row>
    <row r="388" spans="1:36" x14ac:dyDescent="0.2">
      <c r="A388" t="s">
        <v>46</v>
      </c>
      <c r="B388" t="s">
        <v>6</v>
      </c>
      <c r="C388">
        <v>10008</v>
      </c>
      <c r="D388" t="s">
        <v>22</v>
      </c>
      <c r="E388" t="s">
        <v>8</v>
      </c>
      <c r="F388" t="s">
        <v>9</v>
      </c>
      <c r="R388">
        <v>1</v>
      </c>
      <c r="AF388">
        <v>1</v>
      </c>
      <c r="AJ388">
        <f>SUM(Post[[#This Row],[47]:[75]])</f>
        <v>2</v>
      </c>
    </row>
    <row r="389" spans="1:36" x14ac:dyDescent="0.2">
      <c r="A389" t="s">
        <v>46</v>
      </c>
      <c r="B389" t="s">
        <v>6</v>
      </c>
      <c r="C389">
        <v>11414</v>
      </c>
      <c r="D389" t="s">
        <v>22</v>
      </c>
      <c r="E389" t="s">
        <v>8</v>
      </c>
      <c r="F389" t="s">
        <v>29</v>
      </c>
      <c r="H389">
        <v>1</v>
      </c>
      <c r="V389">
        <v>1</v>
      </c>
      <c r="AH389">
        <v>1</v>
      </c>
      <c r="AJ389">
        <f>SUM(Post[[#This Row],[47]:[75]])</f>
        <v>3</v>
      </c>
    </row>
    <row r="390" spans="1:36" x14ac:dyDescent="0.2">
      <c r="A390" t="s">
        <v>46</v>
      </c>
      <c r="B390" t="s">
        <v>6</v>
      </c>
      <c r="C390">
        <v>15724</v>
      </c>
      <c r="D390" t="s">
        <v>22</v>
      </c>
      <c r="E390" t="s">
        <v>8</v>
      </c>
      <c r="F390" t="s">
        <v>9</v>
      </c>
      <c r="Q390">
        <v>1</v>
      </c>
      <c r="AG390">
        <v>1</v>
      </c>
      <c r="AJ390">
        <f>SUM(Post[[#This Row],[47]:[75]])</f>
        <v>2</v>
      </c>
    </row>
    <row r="391" spans="1:36" x14ac:dyDescent="0.2">
      <c r="A391" t="s">
        <v>46</v>
      </c>
      <c r="B391" t="s">
        <v>6</v>
      </c>
      <c r="C391">
        <v>19000</v>
      </c>
      <c r="D391" t="s">
        <v>22</v>
      </c>
      <c r="E391" t="s">
        <v>14</v>
      </c>
      <c r="F391" t="s">
        <v>20</v>
      </c>
      <c r="G391">
        <v>1</v>
      </c>
      <c r="H391">
        <v>1</v>
      </c>
      <c r="I391">
        <v>1</v>
      </c>
      <c r="J391">
        <v>1</v>
      </c>
      <c r="K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f>SUM(Post[[#This Row],[47]:[75]])</f>
        <v>27</v>
      </c>
    </row>
    <row r="392" spans="1:36" x14ac:dyDescent="0.2">
      <c r="A392" t="s">
        <v>46</v>
      </c>
      <c r="B392" t="s">
        <v>6</v>
      </c>
      <c r="C392">
        <v>20121</v>
      </c>
      <c r="D392" t="s">
        <v>22</v>
      </c>
      <c r="E392" t="s">
        <v>8</v>
      </c>
      <c r="F392" t="s">
        <v>47</v>
      </c>
      <c r="K392">
        <v>1</v>
      </c>
      <c r="X392">
        <v>1</v>
      </c>
      <c r="AJ392">
        <f>SUM(Post[[#This Row],[47]:[75]])</f>
        <v>2</v>
      </c>
    </row>
    <row r="393" spans="1:36" x14ac:dyDescent="0.2">
      <c r="A393" t="s">
        <v>46</v>
      </c>
      <c r="B393" t="s">
        <v>6</v>
      </c>
      <c r="C393">
        <v>20121</v>
      </c>
      <c r="D393" t="s">
        <v>22</v>
      </c>
      <c r="E393" t="s">
        <v>8</v>
      </c>
      <c r="F393" t="s">
        <v>9</v>
      </c>
      <c r="J393">
        <v>1</v>
      </c>
      <c r="AJ393">
        <f>SUM(Post[[#This Row],[47]:[75]])</f>
        <v>1</v>
      </c>
    </row>
    <row r="394" spans="1:36" x14ac:dyDescent="0.2">
      <c r="A394" t="s">
        <v>46</v>
      </c>
      <c r="B394" t="s">
        <v>6</v>
      </c>
      <c r="C394">
        <v>20121</v>
      </c>
      <c r="D394" t="s">
        <v>22</v>
      </c>
      <c r="E394" t="s">
        <v>8</v>
      </c>
      <c r="F394" t="s">
        <v>29</v>
      </c>
      <c r="AJ394">
        <f>SUM(Post[[#This Row],[47]:[75]])</f>
        <v>0</v>
      </c>
    </row>
    <row r="395" spans="1:36" x14ac:dyDescent="0.2">
      <c r="A395" t="s">
        <v>46</v>
      </c>
      <c r="B395" t="s">
        <v>6</v>
      </c>
      <c r="C395">
        <v>24627</v>
      </c>
      <c r="D395" t="s">
        <v>22</v>
      </c>
      <c r="E395" t="s">
        <v>26</v>
      </c>
      <c r="F395" t="s">
        <v>27</v>
      </c>
      <c r="AJ395">
        <f>SUM(Post[[#This Row],[47]:[75]])</f>
        <v>0</v>
      </c>
    </row>
    <row r="396" spans="1:36" x14ac:dyDescent="0.2">
      <c r="A396" t="s">
        <v>46</v>
      </c>
      <c r="B396" t="s">
        <v>6</v>
      </c>
      <c r="C396">
        <v>24814</v>
      </c>
      <c r="D396" t="s">
        <v>22</v>
      </c>
      <c r="E396" t="s">
        <v>8</v>
      </c>
      <c r="F396" t="s">
        <v>9</v>
      </c>
      <c r="H396">
        <v>3</v>
      </c>
      <c r="AD396">
        <v>1</v>
      </c>
      <c r="AJ396">
        <f>SUM(Post[[#This Row],[47]:[75]])</f>
        <v>4</v>
      </c>
    </row>
    <row r="397" spans="1:36" x14ac:dyDescent="0.2">
      <c r="A397" t="s">
        <v>46</v>
      </c>
      <c r="B397" t="s">
        <v>6</v>
      </c>
      <c r="C397">
        <v>24829</v>
      </c>
      <c r="D397" t="s">
        <v>22</v>
      </c>
      <c r="E397" t="s">
        <v>8</v>
      </c>
      <c r="F397" t="s">
        <v>23</v>
      </c>
      <c r="AJ397">
        <f>SUM(Post[[#This Row],[47]:[75]])</f>
        <v>0</v>
      </c>
    </row>
    <row r="398" spans="1:36" x14ac:dyDescent="0.2">
      <c r="A398" t="s">
        <v>46</v>
      </c>
      <c r="B398" t="s">
        <v>6</v>
      </c>
      <c r="C398">
        <v>24829</v>
      </c>
      <c r="D398" t="s">
        <v>22</v>
      </c>
      <c r="E398" t="s">
        <v>8</v>
      </c>
      <c r="F398" t="s">
        <v>9</v>
      </c>
      <c r="AF398">
        <v>2</v>
      </c>
      <c r="AJ398">
        <f>SUM(Post[[#This Row],[47]:[75]])</f>
        <v>2</v>
      </c>
    </row>
    <row r="399" spans="1:36" x14ac:dyDescent="0.2">
      <c r="A399" t="s">
        <v>46</v>
      </c>
      <c r="B399" t="s">
        <v>6</v>
      </c>
      <c r="C399">
        <v>25024</v>
      </c>
      <c r="D399" t="s">
        <v>22</v>
      </c>
      <c r="E399" t="s">
        <v>10</v>
      </c>
      <c r="F399" t="s">
        <v>11</v>
      </c>
      <c r="AH399">
        <v>2</v>
      </c>
      <c r="AJ399">
        <f>SUM(Post[[#This Row],[47]:[75]])</f>
        <v>2</v>
      </c>
    </row>
    <row r="400" spans="1:36" x14ac:dyDescent="0.2">
      <c r="A400" t="s">
        <v>46</v>
      </c>
      <c r="B400" t="s">
        <v>6</v>
      </c>
      <c r="C400">
        <v>25027</v>
      </c>
      <c r="D400" t="s">
        <v>22</v>
      </c>
      <c r="E400" t="s">
        <v>8</v>
      </c>
      <c r="F400" t="s">
        <v>23</v>
      </c>
      <c r="AJ400">
        <f>SUM(Post[[#This Row],[47]:[75]])</f>
        <v>0</v>
      </c>
    </row>
    <row r="401" spans="1:36" x14ac:dyDescent="0.2">
      <c r="A401" t="s">
        <v>46</v>
      </c>
      <c r="B401" t="s">
        <v>6</v>
      </c>
      <c r="C401">
        <v>25319</v>
      </c>
      <c r="D401" t="s">
        <v>22</v>
      </c>
      <c r="E401" t="s">
        <v>10</v>
      </c>
      <c r="F401" t="s">
        <v>11</v>
      </c>
      <c r="S401">
        <v>3</v>
      </c>
      <c r="AJ401">
        <f>SUM(Post[[#This Row],[47]:[75]])</f>
        <v>3</v>
      </c>
    </row>
    <row r="402" spans="1:36" x14ac:dyDescent="0.2">
      <c r="A402" t="s">
        <v>46</v>
      </c>
      <c r="B402" t="s">
        <v>6</v>
      </c>
      <c r="C402">
        <v>25435</v>
      </c>
      <c r="D402" t="s">
        <v>22</v>
      </c>
      <c r="E402" t="s">
        <v>14</v>
      </c>
      <c r="F402" t="s">
        <v>31</v>
      </c>
      <c r="J402">
        <v>2</v>
      </c>
      <c r="AJ402">
        <f>SUM(Post[[#This Row],[47]:[75]])</f>
        <v>2</v>
      </c>
    </row>
    <row r="403" spans="1:36" x14ac:dyDescent="0.2">
      <c r="A403" t="s">
        <v>46</v>
      </c>
      <c r="B403" t="s">
        <v>6</v>
      </c>
      <c r="C403">
        <v>27158</v>
      </c>
      <c r="D403" t="s">
        <v>22</v>
      </c>
      <c r="E403" t="s">
        <v>14</v>
      </c>
      <c r="F403" t="s">
        <v>28</v>
      </c>
      <c r="AJ403">
        <f>SUM(Post[[#This Row],[47]:[75]])</f>
        <v>0</v>
      </c>
    </row>
    <row r="404" spans="1:36" x14ac:dyDescent="0.2">
      <c r="A404" t="s">
        <v>46</v>
      </c>
      <c r="B404" t="s">
        <v>6</v>
      </c>
      <c r="C404">
        <v>27335</v>
      </c>
      <c r="D404" t="s">
        <v>22</v>
      </c>
      <c r="E404" t="s">
        <v>8</v>
      </c>
      <c r="F404" t="s">
        <v>23</v>
      </c>
      <c r="S404">
        <v>1</v>
      </c>
      <c r="AF404">
        <v>1</v>
      </c>
      <c r="AJ404">
        <f>SUM(Post[[#This Row],[47]:[75]])</f>
        <v>2</v>
      </c>
    </row>
    <row r="405" spans="1:36" x14ac:dyDescent="0.2">
      <c r="A405" t="s">
        <v>46</v>
      </c>
      <c r="B405" t="s">
        <v>6</v>
      </c>
      <c r="C405">
        <v>27758</v>
      </c>
      <c r="D405" t="s">
        <v>22</v>
      </c>
      <c r="E405" t="s">
        <v>14</v>
      </c>
      <c r="F405" t="s">
        <v>19</v>
      </c>
      <c r="S405">
        <v>3</v>
      </c>
      <c r="AJ405">
        <f>SUM(Post[[#This Row],[47]:[75]])</f>
        <v>3</v>
      </c>
    </row>
    <row r="406" spans="1:36" x14ac:dyDescent="0.2">
      <c r="A406" t="s">
        <v>46</v>
      </c>
      <c r="B406" t="s">
        <v>6</v>
      </c>
      <c r="C406">
        <v>28022</v>
      </c>
      <c r="D406" t="s">
        <v>22</v>
      </c>
      <c r="E406" t="s">
        <v>14</v>
      </c>
      <c r="F406" t="s">
        <v>19</v>
      </c>
      <c r="J406">
        <v>1</v>
      </c>
      <c r="AJ406">
        <f>SUM(Post[[#This Row],[47]:[75]])</f>
        <v>1</v>
      </c>
    </row>
    <row r="407" spans="1:36" x14ac:dyDescent="0.2">
      <c r="A407" t="s">
        <v>46</v>
      </c>
      <c r="B407" t="s">
        <v>6</v>
      </c>
      <c r="C407">
        <v>28359</v>
      </c>
      <c r="D407" t="s">
        <v>22</v>
      </c>
      <c r="E407" t="s">
        <v>14</v>
      </c>
      <c r="F407" t="s">
        <v>35</v>
      </c>
      <c r="AJ407">
        <f>SUM(Post[[#This Row],[47]:[75]])</f>
        <v>0</v>
      </c>
    </row>
    <row r="408" spans="1:36" x14ac:dyDescent="0.2">
      <c r="A408" t="s">
        <v>46</v>
      </c>
      <c r="B408" t="s">
        <v>6</v>
      </c>
      <c r="C408">
        <v>30374</v>
      </c>
      <c r="D408" t="s">
        <v>22</v>
      </c>
      <c r="E408" t="s">
        <v>8</v>
      </c>
      <c r="F408" t="s">
        <v>9</v>
      </c>
      <c r="AJ408">
        <f>SUM(Post[[#This Row],[47]:[75]])</f>
        <v>0</v>
      </c>
    </row>
    <row r="409" spans="1:36" x14ac:dyDescent="0.2">
      <c r="A409" t="s">
        <v>46</v>
      </c>
      <c r="B409" t="s">
        <v>6</v>
      </c>
      <c r="C409">
        <v>33483</v>
      </c>
      <c r="D409" t="s">
        <v>22</v>
      </c>
      <c r="E409" t="s">
        <v>40</v>
      </c>
      <c r="F409" t="s">
        <v>44</v>
      </c>
      <c r="AJ409">
        <f>SUM(Post[[#This Row],[47]:[75]])</f>
        <v>0</v>
      </c>
    </row>
    <row r="410" spans="1:36" x14ac:dyDescent="0.2">
      <c r="A410" t="s">
        <v>46</v>
      </c>
      <c r="B410" t="s">
        <v>6</v>
      </c>
      <c r="C410">
        <v>1415</v>
      </c>
      <c r="D410" t="s">
        <v>7</v>
      </c>
      <c r="E410" t="s">
        <v>14</v>
      </c>
      <c r="F410" t="s">
        <v>31</v>
      </c>
      <c r="AJ410">
        <f>SUM(Post[[#This Row],[47]:[75]])</f>
        <v>0</v>
      </c>
    </row>
    <row r="411" spans="1:36" x14ac:dyDescent="0.2">
      <c r="A411" t="s">
        <v>46</v>
      </c>
      <c r="B411" t="s">
        <v>6</v>
      </c>
      <c r="C411">
        <v>1415</v>
      </c>
      <c r="D411" t="s">
        <v>7</v>
      </c>
      <c r="E411" t="s">
        <v>14</v>
      </c>
      <c r="F411" t="s">
        <v>28</v>
      </c>
      <c r="AA411">
        <v>1</v>
      </c>
      <c r="AJ411">
        <f>SUM(Post[[#This Row],[47]:[75]])</f>
        <v>1</v>
      </c>
    </row>
    <row r="412" spans="1:36" x14ac:dyDescent="0.2">
      <c r="A412" t="s">
        <v>46</v>
      </c>
      <c r="B412" t="s">
        <v>6</v>
      </c>
      <c r="C412">
        <v>1617</v>
      </c>
      <c r="D412" t="s">
        <v>7</v>
      </c>
      <c r="E412" t="s">
        <v>14</v>
      </c>
      <c r="F412" t="s">
        <v>31</v>
      </c>
      <c r="P412">
        <v>3</v>
      </c>
      <c r="W412">
        <v>1</v>
      </c>
      <c r="AI412">
        <v>1</v>
      </c>
      <c r="AJ412">
        <f>SUM(Post[[#This Row],[47]:[75]])</f>
        <v>5</v>
      </c>
    </row>
    <row r="413" spans="1:36" x14ac:dyDescent="0.2">
      <c r="A413" t="s">
        <v>46</v>
      </c>
      <c r="B413" t="s">
        <v>6</v>
      </c>
      <c r="C413">
        <v>2338</v>
      </c>
      <c r="D413" t="s">
        <v>7</v>
      </c>
      <c r="E413" t="s">
        <v>14</v>
      </c>
      <c r="F413" t="s">
        <v>28</v>
      </c>
      <c r="J413">
        <v>2</v>
      </c>
      <c r="Z413">
        <v>1</v>
      </c>
      <c r="AJ413">
        <f>SUM(Post[[#This Row],[47]:[75]])</f>
        <v>3</v>
      </c>
    </row>
    <row r="414" spans="1:36" x14ac:dyDescent="0.2">
      <c r="A414" t="s">
        <v>46</v>
      </c>
      <c r="B414" t="s">
        <v>6</v>
      </c>
      <c r="C414">
        <v>3087</v>
      </c>
      <c r="D414" t="s">
        <v>7</v>
      </c>
      <c r="E414" t="s">
        <v>14</v>
      </c>
      <c r="F414" t="s">
        <v>15</v>
      </c>
      <c r="I414">
        <v>1</v>
      </c>
      <c r="N414">
        <v>1</v>
      </c>
      <c r="R414">
        <v>1</v>
      </c>
      <c r="V414">
        <v>1</v>
      </c>
      <c r="Z414">
        <v>1</v>
      </c>
      <c r="AD414">
        <v>1</v>
      </c>
      <c r="AH414">
        <v>1</v>
      </c>
      <c r="AJ414">
        <f>SUM(Post[[#This Row],[47]:[75]])</f>
        <v>7</v>
      </c>
    </row>
    <row r="415" spans="1:36" x14ac:dyDescent="0.2">
      <c r="A415" t="s">
        <v>46</v>
      </c>
      <c r="B415" t="s">
        <v>6</v>
      </c>
      <c r="C415">
        <v>3228</v>
      </c>
      <c r="D415" t="s">
        <v>7</v>
      </c>
      <c r="E415" t="s">
        <v>14</v>
      </c>
      <c r="F415" t="s">
        <v>19</v>
      </c>
      <c r="AJ415">
        <f>SUM(Post[[#This Row],[47]:[75]])</f>
        <v>0</v>
      </c>
    </row>
    <row r="416" spans="1:36" x14ac:dyDescent="0.2">
      <c r="A416" t="s">
        <v>46</v>
      </c>
      <c r="B416" t="s">
        <v>6</v>
      </c>
      <c r="C416">
        <v>3228</v>
      </c>
      <c r="D416" t="s">
        <v>7</v>
      </c>
      <c r="E416" t="s">
        <v>14</v>
      </c>
      <c r="F416" t="s">
        <v>21</v>
      </c>
      <c r="P416">
        <v>1</v>
      </c>
      <c r="AG416">
        <v>1</v>
      </c>
      <c r="AJ416">
        <f>SUM(Post[[#This Row],[47]:[75]])</f>
        <v>2</v>
      </c>
    </row>
    <row r="417" spans="1:36" x14ac:dyDescent="0.2">
      <c r="A417" t="s">
        <v>46</v>
      </c>
      <c r="B417" t="s">
        <v>6</v>
      </c>
      <c r="C417">
        <v>3233</v>
      </c>
      <c r="D417" t="s">
        <v>7</v>
      </c>
      <c r="E417" t="s">
        <v>14</v>
      </c>
      <c r="F417" t="s">
        <v>20</v>
      </c>
      <c r="K417">
        <v>2</v>
      </c>
      <c r="P417">
        <v>2</v>
      </c>
      <c r="T417">
        <v>1</v>
      </c>
      <c r="W417">
        <v>1</v>
      </c>
      <c r="AB417">
        <v>1</v>
      </c>
      <c r="AF417">
        <v>2</v>
      </c>
      <c r="AJ417">
        <f>SUM(Post[[#This Row],[47]:[75]])</f>
        <v>9</v>
      </c>
    </row>
    <row r="418" spans="1:36" x14ac:dyDescent="0.2">
      <c r="A418" t="s">
        <v>46</v>
      </c>
      <c r="B418" t="s">
        <v>6</v>
      </c>
      <c r="C418">
        <v>3344</v>
      </c>
      <c r="D418" t="s">
        <v>7</v>
      </c>
      <c r="E418" t="s">
        <v>14</v>
      </c>
      <c r="F418" t="s">
        <v>20</v>
      </c>
      <c r="G418">
        <v>1</v>
      </c>
      <c r="L418">
        <v>1</v>
      </c>
      <c r="V418">
        <v>1</v>
      </c>
      <c r="W418">
        <v>1</v>
      </c>
      <c r="AA418">
        <v>2</v>
      </c>
      <c r="AC418">
        <v>1</v>
      </c>
      <c r="AD418">
        <v>2</v>
      </c>
      <c r="AJ418">
        <f>SUM(Post[[#This Row],[47]:[75]])</f>
        <v>9</v>
      </c>
    </row>
    <row r="419" spans="1:36" x14ac:dyDescent="0.2">
      <c r="A419" t="s">
        <v>46</v>
      </c>
      <c r="B419" t="s">
        <v>6</v>
      </c>
      <c r="C419">
        <v>4434</v>
      </c>
      <c r="D419" t="s">
        <v>7</v>
      </c>
      <c r="E419" t="s">
        <v>10</v>
      </c>
      <c r="F419" t="s">
        <v>11</v>
      </c>
      <c r="AJ419">
        <f>SUM(Post[[#This Row],[47]:[75]])</f>
        <v>0</v>
      </c>
    </row>
    <row r="420" spans="1:36" x14ac:dyDescent="0.2">
      <c r="A420" t="s">
        <v>46</v>
      </c>
      <c r="B420" t="s">
        <v>6</v>
      </c>
      <c r="C420">
        <v>4434</v>
      </c>
      <c r="D420" t="s">
        <v>7</v>
      </c>
      <c r="E420" t="s">
        <v>14</v>
      </c>
      <c r="F420" t="s">
        <v>20</v>
      </c>
      <c r="AE420">
        <v>1</v>
      </c>
      <c r="AJ420">
        <f>SUM(Post[[#This Row],[47]:[75]])</f>
        <v>1</v>
      </c>
    </row>
    <row r="421" spans="1:36" x14ac:dyDescent="0.2">
      <c r="A421" t="s">
        <v>46</v>
      </c>
      <c r="B421" t="s">
        <v>6</v>
      </c>
      <c r="C421">
        <v>4486</v>
      </c>
      <c r="D421" t="s">
        <v>7</v>
      </c>
      <c r="E421" t="s">
        <v>8</v>
      </c>
      <c r="F421" t="s">
        <v>23</v>
      </c>
      <c r="T421">
        <v>1</v>
      </c>
      <c r="AF421">
        <v>1</v>
      </c>
      <c r="AJ421">
        <f>SUM(Post[[#This Row],[47]:[75]])</f>
        <v>2</v>
      </c>
    </row>
    <row r="422" spans="1:36" x14ac:dyDescent="0.2">
      <c r="A422" t="s">
        <v>46</v>
      </c>
      <c r="B422" t="s">
        <v>6</v>
      </c>
      <c r="C422">
        <v>4486</v>
      </c>
      <c r="D422" t="s">
        <v>7</v>
      </c>
      <c r="E422" t="s">
        <v>14</v>
      </c>
      <c r="F422" t="s">
        <v>31</v>
      </c>
      <c r="T422">
        <v>1</v>
      </c>
      <c r="AF422">
        <v>1</v>
      </c>
      <c r="AJ422">
        <f>SUM(Post[[#This Row],[47]:[75]])</f>
        <v>2</v>
      </c>
    </row>
    <row r="423" spans="1:36" x14ac:dyDescent="0.2">
      <c r="A423" t="s">
        <v>46</v>
      </c>
      <c r="B423" t="s">
        <v>6</v>
      </c>
      <c r="C423">
        <v>4589</v>
      </c>
      <c r="D423" t="s">
        <v>7</v>
      </c>
      <c r="E423" t="s">
        <v>14</v>
      </c>
      <c r="F423" t="s">
        <v>31</v>
      </c>
      <c r="AJ423">
        <f>SUM(Post[[#This Row],[47]:[75]])</f>
        <v>0</v>
      </c>
    </row>
    <row r="424" spans="1:36" x14ac:dyDescent="0.2">
      <c r="A424" t="s">
        <v>46</v>
      </c>
      <c r="B424" t="s">
        <v>6</v>
      </c>
      <c r="C424">
        <v>4589</v>
      </c>
      <c r="D424" t="s">
        <v>7</v>
      </c>
      <c r="E424" t="s">
        <v>14</v>
      </c>
      <c r="F424" t="s">
        <v>28</v>
      </c>
      <c r="AJ424">
        <f>SUM(Post[[#This Row],[47]:[75]])</f>
        <v>0</v>
      </c>
    </row>
    <row r="425" spans="1:36" x14ac:dyDescent="0.2">
      <c r="A425" t="s">
        <v>46</v>
      </c>
      <c r="B425" t="s">
        <v>6</v>
      </c>
      <c r="C425">
        <v>5760</v>
      </c>
      <c r="D425" t="s">
        <v>7</v>
      </c>
      <c r="E425" t="s">
        <v>14</v>
      </c>
      <c r="F425" t="s">
        <v>20</v>
      </c>
      <c r="AJ425">
        <f>SUM(Post[[#This Row],[47]:[75]])</f>
        <v>0</v>
      </c>
    </row>
    <row r="426" spans="1:36" x14ac:dyDescent="0.2">
      <c r="A426" t="s">
        <v>46</v>
      </c>
      <c r="B426" t="s">
        <v>6</v>
      </c>
      <c r="C426">
        <v>6865</v>
      </c>
      <c r="D426" t="s">
        <v>7</v>
      </c>
      <c r="E426" t="s">
        <v>14</v>
      </c>
      <c r="F426" t="s">
        <v>15</v>
      </c>
      <c r="O426">
        <v>1</v>
      </c>
      <c r="AD426">
        <v>1</v>
      </c>
      <c r="AJ426">
        <f>SUM(Post[[#This Row],[47]:[75]])</f>
        <v>2</v>
      </c>
    </row>
    <row r="427" spans="1:36" x14ac:dyDescent="0.2">
      <c r="A427" t="s">
        <v>46</v>
      </c>
      <c r="B427" t="s">
        <v>6</v>
      </c>
      <c r="C427">
        <v>7767</v>
      </c>
      <c r="D427" t="s">
        <v>7</v>
      </c>
      <c r="E427" t="s">
        <v>14</v>
      </c>
      <c r="F427" t="s">
        <v>35</v>
      </c>
      <c r="H427">
        <v>1</v>
      </c>
      <c r="AJ427">
        <f>SUM(Post[[#This Row],[47]:[75]])</f>
        <v>1</v>
      </c>
    </row>
    <row r="428" spans="1:36" x14ac:dyDescent="0.2">
      <c r="A428" t="s">
        <v>46</v>
      </c>
      <c r="B428" t="s">
        <v>6</v>
      </c>
      <c r="C428">
        <v>9121</v>
      </c>
      <c r="D428" t="s">
        <v>7</v>
      </c>
      <c r="E428" t="s">
        <v>8</v>
      </c>
      <c r="F428" t="s">
        <v>23</v>
      </c>
      <c r="AJ428">
        <f>SUM(Post[[#This Row],[47]:[75]])</f>
        <v>0</v>
      </c>
    </row>
    <row r="429" spans="1:36" x14ac:dyDescent="0.2">
      <c r="A429" t="s">
        <v>46</v>
      </c>
      <c r="B429" t="s">
        <v>6</v>
      </c>
      <c r="C429">
        <v>10288</v>
      </c>
      <c r="D429" t="s">
        <v>7</v>
      </c>
      <c r="E429" t="s">
        <v>8</v>
      </c>
      <c r="F429" t="s">
        <v>23</v>
      </c>
      <c r="AJ429">
        <f>SUM(Post[[#This Row],[47]:[75]])</f>
        <v>0</v>
      </c>
    </row>
    <row r="430" spans="1:36" x14ac:dyDescent="0.2">
      <c r="A430" t="s">
        <v>46</v>
      </c>
      <c r="B430" t="s">
        <v>6</v>
      </c>
      <c r="C430">
        <v>10921</v>
      </c>
      <c r="D430" t="s">
        <v>7</v>
      </c>
      <c r="E430" t="s">
        <v>8</v>
      </c>
      <c r="F430" t="s">
        <v>23</v>
      </c>
      <c r="P430">
        <v>1</v>
      </c>
      <c r="AJ430">
        <f>SUM(Post[[#This Row],[47]:[75]])</f>
        <v>1</v>
      </c>
    </row>
    <row r="431" spans="1:36" x14ac:dyDescent="0.2">
      <c r="A431" t="s">
        <v>46</v>
      </c>
      <c r="B431" t="s">
        <v>6</v>
      </c>
      <c r="C431">
        <v>11026</v>
      </c>
      <c r="D431" t="s">
        <v>7</v>
      </c>
      <c r="E431" t="s">
        <v>8</v>
      </c>
      <c r="F431" t="s">
        <v>23</v>
      </c>
      <c r="AJ431">
        <f>SUM(Post[[#This Row],[47]:[75]])</f>
        <v>0</v>
      </c>
    </row>
    <row r="432" spans="1:36" x14ac:dyDescent="0.2">
      <c r="A432" t="s">
        <v>46</v>
      </c>
      <c r="B432" t="s">
        <v>6</v>
      </c>
      <c r="C432">
        <v>11625</v>
      </c>
      <c r="D432" t="s">
        <v>7</v>
      </c>
      <c r="E432" t="s">
        <v>14</v>
      </c>
      <c r="F432" t="s">
        <v>31</v>
      </c>
      <c r="S432">
        <v>1</v>
      </c>
      <c r="AF432">
        <v>1</v>
      </c>
      <c r="AJ432">
        <f>SUM(Post[[#This Row],[47]:[75]])</f>
        <v>2</v>
      </c>
    </row>
    <row r="433" spans="1:36" x14ac:dyDescent="0.2">
      <c r="A433" t="s">
        <v>46</v>
      </c>
      <c r="B433" t="s">
        <v>6</v>
      </c>
      <c r="C433">
        <v>13423</v>
      </c>
      <c r="D433" t="s">
        <v>7</v>
      </c>
      <c r="E433" t="s">
        <v>14</v>
      </c>
      <c r="F433" t="s">
        <v>31</v>
      </c>
      <c r="AJ433">
        <f>SUM(Post[[#This Row],[47]:[75]])</f>
        <v>0</v>
      </c>
    </row>
    <row r="434" spans="1:36" x14ac:dyDescent="0.2">
      <c r="A434" t="s">
        <v>46</v>
      </c>
      <c r="B434" t="s">
        <v>6</v>
      </c>
      <c r="C434">
        <v>13423</v>
      </c>
      <c r="D434" t="s">
        <v>7</v>
      </c>
      <c r="E434" t="s">
        <v>14</v>
      </c>
      <c r="F434" t="s">
        <v>28</v>
      </c>
      <c r="AJ434">
        <f>SUM(Post[[#This Row],[47]:[75]])</f>
        <v>0</v>
      </c>
    </row>
    <row r="435" spans="1:36" x14ac:dyDescent="0.2">
      <c r="A435" t="s">
        <v>46</v>
      </c>
      <c r="B435" t="s">
        <v>6</v>
      </c>
      <c r="C435">
        <v>16040</v>
      </c>
      <c r="D435" t="s">
        <v>7</v>
      </c>
      <c r="E435" t="s">
        <v>14</v>
      </c>
      <c r="F435" t="s">
        <v>15</v>
      </c>
      <c r="AJ435">
        <f>SUM(Post[[#This Row],[47]:[75]])</f>
        <v>0</v>
      </c>
    </row>
    <row r="436" spans="1:36" x14ac:dyDescent="0.2">
      <c r="A436" t="s">
        <v>46</v>
      </c>
      <c r="B436" t="s">
        <v>6</v>
      </c>
      <c r="C436">
        <v>16174</v>
      </c>
      <c r="D436" t="s">
        <v>7</v>
      </c>
      <c r="E436" t="s">
        <v>14</v>
      </c>
      <c r="F436" t="s">
        <v>35</v>
      </c>
      <c r="AJ436">
        <f>SUM(Post[[#This Row],[47]:[75]])</f>
        <v>0</v>
      </c>
    </row>
    <row r="437" spans="1:36" x14ac:dyDescent="0.2">
      <c r="A437" t="s">
        <v>46</v>
      </c>
      <c r="B437" t="s">
        <v>6</v>
      </c>
      <c r="C437">
        <v>16174</v>
      </c>
      <c r="D437" t="s">
        <v>7</v>
      </c>
      <c r="E437" t="s">
        <v>14</v>
      </c>
      <c r="F437" t="s">
        <v>20</v>
      </c>
      <c r="AJ437">
        <f>SUM(Post[[#This Row],[47]:[75]])</f>
        <v>0</v>
      </c>
    </row>
    <row r="438" spans="1:36" x14ac:dyDescent="0.2">
      <c r="A438" t="s">
        <v>46</v>
      </c>
      <c r="B438" t="s">
        <v>6</v>
      </c>
      <c r="C438">
        <v>24790</v>
      </c>
      <c r="D438" t="s">
        <v>7</v>
      </c>
      <c r="E438" t="s">
        <v>10</v>
      </c>
      <c r="F438" t="s">
        <v>11</v>
      </c>
      <c r="R438">
        <v>1</v>
      </c>
      <c r="AJ438">
        <f>SUM(Post[[#This Row],[47]:[75]])</f>
        <v>1</v>
      </c>
    </row>
    <row r="439" spans="1:36" x14ac:dyDescent="0.2">
      <c r="A439" t="s">
        <v>46</v>
      </c>
      <c r="B439" t="s">
        <v>6</v>
      </c>
      <c r="C439">
        <v>24831</v>
      </c>
      <c r="D439" t="s">
        <v>7</v>
      </c>
      <c r="E439" t="s">
        <v>10</v>
      </c>
      <c r="F439" t="s">
        <v>11</v>
      </c>
      <c r="AJ439">
        <f>SUM(Post[[#This Row],[47]:[75]])</f>
        <v>0</v>
      </c>
    </row>
    <row r="440" spans="1:36" x14ac:dyDescent="0.2">
      <c r="A440" t="s">
        <v>46</v>
      </c>
      <c r="B440" t="s">
        <v>6</v>
      </c>
      <c r="C440">
        <v>25139</v>
      </c>
      <c r="D440" t="s">
        <v>7</v>
      </c>
      <c r="E440" t="s">
        <v>14</v>
      </c>
      <c r="F440" t="s">
        <v>28</v>
      </c>
      <c r="AJ440">
        <f>SUM(Post[[#This Row],[47]:[75]])</f>
        <v>0</v>
      </c>
    </row>
    <row r="441" spans="1:36" x14ac:dyDescent="0.2">
      <c r="A441" t="s">
        <v>46</v>
      </c>
      <c r="B441" t="s">
        <v>6</v>
      </c>
      <c r="C441">
        <v>29534</v>
      </c>
      <c r="D441" t="s">
        <v>7</v>
      </c>
      <c r="E441" t="s">
        <v>14</v>
      </c>
      <c r="F441" t="s">
        <v>31</v>
      </c>
      <c r="AJ441">
        <f>SUM(Post[[#This Row],[47]:[75]])</f>
        <v>0</v>
      </c>
    </row>
    <row r="442" spans="1:36" x14ac:dyDescent="0.2">
      <c r="A442" t="s">
        <v>46</v>
      </c>
      <c r="B442" t="s">
        <v>6</v>
      </c>
      <c r="C442">
        <v>29568</v>
      </c>
      <c r="D442" t="s">
        <v>7</v>
      </c>
      <c r="E442" t="s">
        <v>14</v>
      </c>
      <c r="F442" t="s">
        <v>20</v>
      </c>
      <c r="AJ442">
        <f>SUM(Post[[#This Row],[47]:[75]])</f>
        <v>0</v>
      </c>
    </row>
    <row r="443" spans="1:36" x14ac:dyDescent="0.2">
      <c r="A443" t="s">
        <v>46</v>
      </c>
      <c r="B443" t="s">
        <v>6</v>
      </c>
      <c r="C443">
        <v>29983</v>
      </c>
      <c r="D443" t="s">
        <v>7</v>
      </c>
      <c r="E443" t="s">
        <v>14</v>
      </c>
      <c r="F443" t="s">
        <v>20</v>
      </c>
      <c r="AJ443">
        <f>SUM(Post[[#This Row],[47]:[75]])</f>
        <v>0</v>
      </c>
    </row>
    <row r="444" spans="1:36" x14ac:dyDescent="0.2">
      <c r="A444" t="s">
        <v>46</v>
      </c>
      <c r="B444" t="s">
        <v>6</v>
      </c>
      <c r="C444">
        <v>30185</v>
      </c>
      <c r="D444" t="s">
        <v>7</v>
      </c>
      <c r="E444" t="s">
        <v>14</v>
      </c>
      <c r="F444" t="s">
        <v>31</v>
      </c>
      <c r="AJ444">
        <f>SUM(Post[[#This Row],[47]:[75]])</f>
        <v>0</v>
      </c>
    </row>
    <row r="445" spans="1:36" x14ac:dyDescent="0.2">
      <c r="A445" t="s">
        <v>46</v>
      </c>
      <c r="B445" t="s">
        <v>6</v>
      </c>
      <c r="C445">
        <v>31828</v>
      </c>
      <c r="D445" t="s">
        <v>7</v>
      </c>
      <c r="E445" t="s">
        <v>14</v>
      </c>
      <c r="F445" t="s">
        <v>21</v>
      </c>
      <c r="I445">
        <v>1</v>
      </c>
      <c r="V445">
        <v>1</v>
      </c>
      <c r="Z445">
        <v>1</v>
      </c>
      <c r="AJ445">
        <f>SUM(Post[[#This Row],[47]:[75]])</f>
        <v>3</v>
      </c>
    </row>
    <row r="446" spans="1:36" x14ac:dyDescent="0.2">
      <c r="A446" t="s">
        <v>46</v>
      </c>
      <c r="B446" t="s">
        <v>6</v>
      </c>
      <c r="C446">
        <v>845</v>
      </c>
      <c r="D446" t="s">
        <v>22</v>
      </c>
      <c r="E446" t="s">
        <v>14</v>
      </c>
      <c r="F446" t="s">
        <v>20</v>
      </c>
      <c r="G446">
        <v>1</v>
      </c>
      <c r="K446">
        <v>1</v>
      </c>
      <c r="Q446">
        <v>1</v>
      </c>
      <c r="V446">
        <v>1</v>
      </c>
      <c r="Z446">
        <v>1</v>
      </c>
      <c r="AD446">
        <v>1</v>
      </c>
      <c r="AE446">
        <v>1</v>
      </c>
      <c r="AJ446">
        <f>SUM(Post[[#This Row],[47]:[75]])</f>
        <v>7</v>
      </c>
    </row>
    <row r="447" spans="1:36" x14ac:dyDescent="0.2">
      <c r="A447" t="s">
        <v>46</v>
      </c>
      <c r="B447" t="s">
        <v>6</v>
      </c>
      <c r="C447">
        <v>4424</v>
      </c>
      <c r="D447" t="s">
        <v>22</v>
      </c>
      <c r="E447" t="s">
        <v>14</v>
      </c>
      <c r="F447" t="s">
        <v>19</v>
      </c>
      <c r="AJ447">
        <f>SUM(Post[[#This Row],[47]:[75]])</f>
        <v>0</v>
      </c>
    </row>
    <row r="448" spans="1:36" x14ac:dyDescent="0.2">
      <c r="A448" t="s">
        <v>46</v>
      </c>
      <c r="B448" t="s">
        <v>6</v>
      </c>
      <c r="C448">
        <v>5463</v>
      </c>
      <c r="D448" t="s">
        <v>22</v>
      </c>
      <c r="E448" t="s">
        <v>14</v>
      </c>
      <c r="F448" t="s">
        <v>35</v>
      </c>
      <c r="Q448">
        <v>1</v>
      </c>
      <c r="AJ448">
        <f>SUM(Post[[#This Row],[47]:[75]])</f>
        <v>1</v>
      </c>
    </row>
    <row r="449" spans="1:36" x14ac:dyDescent="0.2">
      <c r="A449" t="s">
        <v>46</v>
      </c>
      <c r="B449" t="s">
        <v>6</v>
      </c>
      <c r="C449">
        <v>7893</v>
      </c>
      <c r="D449" t="s">
        <v>22</v>
      </c>
      <c r="E449" t="s">
        <v>8</v>
      </c>
      <c r="F449" t="s">
        <v>30</v>
      </c>
      <c r="Q449">
        <v>1</v>
      </c>
      <c r="AB449">
        <v>1</v>
      </c>
      <c r="AJ449">
        <f>SUM(Post[[#This Row],[47]:[75]])</f>
        <v>2</v>
      </c>
    </row>
    <row r="450" spans="1:36" x14ac:dyDescent="0.2">
      <c r="A450" t="s">
        <v>46</v>
      </c>
      <c r="B450" t="s">
        <v>6</v>
      </c>
      <c r="C450">
        <v>8898</v>
      </c>
      <c r="D450" t="s">
        <v>22</v>
      </c>
      <c r="E450" t="s">
        <v>14</v>
      </c>
      <c r="F450" t="s">
        <v>15</v>
      </c>
      <c r="Q450">
        <v>1</v>
      </c>
      <c r="W450">
        <v>1</v>
      </c>
      <c r="AJ450">
        <f>SUM(Post[[#This Row],[47]:[75]])</f>
        <v>2</v>
      </c>
    </row>
    <row r="451" spans="1:36" x14ac:dyDescent="0.2">
      <c r="A451" t="s">
        <v>46</v>
      </c>
      <c r="B451" t="s">
        <v>6</v>
      </c>
      <c r="C451">
        <v>11214</v>
      </c>
      <c r="D451" t="s">
        <v>22</v>
      </c>
      <c r="E451" t="s">
        <v>8</v>
      </c>
      <c r="F451" t="s">
        <v>23</v>
      </c>
      <c r="J451">
        <v>1</v>
      </c>
      <c r="Z451">
        <v>1</v>
      </c>
      <c r="AJ451">
        <f>SUM(Post[[#This Row],[47]:[75]])</f>
        <v>2</v>
      </c>
    </row>
    <row r="452" spans="1:36" x14ac:dyDescent="0.2">
      <c r="A452" t="s">
        <v>46</v>
      </c>
      <c r="B452" t="s">
        <v>6</v>
      </c>
      <c r="C452">
        <v>12044</v>
      </c>
      <c r="D452" t="s">
        <v>22</v>
      </c>
      <c r="E452" t="s">
        <v>14</v>
      </c>
      <c r="F452" t="s">
        <v>21</v>
      </c>
      <c r="R452">
        <v>1</v>
      </c>
      <c r="AF452">
        <v>1</v>
      </c>
      <c r="AJ452">
        <f>SUM(Post[[#This Row],[47]:[75]])</f>
        <v>2</v>
      </c>
    </row>
    <row r="453" spans="1:36" x14ac:dyDescent="0.2">
      <c r="A453" t="s">
        <v>46</v>
      </c>
      <c r="B453" t="s">
        <v>6</v>
      </c>
      <c r="C453">
        <v>14175</v>
      </c>
      <c r="D453" t="s">
        <v>22</v>
      </c>
      <c r="E453" t="s">
        <v>14</v>
      </c>
      <c r="F453" t="s">
        <v>19</v>
      </c>
      <c r="AJ453">
        <f>SUM(Post[[#This Row],[47]:[75]])</f>
        <v>0</v>
      </c>
    </row>
    <row r="454" spans="1:36" x14ac:dyDescent="0.2">
      <c r="A454" t="s">
        <v>46</v>
      </c>
      <c r="B454" t="s">
        <v>6</v>
      </c>
      <c r="C454">
        <v>16141</v>
      </c>
      <c r="D454" t="s">
        <v>22</v>
      </c>
      <c r="E454" t="s">
        <v>14</v>
      </c>
      <c r="F454" t="s">
        <v>15</v>
      </c>
      <c r="Z454">
        <v>2</v>
      </c>
      <c r="AJ454">
        <f>SUM(Post[[#This Row],[47]:[75]])</f>
        <v>2</v>
      </c>
    </row>
    <row r="455" spans="1:36" x14ac:dyDescent="0.2">
      <c r="A455" t="s">
        <v>46</v>
      </c>
      <c r="B455" t="s">
        <v>6</v>
      </c>
      <c r="C455">
        <v>18938</v>
      </c>
      <c r="D455" t="s">
        <v>22</v>
      </c>
      <c r="E455" t="s">
        <v>14</v>
      </c>
      <c r="F455" t="s">
        <v>31</v>
      </c>
      <c r="AJ455">
        <f>SUM(Post[[#This Row],[47]:[75]])</f>
        <v>0</v>
      </c>
    </row>
    <row r="456" spans="1:36" x14ac:dyDescent="0.2">
      <c r="A456" t="s">
        <v>46</v>
      </c>
      <c r="B456" t="s">
        <v>6</v>
      </c>
      <c r="C456">
        <v>20257</v>
      </c>
      <c r="D456" t="s">
        <v>22</v>
      </c>
      <c r="E456" t="s">
        <v>14</v>
      </c>
      <c r="F456" t="s">
        <v>31</v>
      </c>
      <c r="AJ456">
        <f>SUM(Post[[#This Row],[47]:[75]])</f>
        <v>0</v>
      </c>
    </row>
    <row r="457" spans="1:36" x14ac:dyDescent="0.2">
      <c r="A457" t="s">
        <v>46</v>
      </c>
      <c r="B457" t="s">
        <v>6</v>
      </c>
      <c r="C457">
        <v>20315</v>
      </c>
      <c r="D457" t="s">
        <v>22</v>
      </c>
      <c r="E457" t="s">
        <v>14</v>
      </c>
      <c r="F457" t="s">
        <v>20</v>
      </c>
      <c r="H457">
        <v>1</v>
      </c>
      <c r="K457">
        <v>1</v>
      </c>
      <c r="P457">
        <v>1</v>
      </c>
      <c r="U457">
        <v>1</v>
      </c>
      <c r="X457">
        <v>1</v>
      </c>
      <c r="AB457">
        <v>1</v>
      </c>
      <c r="AH457">
        <v>2</v>
      </c>
      <c r="AJ457">
        <f>SUM(Post[[#This Row],[47]:[75]])</f>
        <v>8</v>
      </c>
    </row>
    <row r="458" spans="1:36" x14ac:dyDescent="0.2">
      <c r="A458" t="s">
        <v>46</v>
      </c>
      <c r="B458" t="s">
        <v>6</v>
      </c>
      <c r="C458">
        <v>21745</v>
      </c>
      <c r="D458" t="s">
        <v>22</v>
      </c>
      <c r="E458" t="s">
        <v>14</v>
      </c>
      <c r="F458" t="s">
        <v>31</v>
      </c>
      <c r="T458">
        <v>3</v>
      </c>
      <c r="AJ458">
        <f>SUM(Post[[#This Row],[47]:[75]])</f>
        <v>3</v>
      </c>
    </row>
    <row r="459" spans="1:36" x14ac:dyDescent="0.2">
      <c r="A459" t="s">
        <v>46</v>
      </c>
      <c r="B459" t="s">
        <v>6</v>
      </c>
      <c r="C459">
        <v>25966</v>
      </c>
      <c r="D459" t="s">
        <v>22</v>
      </c>
      <c r="E459" t="s">
        <v>14</v>
      </c>
      <c r="F459" t="s">
        <v>31</v>
      </c>
      <c r="O459">
        <v>1</v>
      </c>
      <c r="Z459">
        <v>1</v>
      </c>
      <c r="AJ459">
        <f>SUM(Post[[#This Row],[47]:[75]])</f>
        <v>2</v>
      </c>
    </row>
    <row r="460" spans="1:36" x14ac:dyDescent="0.2">
      <c r="A460" t="s">
        <v>46</v>
      </c>
      <c r="B460" t="s">
        <v>6</v>
      </c>
      <c r="C460">
        <v>26358</v>
      </c>
      <c r="D460" t="s">
        <v>22</v>
      </c>
      <c r="E460" t="s">
        <v>14</v>
      </c>
      <c r="F460" t="s">
        <v>35</v>
      </c>
      <c r="AJ460">
        <f>SUM(Post[[#This Row],[47]:[75]])</f>
        <v>0</v>
      </c>
    </row>
    <row r="461" spans="1:36" x14ac:dyDescent="0.2">
      <c r="A461" t="s">
        <v>46</v>
      </c>
      <c r="B461" t="s">
        <v>6</v>
      </c>
      <c r="C461">
        <v>26358</v>
      </c>
      <c r="D461" t="s">
        <v>22</v>
      </c>
      <c r="E461" t="s">
        <v>14</v>
      </c>
      <c r="F461" t="s">
        <v>31</v>
      </c>
      <c r="AJ461">
        <f>SUM(Post[[#This Row],[47]:[75]])</f>
        <v>0</v>
      </c>
    </row>
    <row r="462" spans="1:36" x14ac:dyDescent="0.2">
      <c r="A462" t="s">
        <v>46</v>
      </c>
      <c r="B462" t="s">
        <v>6</v>
      </c>
      <c r="C462">
        <v>26706</v>
      </c>
      <c r="D462" t="s">
        <v>22</v>
      </c>
      <c r="E462" t="s">
        <v>10</v>
      </c>
      <c r="F462" t="s">
        <v>11</v>
      </c>
      <c r="O462">
        <v>1</v>
      </c>
      <c r="U462">
        <v>1</v>
      </c>
      <c r="Y462">
        <v>1</v>
      </c>
      <c r="AJ462">
        <f>SUM(Post[[#This Row],[47]:[75]])</f>
        <v>3</v>
      </c>
    </row>
    <row r="463" spans="1:36" x14ac:dyDescent="0.2">
      <c r="A463" t="s">
        <v>46</v>
      </c>
      <c r="B463" t="s">
        <v>6</v>
      </c>
      <c r="C463">
        <v>27297</v>
      </c>
      <c r="D463" t="s">
        <v>22</v>
      </c>
      <c r="E463" t="s">
        <v>14</v>
      </c>
      <c r="F463" t="s">
        <v>35</v>
      </c>
      <c r="J463">
        <v>1</v>
      </c>
      <c r="AH463">
        <v>2</v>
      </c>
      <c r="AJ463">
        <f>SUM(Post[[#This Row],[47]:[75]])</f>
        <v>3</v>
      </c>
    </row>
    <row r="464" spans="1:36" x14ac:dyDescent="0.2">
      <c r="A464" t="s">
        <v>46</v>
      </c>
      <c r="B464" t="s">
        <v>6</v>
      </c>
      <c r="C464">
        <v>27555</v>
      </c>
      <c r="D464" t="s">
        <v>22</v>
      </c>
      <c r="E464" t="s">
        <v>14</v>
      </c>
      <c r="F464" t="s">
        <v>35</v>
      </c>
      <c r="AJ464">
        <f>SUM(Post[[#This Row],[47]:[75]])</f>
        <v>0</v>
      </c>
    </row>
    <row r="465" spans="1:36" x14ac:dyDescent="0.2">
      <c r="A465" t="s">
        <v>46</v>
      </c>
      <c r="B465" t="s">
        <v>6</v>
      </c>
      <c r="C465">
        <v>9600</v>
      </c>
      <c r="D465" t="s">
        <v>7</v>
      </c>
      <c r="E465" t="s">
        <v>14</v>
      </c>
      <c r="F465" t="s">
        <v>20</v>
      </c>
      <c r="K465">
        <v>1</v>
      </c>
      <c r="Y465">
        <v>1</v>
      </c>
      <c r="AJ465">
        <f>SUM(Post[[#This Row],[47]:[75]])</f>
        <v>2</v>
      </c>
    </row>
    <row r="466" spans="1:36" x14ac:dyDescent="0.2">
      <c r="A466" t="s">
        <v>46</v>
      </c>
      <c r="B466" t="s">
        <v>6</v>
      </c>
      <c r="C466">
        <v>2351</v>
      </c>
      <c r="D466" t="s">
        <v>7</v>
      </c>
      <c r="E466" t="s">
        <v>14</v>
      </c>
      <c r="F466" t="s">
        <v>20</v>
      </c>
      <c r="AJ466">
        <f>SUM(Post[[#This Row],[47]:[75]])</f>
        <v>0</v>
      </c>
    </row>
    <row r="467" spans="1:36" x14ac:dyDescent="0.2">
      <c r="A467" t="s">
        <v>46</v>
      </c>
      <c r="B467" t="s">
        <v>6</v>
      </c>
      <c r="C467">
        <v>9313</v>
      </c>
      <c r="D467" t="s">
        <v>7</v>
      </c>
      <c r="E467" t="s">
        <v>10</v>
      </c>
      <c r="F467" t="s">
        <v>11</v>
      </c>
      <c r="L467">
        <v>1</v>
      </c>
      <c r="AJ467">
        <f>SUM(Post[[#This Row],[47]:[75]])</f>
        <v>1</v>
      </c>
    </row>
    <row r="468" spans="1:36" x14ac:dyDescent="0.2">
      <c r="A468" t="s">
        <v>46</v>
      </c>
      <c r="B468" t="s">
        <v>6</v>
      </c>
      <c r="C468">
        <v>9313</v>
      </c>
      <c r="D468" t="s">
        <v>7</v>
      </c>
      <c r="E468" t="s">
        <v>14</v>
      </c>
      <c r="F468" t="s">
        <v>20</v>
      </c>
      <c r="AJ468">
        <f>SUM(Post[[#This Row],[47]:[75]])</f>
        <v>0</v>
      </c>
    </row>
    <row r="469" spans="1:36" x14ac:dyDescent="0.2">
      <c r="A469" t="s">
        <v>46</v>
      </c>
      <c r="B469" t="s">
        <v>6</v>
      </c>
      <c r="C469">
        <v>9964</v>
      </c>
      <c r="D469" t="s">
        <v>7</v>
      </c>
      <c r="E469" t="s">
        <v>14</v>
      </c>
      <c r="F469" t="s">
        <v>19</v>
      </c>
      <c r="I469">
        <v>2</v>
      </c>
      <c r="L469">
        <v>1</v>
      </c>
      <c r="Q469">
        <v>1</v>
      </c>
      <c r="W469">
        <v>1</v>
      </c>
      <c r="AA469">
        <v>2</v>
      </c>
      <c r="AE469">
        <v>1</v>
      </c>
      <c r="AJ469">
        <f>SUM(Post[[#This Row],[47]:[75]])</f>
        <v>8</v>
      </c>
    </row>
    <row r="470" spans="1:36" x14ac:dyDescent="0.2">
      <c r="A470" t="s">
        <v>46</v>
      </c>
      <c r="B470" t="s">
        <v>6</v>
      </c>
      <c r="C470">
        <v>12999</v>
      </c>
      <c r="D470" t="s">
        <v>7</v>
      </c>
      <c r="E470" t="s">
        <v>14</v>
      </c>
      <c r="F470" t="s">
        <v>31</v>
      </c>
      <c r="H470">
        <v>1</v>
      </c>
      <c r="W470">
        <v>1</v>
      </c>
      <c r="AJ470">
        <f>SUM(Post[[#This Row],[47]:[75]])</f>
        <v>2</v>
      </c>
    </row>
    <row r="471" spans="1:36" x14ac:dyDescent="0.2">
      <c r="A471" t="s">
        <v>46</v>
      </c>
      <c r="B471" t="s">
        <v>6</v>
      </c>
      <c r="C471">
        <v>15818</v>
      </c>
      <c r="D471" t="s">
        <v>7</v>
      </c>
      <c r="E471" t="s">
        <v>14</v>
      </c>
      <c r="F471" t="s">
        <v>28</v>
      </c>
      <c r="H471">
        <v>1</v>
      </c>
      <c r="Z471">
        <v>1</v>
      </c>
      <c r="AJ471">
        <f>SUM(Post[[#This Row],[47]:[75]])</f>
        <v>2</v>
      </c>
    </row>
    <row r="472" spans="1:36" x14ac:dyDescent="0.2">
      <c r="A472" t="s">
        <v>46</v>
      </c>
      <c r="B472" t="s">
        <v>6</v>
      </c>
      <c r="C472">
        <v>31745</v>
      </c>
      <c r="D472" t="s">
        <v>7</v>
      </c>
      <c r="E472" t="s">
        <v>14</v>
      </c>
      <c r="F472" t="s">
        <v>31</v>
      </c>
      <c r="K472">
        <v>1</v>
      </c>
      <c r="AJ472">
        <f>SUM(Post[[#This Row],[47]:[75]])</f>
        <v>1</v>
      </c>
    </row>
    <row r="473" spans="1:36" x14ac:dyDescent="0.2">
      <c r="A473" t="s">
        <v>46</v>
      </c>
      <c r="B473" t="s">
        <v>6</v>
      </c>
      <c r="C473">
        <v>31745</v>
      </c>
      <c r="D473" t="s">
        <v>7</v>
      </c>
      <c r="E473" t="s">
        <v>14</v>
      </c>
      <c r="F473" t="s">
        <v>19</v>
      </c>
      <c r="AG473">
        <v>2</v>
      </c>
      <c r="AJ473">
        <f>SUM(Post[[#This Row],[47]:[75]])</f>
        <v>2</v>
      </c>
    </row>
    <row r="474" spans="1:36" x14ac:dyDescent="0.2">
      <c r="A474" t="s">
        <v>46</v>
      </c>
      <c r="B474" t="s">
        <v>6</v>
      </c>
      <c r="C474">
        <v>1948</v>
      </c>
      <c r="D474" t="s">
        <v>22</v>
      </c>
      <c r="E474" t="s">
        <v>14</v>
      </c>
      <c r="F474" t="s">
        <v>28</v>
      </c>
      <c r="O474">
        <v>1</v>
      </c>
      <c r="Z474">
        <v>1</v>
      </c>
      <c r="AJ474">
        <f>SUM(Post[[#This Row],[47]:[75]])</f>
        <v>2</v>
      </c>
    </row>
    <row r="475" spans="1:36" x14ac:dyDescent="0.2">
      <c r="A475" t="s">
        <v>46</v>
      </c>
      <c r="B475" t="s">
        <v>6</v>
      </c>
      <c r="C475">
        <v>11014</v>
      </c>
      <c r="D475" t="s">
        <v>7</v>
      </c>
      <c r="E475" t="s">
        <v>14</v>
      </c>
      <c r="F475" t="s">
        <v>20</v>
      </c>
      <c r="AJ475">
        <f>SUM(Post[[#This Row],[47]:[75]])</f>
        <v>0</v>
      </c>
    </row>
    <row r="476" spans="1:36" x14ac:dyDescent="0.2">
      <c r="A476" t="s">
        <v>46</v>
      </c>
      <c r="B476" t="s">
        <v>6</v>
      </c>
      <c r="C476">
        <v>3334</v>
      </c>
      <c r="D476" t="s">
        <v>22</v>
      </c>
      <c r="E476" t="s">
        <v>14</v>
      </c>
      <c r="F476" t="s">
        <v>20</v>
      </c>
      <c r="G476">
        <v>1</v>
      </c>
      <c r="H476">
        <v>1</v>
      </c>
      <c r="J476">
        <v>2</v>
      </c>
      <c r="K476">
        <v>1</v>
      </c>
      <c r="L476">
        <v>1</v>
      </c>
      <c r="O476">
        <v>3</v>
      </c>
      <c r="P476">
        <v>1</v>
      </c>
      <c r="Q476">
        <v>1</v>
      </c>
      <c r="S476">
        <v>2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C476">
        <v>1</v>
      </c>
      <c r="AJ476">
        <f>SUM(Post[[#This Row],[47]:[75]])</f>
        <v>22</v>
      </c>
    </row>
    <row r="477" spans="1:36" x14ac:dyDescent="0.2">
      <c r="A477" t="s">
        <v>46</v>
      </c>
      <c r="B477" t="s">
        <v>6</v>
      </c>
      <c r="C477">
        <v>10288</v>
      </c>
      <c r="D477" t="s">
        <v>7</v>
      </c>
      <c r="E477" t="s">
        <v>14</v>
      </c>
      <c r="F477" t="s">
        <v>21</v>
      </c>
      <c r="AJ477">
        <f>SUM(Post[[#This Row],[47]:[75]])</f>
        <v>0</v>
      </c>
    </row>
    <row r="478" spans="1:36" x14ac:dyDescent="0.2">
      <c r="A478" t="s">
        <v>46</v>
      </c>
      <c r="B478" t="s">
        <v>6</v>
      </c>
      <c r="C478">
        <v>11459</v>
      </c>
      <c r="D478" t="s">
        <v>7</v>
      </c>
      <c r="E478" t="s">
        <v>14</v>
      </c>
      <c r="F478" t="s">
        <v>20</v>
      </c>
      <c r="I478">
        <v>1</v>
      </c>
      <c r="AJ478">
        <f>SUM(Post[[#This Row],[47]:[75]])</f>
        <v>1</v>
      </c>
    </row>
    <row r="479" spans="1:36" x14ac:dyDescent="0.2">
      <c r="A479" t="s">
        <v>46</v>
      </c>
      <c r="B479" t="s">
        <v>6</v>
      </c>
      <c r="C479">
        <v>9724</v>
      </c>
      <c r="D479" t="s">
        <v>22</v>
      </c>
      <c r="E479" t="s">
        <v>14</v>
      </c>
      <c r="F479" t="s">
        <v>21</v>
      </c>
      <c r="AJ479">
        <f>SUM(Post[[#This Row],[47]:[75]])</f>
        <v>0</v>
      </c>
    </row>
    <row r="480" spans="1:36" x14ac:dyDescent="0.2">
      <c r="A480" t="s">
        <v>46</v>
      </c>
      <c r="B480" t="s">
        <v>6</v>
      </c>
      <c r="C480">
        <v>6810</v>
      </c>
      <c r="D480" t="s">
        <v>7</v>
      </c>
      <c r="E480" t="s">
        <v>8</v>
      </c>
      <c r="F480" t="s">
        <v>29</v>
      </c>
      <c r="L480">
        <v>2</v>
      </c>
      <c r="AJ480">
        <f>SUM(Post[[#This Row],[47]:[75]])</f>
        <v>2</v>
      </c>
    </row>
    <row r="481" spans="1:36" x14ac:dyDescent="0.2">
      <c r="A481" t="s">
        <v>46</v>
      </c>
      <c r="B481" t="s">
        <v>6</v>
      </c>
      <c r="C481">
        <v>7366</v>
      </c>
      <c r="D481" t="s">
        <v>7</v>
      </c>
      <c r="E481" t="s">
        <v>8</v>
      </c>
      <c r="F481" t="s">
        <v>23</v>
      </c>
      <c r="I481">
        <v>1</v>
      </c>
      <c r="AJ481">
        <f>SUM(Post[[#This Row],[47]:[75]])</f>
        <v>1</v>
      </c>
    </row>
    <row r="482" spans="1:36" x14ac:dyDescent="0.2">
      <c r="A482" t="s">
        <v>46</v>
      </c>
      <c r="B482" t="s">
        <v>6</v>
      </c>
      <c r="C482">
        <v>7527</v>
      </c>
      <c r="D482" t="s">
        <v>7</v>
      </c>
      <c r="E482" t="s">
        <v>26</v>
      </c>
      <c r="F482" t="s">
        <v>27</v>
      </c>
      <c r="V482">
        <v>1</v>
      </c>
      <c r="AJ482">
        <f>SUM(Post[[#This Row],[47]:[75]])</f>
        <v>1</v>
      </c>
    </row>
    <row r="483" spans="1:36" x14ac:dyDescent="0.2">
      <c r="A483" t="s">
        <v>46</v>
      </c>
      <c r="B483" t="s">
        <v>6</v>
      </c>
      <c r="C483">
        <v>7833</v>
      </c>
      <c r="D483" t="s">
        <v>7</v>
      </c>
      <c r="E483" t="s">
        <v>8</v>
      </c>
      <c r="F483" t="s">
        <v>9</v>
      </c>
      <c r="L483">
        <v>1</v>
      </c>
      <c r="Z483">
        <v>1</v>
      </c>
      <c r="AJ483">
        <f>SUM(Post[[#This Row],[47]:[75]])</f>
        <v>2</v>
      </c>
    </row>
    <row r="484" spans="1:36" x14ac:dyDescent="0.2">
      <c r="A484" t="s">
        <v>46</v>
      </c>
      <c r="B484" t="s">
        <v>6</v>
      </c>
      <c r="C484">
        <v>7896</v>
      </c>
      <c r="D484" t="s">
        <v>7</v>
      </c>
      <c r="E484" t="s">
        <v>8</v>
      </c>
      <c r="F484" t="s">
        <v>23</v>
      </c>
      <c r="I484">
        <v>1</v>
      </c>
      <c r="Y484">
        <v>1</v>
      </c>
      <c r="AJ484">
        <f>SUM(Post[[#This Row],[47]:[75]])</f>
        <v>2</v>
      </c>
    </row>
    <row r="485" spans="1:36" x14ac:dyDescent="0.2">
      <c r="A485" t="s">
        <v>46</v>
      </c>
      <c r="B485" t="s">
        <v>6</v>
      </c>
      <c r="C485">
        <v>9600</v>
      </c>
      <c r="D485" t="s">
        <v>7</v>
      </c>
      <c r="E485" t="s">
        <v>8</v>
      </c>
      <c r="F485" t="s">
        <v>9</v>
      </c>
      <c r="K485">
        <v>1</v>
      </c>
      <c r="Y485">
        <v>1</v>
      </c>
      <c r="AJ485">
        <f>SUM(Post[[#This Row],[47]:[75]])</f>
        <v>2</v>
      </c>
    </row>
    <row r="486" spans="1:36" x14ac:dyDescent="0.2">
      <c r="A486" t="s">
        <v>46</v>
      </c>
      <c r="B486" t="s">
        <v>6</v>
      </c>
      <c r="C486">
        <v>10576</v>
      </c>
      <c r="D486" t="s">
        <v>7</v>
      </c>
      <c r="E486" t="s">
        <v>8</v>
      </c>
      <c r="F486" t="s">
        <v>23</v>
      </c>
      <c r="K486">
        <v>1</v>
      </c>
      <c r="AB486">
        <v>1</v>
      </c>
      <c r="AJ486">
        <f>SUM(Post[[#This Row],[47]:[75]])</f>
        <v>2</v>
      </c>
    </row>
    <row r="487" spans="1:36" x14ac:dyDescent="0.2">
      <c r="A487" t="s">
        <v>46</v>
      </c>
      <c r="B487" t="s">
        <v>6</v>
      </c>
      <c r="C487">
        <v>10636</v>
      </c>
      <c r="D487" t="s">
        <v>7</v>
      </c>
      <c r="E487" t="s">
        <v>8</v>
      </c>
      <c r="F487" t="s">
        <v>34</v>
      </c>
      <c r="Q487">
        <v>1</v>
      </c>
      <c r="AE487">
        <v>1</v>
      </c>
      <c r="AJ487">
        <f>SUM(Post[[#This Row],[47]:[75]])</f>
        <v>2</v>
      </c>
    </row>
    <row r="488" spans="1:36" x14ac:dyDescent="0.2">
      <c r="A488" t="s">
        <v>46</v>
      </c>
      <c r="B488" t="s">
        <v>6</v>
      </c>
      <c r="C488">
        <v>10867</v>
      </c>
      <c r="D488" t="s">
        <v>7</v>
      </c>
      <c r="E488" t="s">
        <v>26</v>
      </c>
      <c r="F488" t="s">
        <v>27</v>
      </c>
      <c r="R488">
        <v>1</v>
      </c>
      <c r="S488">
        <v>1</v>
      </c>
      <c r="AF488">
        <v>1</v>
      </c>
      <c r="AJ488">
        <f>SUM(Post[[#This Row],[47]:[75]])</f>
        <v>3</v>
      </c>
    </row>
    <row r="489" spans="1:36" x14ac:dyDescent="0.2">
      <c r="A489" t="s">
        <v>46</v>
      </c>
      <c r="B489" t="s">
        <v>6</v>
      </c>
      <c r="C489">
        <v>10891</v>
      </c>
      <c r="D489" t="s">
        <v>7</v>
      </c>
      <c r="E489" t="s">
        <v>8</v>
      </c>
      <c r="F489" t="s">
        <v>23</v>
      </c>
      <c r="O489">
        <v>1</v>
      </c>
      <c r="AF489">
        <v>1</v>
      </c>
      <c r="AJ489">
        <f>SUM(Post[[#This Row],[47]:[75]])</f>
        <v>2</v>
      </c>
    </row>
    <row r="490" spans="1:36" x14ac:dyDescent="0.2">
      <c r="A490" t="s">
        <v>46</v>
      </c>
      <c r="B490" t="s">
        <v>6</v>
      </c>
      <c r="C490">
        <v>11965</v>
      </c>
      <c r="D490" t="s">
        <v>7</v>
      </c>
      <c r="E490" t="s">
        <v>8</v>
      </c>
      <c r="F490" t="s">
        <v>23</v>
      </c>
      <c r="AD490">
        <v>1</v>
      </c>
      <c r="AJ490">
        <f>SUM(Post[[#This Row],[47]:[75]])</f>
        <v>1</v>
      </c>
    </row>
    <row r="491" spans="1:36" x14ac:dyDescent="0.2">
      <c r="A491" t="s">
        <v>46</v>
      </c>
      <c r="B491" t="s">
        <v>6</v>
      </c>
      <c r="C491">
        <v>12581</v>
      </c>
      <c r="D491" t="s">
        <v>7</v>
      </c>
      <c r="E491" t="s">
        <v>8</v>
      </c>
      <c r="F491" t="s">
        <v>23</v>
      </c>
      <c r="H491">
        <v>1</v>
      </c>
      <c r="AJ491">
        <f>SUM(Post[[#This Row],[47]:[75]])</f>
        <v>1</v>
      </c>
    </row>
    <row r="492" spans="1:36" x14ac:dyDescent="0.2">
      <c r="A492" t="s">
        <v>46</v>
      </c>
      <c r="B492" t="s">
        <v>6</v>
      </c>
      <c r="C492">
        <v>12658</v>
      </c>
      <c r="D492" t="s">
        <v>7</v>
      </c>
      <c r="E492" t="s">
        <v>8</v>
      </c>
      <c r="F492" t="s">
        <v>23</v>
      </c>
      <c r="AJ492">
        <f>SUM(Post[[#This Row],[47]:[75]])</f>
        <v>0</v>
      </c>
    </row>
    <row r="493" spans="1:36" x14ac:dyDescent="0.2">
      <c r="A493" t="s">
        <v>46</v>
      </c>
      <c r="B493" t="s">
        <v>6</v>
      </c>
      <c r="C493">
        <v>13050</v>
      </c>
      <c r="D493" t="s">
        <v>7</v>
      </c>
      <c r="E493" t="s">
        <v>8</v>
      </c>
      <c r="F493" t="s">
        <v>23</v>
      </c>
      <c r="R493">
        <v>5</v>
      </c>
      <c r="AH493">
        <v>3</v>
      </c>
      <c r="AJ493">
        <f>SUM(Post[[#This Row],[47]:[75]])</f>
        <v>8</v>
      </c>
    </row>
    <row r="494" spans="1:36" x14ac:dyDescent="0.2">
      <c r="A494" t="s">
        <v>46</v>
      </c>
      <c r="B494" t="s">
        <v>6</v>
      </c>
      <c r="C494">
        <v>13665</v>
      </c>
      <c r="D494" t="s">
        <v>7</v>
      </c>
      <c r="E494" t="s">
        <v>8</v>
      </c>
      <c r="F494" t="s">
        <v>23</v>
      </c>
      <c r="H494">
        <v>1</v>
      </c>
      <c r="U494">
        <v>1</v>
      </c>
      <c r="AJ494">
        <f>SUM(Post[[#This Row],[47]:[75]])</f>
        <v>2</v>
      </c>
    </row>
    <row r="495" spans="1:36" x14ac:dyDescent="0.2">
      <c r="A495" t="s">
        <v>46</v>
      </c>
      <c r="B495" t="s">
        <v>6</v>
      </c>
      <c r="C495">
        <v>13712</v>
      </c>
      <c r="D495" t="s">
        <v>7</v>
      </c>
      <c r="E495" t="s">
        <v>8</v>
      </c>
      <c r="F495" t="s">
        <v>9</v>
      </c>
      <c r="J495">
        <v>1</v>
      </c>
      <c r="AA495">
        <v>1</v>
      </c>
      <c r="AJ495">
        <f>SUM(Post[[#This Row],[47]:[75]])</f>
        <v>2</v>
      </c>
    </row>
    <row r="496" spans="1:36" x14ac:dyDescent="0.2">
      <c r="A496" t="s">
        <v>46</v>
      </c>
      <c r="B496" t="s">
        <v>6</v>
      </c>
      <c r="C496">
        <v>15606</v>
      </c>
      <c r="D496" t="s">
        <v>7</v>
      </c>
      <c r="E496" t="s">
        <v>8</v>
      </c>
      <c r="F496" t="s">
        <v>23</v>
      </c>
      <c r="X496">
        <v>1</v>
      </c>
      <c r="AJ496">
        <f>SUM(Post[[#This Row],[47]:[75]])</f>
        <v>1</v>
      </c>
    </row>
    <row r="497" spans="1:36" x14ac:dyDescent="0.2">
      <c r="A497" t="s">
        <v>46</v>
      </c>
      <c r="B497" t="s">
        <v>6</v>
      </c>
      <c r="C497">
        <v>19322</v>
      </c>
      <c r="D497" t="s">
        <v>7</v>
      </c>
      <c r="E497" t="s">
        <v>8</v>
      </c>
      <c r="F497" t="s">
        <v>9</v>
      </c>
      <c r="Q497">
        <v>1</v>
      </c>
      <c r="AE497">
        <v>1</v>
      </c>
      <c r="AJ497">
        <f>SUM(Post[[#This Row],[47]:[75]])</f>
        <v>2</v>
      </c>
    </row>
    <row r="498" spans="1:36" x14ac:dyDescent="0.2">
      <c r="A498" t="s">
        <v>46</v>
      </c>
      <c r="B498" t="s">
        <v>6</v>
      </c>
      <c r="C498">
        <v>25228</v>
      </c>
      <c r="D498" t="s">
        <v>7</v>
      </c>
      <c r="E498" t="s">
        <v>8</v>
      </c>
      <c r="F498" t="s">
        <v>23</v>
      </c>
      <c r="AJ498">
        <f>SUM(Post[[#This Row],[47]:[75]])</f>
        <v>0</v>
      </c>
    </row>
    <row r="499" spans="1:36" x14ac:dyDescent="0.2">
      <c r="A499" t="s">
        <v>46</v>
      </c>
      <c r="B499" t="s">
        <v>6</v>
      </c>
      <c r="C499">
        <v>26039</v>
      </c>
      <c r="D499" t="s">
        <v>7</v>
      </c>
      <c r="E499" t="s">
        <v>37</v>
      </c>
      <c r="F499" t="s">
        <v>38</v>
      </c>
      <c r="AJ499">
        <f>SUM(Post[[#This Row],[47]:[75]])</f>
        <v>0</v>
      </c>
    </row>
    <row r="500" spans="1:36" x14ac:dyDescent="0.2">
      <c r="A500" t="s">
        <v>46</v>
      </c>
      <c r="B500" t="s">
        <v>6</v>
      </c>
      <c r="C500">
        <v>27700</v>
      </c>
      <c r="D500" t="s">
        <v>7</v>
      </c>
      <c r="E500" t="s">
        <v>8</v>
      </c>
      <c r="F500" t="s">
        <v>23</v>
      </c>
      <c r="AB500">
        <v>1</v>
      </c>
      <c r="AJ500">
        <f>SUM(Post[[#This Row],[47]:[75]])</f>
        <v>1</v>
      </c>
    </row>
    <row r="501" spans="1:36" x14ac:dyDescent="0.2">
      <c r="A501" t="s">
        <v>46</v>
      </c>
      <c r="B501" t="s">
        <v>6</v>
      </c>
      <c r="C501">
        <v>30267</v>
      </c>
      <c r="D501" t="s">
        <v>7</v>
      </c>
      <c r="E501" t="s">
        <v>8</v>
      </c>
      <c r="F501" t="s">
        <v>23</v>
      </c>
      <c r="AJ501">
        <f>SUM(Post[[#This Row],[47]:[75]])</f>
        <v>0</v>
      </c>
    </row>
    <row r="502" spans="1:36" x14ac:dyDescent="0.2">
      <c r="A502" t="s">
        <v>46</v>
      </c>
      <c r="B502" t="s">
        <v>6</v>
      </c>
      <c r="C502">
        <v>33016</v>
      </c>
      <c r="D502" t="s">
        <v>7</v>
      </c>
      <c r="E502" t="s">
        <v>8</v>
      </c>
      <c r="F502" t="s">
        <v>9</v>
      </c>
      <c r="P502">
        <v>1</v>
      </c>
      <c r="AJ502">
        <f>SUM(Post[[#This Row],[47]:[75]])</f>
        <v>1</v>
      </c>
    </row>
    <row r="503" spans="1:36" x14ac:dyDescent="0.2">
      <c r="A503" t="s">
        <v>46</v>
      </c>
      <c r="B503" t="s">
        <v>6</v>
      </c>
      <c r="C503">
        <v>5532</v>
      </c>
      <c r="D503" t="s">
        <v>22</v>
      </c>
      <c r="E503" t="s">
        <v>8</v>
      </c>
      <c r="F503" t="s">
        <v>34</v>
      </c>
      <c r="L503">
        <v>1</v>
      </c>
      <c r="P503">
        <v>1</v>
      </c>
      <c r="AB503">
        <v>1</v>
      </c>
      <c r="AJ503">
        <f>SUM(Post[[#This Row],[47]:[75]])</f>
        <v>3</v>
      </c>
    </row>
    <row r="504" spans="1:36" x14ac:dyDescent="0.2">
      <c r="A504" t="s">
        <v>46</v>
      </c>
      <c r="B504" t="s">
        <v>6</v>
      </c>
      <c r="C504">
        <v>7895</v>
      </c>
      <c r="D504" t="s">
        <v>22</v>
      </c>
      <c r="E504" t="s">
        <v>8</v>
      </c>
      <c r="F504" t="s">
        <v>9</v>
      </c>
      <c r="J504">
        <v>1</v>
      </c>
      <c r="Y504">
        <v>1</v>
      </c>
      <c r="AJ504">
        <f>SUM(Post[[#This Row],[47]:[75]])</f>
        <v>2</v>
      </c>
    </row>
    <row r="505" spans="1:36" x14ac:dyDescent="0.2">
      <c r="A505" t="s">
        <v>46</v>
      </c>
      <c r="B505" t="s">
        <v>6</v>
      </c>
      <c r="C505">
        <v>9120</v>
      </c>
      <c r="D505" t="s">
        <v>22</v>
      </c>
      <c r="E505" t="s">
        <v>8</v>
      </c>
      <c r="F505" t="s">
        <v>23</v>
      </c>
      <c r="U505">
        <v>1</v>
      </c>
      <c r="AJ505">
        <f>SUM(Post[[#This Row],[47]:[75]])</f>
        <v>1</v>
      </c>
    </row>
    <row r="506" spans="1:36" x14ac:dyDescent="0.2">
      <c r="A506" t="s">
        <v>46</v>
      </c>
      <c r="B506" t="s">
        <v>6</v>
      </c>
      <c r="C506">
        <v>13069</v>
      </c>
      <c r="D506" t="s">
        <v>22</v>
      </c>
      <c r="E506" t="s">
        <v>8</v>
      </c>
      <c r="F506" t="s">
        <v>23</v>
      </c>
      <c r="J506">
        <v>1</v>
      </c>
      <c r="Y506">
        <v>1</v>
      </c>
      <c r="AJ506">
        <f>SUM(Post[[#This Row],[47]:[75]])</f>
        <v>2</v>
      </c>
    </row>
    <row r="507" spans="1:36" x14ac:dyDescent="0.2">
      <c r="A507" t="s">
        <v>46</v>
      </c>
      <c r="B507" t="s">
        <v>6</v>
      </c>
      <c r="C507">
        <v>15061</v>
      </c>
      <c r="D507" t="s">
        <v>22</v>
      </c>
      <c r="E507" t="s">
        <v>8</v>
      </c>
      <c r="F507" t="s">
        <v>23</v>
      </c>
      <c r="P507">
        <v>1</v>
      </c>
      <c r="AA507">
        <v>1</v>
      </c>
      <c r="AJ507">
        <f>SUM(Post[[#This Row],[47]:[75]])</f>
        <v>2</v>
      </c>
    </row>
    <row r="508" spans="1:36" x14ac:dyDescent="0.2">
      <c r="A508" t="s">
        <v>46</v>
      </c>
      <c r="B508" t="s">
        <v>6</v>
      </c>
      <c r="C508">
        <v>17751</v>
      </c>
      <c r="D508" t="s">
        <v>22</v>
      </c>
      <c r="E508" t="s">
        <v>8</v>
      </c>
      <c r="F508" t="s">
        <v>23</v>
      </c>
      <c r="U508">
        <v>1</v>
      </c>
      <c r="AH508">
        <v>2</v>
      </c>
      <c r="AJ508">
        <f>SUM(Post[[#This Row],[47]:[75]])</f>
        <v>3</v>
      </c>
    </row>
    <row r="509" spans="1:36" x14ac:dyDescent="0.2">
      <c r="A509" t="s">
        <v>46</v>
      </c>
      <c r="B509" t="s">
        <v>6</v>
      </c>
      <c r="C509">
        <v>18532</v>
      </c>
      <c r="D509" t="s">
        <v>22</v>
      </c>
      <c r="E509" t="s">
        <v>8</v>
      </c>
      <c r="F509" t="s">
        <v>23</v>
      </c>
      <c r="G509">
        <v>1</v>
      </c>
      <c r="W509">
        <v>1</v>
      </c>
      <c r="AI509">
        <v>1</v>
      </c>
      <c r="AJ509">
        <f>SUM(Post[[#This Row],[47]:[75]])</f>
        <v>3</v>
      </c>
    </row>
    <row r="510" spans="1:36" x14ac:dyDescent="0.2">
      <c r="A510" t="s">
        <v>46</v>
      </c>
      <c r="B510" t="s">
        <v>6</v>
      </c>
      <c r="C510">
        <v>19000</v>
      </c>
      <c r="D510" t="s">
        <v>22</v>
      </c>
      <c r="E510" t="s">
        <v>8</v>
      </c>
      <c r="F510" t="s">
        <v>29</v>
      </c>
      <c r="G510">
        <v>1</v>
      </c>
      <c r="H510">
        <v>1</v>
      </c>
      <c r="I510">
        <v>1</v>
      </c>
      <c r="J510">
        <v>1</v>
      </c>
      <c r="K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f>SUM(Post[[#This Row],[47]:[75]])</f>
        <v>27</v>
      </c>
    </row>
    <row r="511" spans="1:36" x14ac:dyDescent="0.2">
      <c r="A511" t="s">
        <v>46</v>
      </c>
      <c r="B511" t="s">
        <v>6</v>
      </c>
      <c r="C511">
        <v>25123</v>
      </c>
      <c r="D511" t="s">
        <v>22</v>
      </c>
      <c r="E511" t="s">
        <v>8</v>
      </c>
      <c r="F511" t="s">
        <v>9</v>
      </c>
      <c r="K511">
        <v>1</v>
      </c>
      <c r="Y511">
        <v>1</v>
      </c>
      <c r="AJ511">
        <f>SUM(Post[[#This Row],[47]:[75]])</f>
        <v>2</v>
      </c>
    </row>
    <row r="512" spans="1:36" x14ac:dyDescent="0.2">
      <c r="A512" t="s">
        <v>46</v>
      </c>
      <c r="B512" t="s">
        <v>6</v>
      </c>
      <c r="C512">
        <v>27738</v>
      </c>
      <c r="D512" t="s">
        <v>22</v>
      </c>
      <c r="E512" t="s">
        <v>8</v>
      </c>
      <c r="F512" t="s">
        <v>23</v>
      </c>
      <c r="AJ512">
        <f>SUM(Post[[#This Row],[47]:[75]])</f>
        <v>0</v>
      </c>
    </row>
    <row r="513" spans="1:36" x14ac:dyDescent="0.2">
      <c r="A513" t="s">
        <v>46</v>
      </c>
      <c r="B513" t="s">
        <v>6</v>
      </c>
      <c r="C513">
        <v>27984</v>
      </c>
      <c r="D513" t="s">
        <v>22</v>
      </c>
      <c r="E513" t="s">
        <v>8</v>
      </c>
      <c r="F513" t="s">
        <v>23</v>
      </c>
      <c r="S513">
        <v>1</v>
      </c>
      <c r="AE513">
        <v>1</v>
      </c>
      <c r="AJ513">
        <f>SUM(Post[[#This Row],[47]:[75]])</f>
        <v>2</v>
      </c>
    </row>
    <row r="514" spans="1:36" x14ac:dyDescent="0.2">
      <c r="A514" t="s">
        <v>46</v>
      </c>
      <c r="B514" t="s">
        <v>6</v>
      </c>
      <c r="C514">
        <v>1882</v>
      </c>
      <c r="D514" t="s">
        <v>7</v>
      </c>
      <c r="E514" t="s">
        <v>8</v>
      </c>
      <c r="F514" t="s">
        <v>9</v>
      </c>
      <c r="G514">
        <v>1</v>
      </c>
      <c r="AF514">
        <v>2</v>
      </c>
      <c r="AJ514">
        <f>SUM(Post[[#This Row],[47]:[75]])</f>
        <v>3</v>
      </c>
    </row>
    <row r="515" spans="1:36" x14ac:dyDescent="0.2">
      <c r="A515" t="s">
        <v>46</v>
      </c>
      <c r="B515" t="s">
        <v>6</v>
      </c>
      <c r="C515">
        <v>3228</v>
      </c>
      <c r="D515" t="s">
        <v>7</v>
      </c>
      <c r="E515" t="s">
        <v>8</v>
      </c>
      <c r="F515" t="s">
        <v>9</v>
      </c>
      <c r="Y515">
        <v>1</v>
      </c>
      <c r="AJ515">
        <f>SUM(Post[[#This Row],[47]:[75]])</f>
        <v>1</v>
      </c>
    </row>
    <row r="516" spans="1:36" x14ac:dyDescent="0.2">
      <c r="A516" t="s">
        <v>46</v>
      </c>
      <c r="B516" t="s">
        <v>6</v>
      </c>
      <c r="C516">
        <v>3344</v>
      </c>
      <c r="D516" t="s">
        <v>7</v>
      </c>
      <c r="E516" t="s">
        <v>8</v>
      </c>
      <c r="F516" t="s">
        <v>9</v>
      </c>
      <c r="G516">
        <v>1</v>
      </c>
      <c r="R516">
        <v>1</v>
      </c>
      <c r="V516">
        <v>1</v>
      </c>
      <c r="Z516">
        <v>1</v>
      </c>
      <c r="AD516">
        <v>1</v>
      </c>
      <c r="AI516">
        <v>2</v>
      </c>
      <c r="AJ516">
        <f>SUM(Post[[#This Row],[47]:[75]])</f>
        <v>7</v>
      </c>
    </row>
    <row r="517" spans="1:36" x14ac:dyDescent="0.2">
      <c r="A517" t="s">
        <v>46</v>
      </c>
      <c r="B517" t="s">
        <v>6</v>
      </c>
      <c r="C517">
        <v>9964</v>
      </c>
      <c r="D517" t="s">
        <v>7</v>
      </c>
      <c r="E517" t="s">
        <v>8</v>
      </c>
      <c r="F517" t="s">
        <v>23</v>
      </c>
      <c r="Q517">
        <v>1</v>
      </c>
      <c r="AE517">
        <v>1</v>
      </c>
      <c r="AJ517">
        <f>SUM(Post[[#This Row],[47]:[75]])</f>
        <v>2</v>
      </c>
    </row>
    <row r="518" spans="1:36" x14ac:dyDescent="0.2">
      <c r="A518" t="s">
        <v>46</v>
      </c>
      <c r="B518" t="s">
        <v>6</v>
      </c>
      <c r="C518">
        <v>12912</v>
      </c>
      <c r="D518" t="s">
        <v>7</v>
      </c>
      <c r="E518" t="s">
        <v>8</v>
      </c>
      <c r="F518" t="s">
        <v>23</v>
      </c>
      <c r="Q518">
        <v>1</v>
      </c>
      <c r="AC518">
        <v>2</v>
      </c>
      <c r="AG518">
        <v>1</v>
      </c>
      <c r="AJ518">
        <f>SUM(Post[[#This Row],[47]:[75]])</f>
        <v>4</v>
      </c>
    </row>
    <row r="519" spans="1:36" x14ac:dyDescent="0.2">
      <c r="A519" t="s">
        <v>46</v>
      </c>
      <c r="B519" t="s">
        <v>6</v>
      </c>
      <c r="C519">
        <v>12999</v>
      </c>
      <c r="D519" t="s">
        <v>7</v>
      </c>
      <c r="E519" t="s">
        <v>8</v>
      </c>
      <c r="F519" t="s">
        <v>23</v>
      </c>
      <c r="H519">
        <v>1</v>
      </c>
      <c r="AJ519">
        <f>SUM(Post[[#This Row],[47]:[75]])</f>
        <v>1</v>
      </c>
    </row>
    <row r="520" spans="1:36" x14ac:dyDescent="0.2">
      <c r="A520" t="s">
        <v>46</v>
      </c>
      <c r="B520" t="s">
        <v>6</v>
      </c>
      <c r="C520">
        <v>16938</v>
      </c>
      <c r="D520" t="s">
        <v>7</v>
      </c>
      <c r="E520" t="s">
        <v>8</v>
      </c>
      <c r="F520" t="s">
        <v>23</v>
      </c>
      <c r="L520">
        <v>1</v>
      </c>
      <c r="V520">
        <v>1</v>
      </c>
      <c r="AJ520">
        <f>SUM(Post[[#This Row],[47]:[75]])</f>
        <v>2</v>
      </c>
    </row>
    <row r="521" spans="1:36" x14ac:dyDescent="0.2">
      <c r="A521" t="s">
        <v>46</v>
      </c>
      <c r="B521" t="s">
        <v>6</v>
      </c>
      <c r="C521">
        <v>22653</v>
      </c>
      <c r="D521" t="s">
        <v>7</v>
      </c>
      <c r="E521" t="s">
        <v>8</v>
      </c>
      <c r="F521" t="s">
        <v>9</v>
      </c>
      <c r="G521">
        <v>1</v>
      </c>
      <c r="V521">
        <v>1</v>
      </c>
      <c r="AI521">
        <v>1</v>
      </c>
      <c r="AJ521">
        <f>SUM(Post[[#This Row],[47]:[75]])</f>
        <v>3</v>
      </c>
    </row>
    <row r="522" spans="1:36" x14ac:dyDescent="0.2">
      <c r="A522" t="s">
        <v>46</v>
      </c>
      <c r="B522" t="s">
        <v>6</v>
      </c>
      <c r="C522">
        <v>1948</v>
      </c>
      <c r="D522" t="s">
        <v>22</v>
      </c>
      <c r="E522" t="s">
        <v>8</v>
      </c>
      <c r="F522" t="s">
        <v>23</v>
      </c>
      <c r="O522">
        <v>1</v>
      </c>
      <c r="Z522">
        <v>1</v>
      </c>
      <c r="AJ522">
        <f>SUM(Post[[#This Row],[47]:[75]])</f>
        <v>2</v>
      </c>
    </row>
    <row r="523" spans="1:36" x14ac:dyDescent="0.2">
      <c r="A523" t="s">
        <v>46</v>
      </c>
      <c r="B523" t="s">
        <v>6</v>
      </c>
      <c r="C523">
        <v>16141</v>
      </c>
      <c r="D523" t="s">
        <v>22</v>
      </c>
      <c r="E523" t="s">
        <v>8</v>
      </c>
      <c r="F523" t="s">
        <v>23</v>
      </c>
      <c r="Z523">
        <v>1</v>
      </c>
      <c r="AJ523">
        <f>SUM(Post[[#This Row],[47]:[75]])</f>
        <v>1</v>
      </c>
    </row>
    <row r="524" spans="1:36" x14ac:dyDescent="0.2">
      <c r="A524" t="s">
        <v>46</v>
      </c>
      <c r="B524" t="s">
        <v>6</v>
      </c>
      <c r="C524">
        <v>20315</v>
      </c>
      <c r="D524" t="s">
        <v>22</v>
      </c>
      <c r="E524" t="s">
        <v>8</v>
      </c>
      <c r="F524" t="s">
        <v>23</v>
      </c>
      <c r="H524">
        <v>1</v>
      </c>
      <c r="K524">
        <v>1</v>
      </c>
      <c r="P524">
        <v>1</v>
      </c>
      <c r="U524">
        <v>1</v>
      </c>
      <c r="X524">
        <v>1</v>
      </c>
      <c r="AB524">
        <v>1</v>
      </c>
      <c r="AH524">
        <v>1</v>
      </c>
      <c r="AJ524">
        <f>SUM(Post[[#This Row],[47]:[75]])</f>
        <v>7</v>
      </c>
    </row>
    <row r="525" spans="1:36" x14ac:dyDescent="0.2">
      <c r="A525" t="s">
        <v>48</v>
      </c>
      <c r="B525" t="s">
        <v>6</v>
      </c>
      <c r="C525">
        <v>635</v>
      </c>
      <c r="D525" t="s">
        <v>7</v>
      </c>
      <c r="E525" t="s">
        <v>14</v>
      </c>
      <c r="F525" t="s">
        <v>19</v>
      </c>
      <c r="AH525">
        <v>1</v>
      </c>
      <c r="AJ525">
        <f>SUM(Post[[#This Row],[47]:[75]])</f>
        <v>1</v>
      </c>
    </row>
    <row r="526" spans="1:36" x14ac:dyDescent="0.2">
      <c r="A526" t="s">
        <v>48</v>
      </c>
      <c r="B526" t="s">
        <v>6</v>
      </c>
      <c r="C526">
        <v>883</v>
      </c>
      <c r="D526" t="s">
        <v>7</v>
      </c>
      <c r="E526" t="s">
        <v>8</v>
      </c>
      <c r="F526" t="s">
        <v>23</v>
      </c>
      <c r="L526">
        <v>1</v>
      </c>
      <c r="X526">
        <v>1</v>
      </c>
      <c r="AJ526">
        <f>SUM(Post[[#This Row],[47]:[75]])</f>
        <v>2</v>
      </c>
    </row>
    <row r="527" spans="1:36" x14ac:dyDescent="0.2">
      <c r="A527" t="s">
        <v>48</v>
      </c>
      <c r="B527" t="s">
        <v>6</v>
      </c>
      <c r="C527">
        <v>1388</v>
      </c>
      <c r="D527" t="s">
        <v>7</v>
      </c>
      <c r="E527" t="s">
        <v>14</v>
      </c>
      <c r="F527" t="s">
        <v>19</v>
      </c>
      <c r="K527">
        <v>1</v>
      </c>
      <c r="R527">
        <v>1</v>
      </c>
      <c r="AJ527">
        <f>SUM(Post[[#This Row],[47]:[75]])</f>
        <v>2</v>
      </c>
    </row>
    <row r="528" spans="1:36" x14ac:dyDescent="0.2">
      <c r="A528" t="s">
        <v>48</v>
      </c>
      <c r="B528" t="s">
        <v>6</v>
      </c>
      <c r="C528">
        <v>1511</v>
      </c>
      <c r="D528" t="s">
        <v>7</v>
      </c>
      <c r="E528" t="s">
        <v>8</v>
      </c>
      <c r="F528" t="s">
        <v>23</v>
      </c>
      <c r="Y528">
        <v>2</v>
      </c>
      <c r="AJ528">
        <f>SUM(Post[[#This Row],[47]:[75]])</f>
        <v>2</v>
      </c>
    </row>
    <row r="529" spans="1:36" x14ac:dyDescent="0.2">
      <c r="A529" t="s">
        <v>48</v>
      </c>
      <c r="B529" t="s">
        <v>6</v>
      </c>
      <c r="C529">
        <v>2462</v>
      </c>
      <c r="D529" t="s">
        <v>7</v>
      </c>
      <c r="E529" t="s">
        <v>14</v>
      </c>
      <c r="F529" t="s">
        <v>19</v>
      </c>
      <c r="G529">
        <v>1</v>
      </c>
      <c r="I529">
        <v>1</v>
      </c>
      <c r="K529">
        <v>1</v>
      </c>
      <c r="N529">
        <v>1</v>
      </c>
      <c r="P529">
        <v>1</v>
      </c>
      <c r="R529">
        <v>1</v>
      </c>
      <c r="T529">
        <v>1</v>
      </c>
      <c r="V529">
        <v>1</v>
      </c>
      <c r="X529">
        <v>1</v>
      </c>
      <c r="Z529">
        <v>1</v>
      </c>
      <c r="AB529">
        <v>1</v>
      </c>
      <c r="AD529">
        <v>1</v>
      </c>
      <c r="AE529">
        <v>1</v>
      </c>
      <c r="AH529">
        <v>1</v>
      </c>
      <c r="AJ529">
        <f>SUM(Post[[#This Row],[47]:[75]])</f>
        <v>14</v>
      </c>
    </row>
    <row r="530" spans="1:36" x14ac:dyDescent="0.2">
      <c r="A530" t="s">
        <v>48</v>
      </c>
      <c r="B530" t="s">
        <v>6</v>
      </c>
      <c r="C530">
        <v>2778</v>
      </c>
      <c r="D530" t="s">
        <v>7</v>
      </c>
      <c r="E530" t="s">
        <v>8</v>
      </c>
      <c r="F530" t="s">
        <v>23</v>
      </c>
      <c r="X530">
        <v>1</v>
      </c>
      <c r="AJ530">
        <f>SUM(Post[[#This Row],[47]:[75]])</f>
        <v>1</v>
      </c>
    </row>
    <row r="531" spans="1:36" x14ac:dyDescent="0.2">
      <c r="A531" t="s">
        <v>48</v>
      </c>
      <c r="B531" t="s">
        <v>6</v>
      </c>
      <c r="C531">
        <v>3851</v>
      </c>
      <c r="D531" t="s">
        <v>7</v>
      </c>
      <c r="E531" t="s">
        <v>8</v>
      </c>
      <c r="F531" t="s">
        <v>9</v>
      </c>
      <c r="G531">
        <v>1</v>
      </c>
      <c r="L531">
        <v>1</v>
      </c>
      <c r="S531">
        <v>1</v>
      </c>
      <c r="AC531">
        <v>2</v>
      </c>
      <c r="AJ531">
        <f>SUM(Post[[#This Row],[47]:[75]])</f>
        <v>5</v>
      </c>
    </row>
    <row r="532" spans="1:36" x14ac:dyDescent="0.2">
      <c r="A532" t="s">
        <v>48</v>
      </c>
      <c r="B532" t="s">
        <v>6</v>
      </c>
      <c r="C532">
        <v>5739</v>
      </c>
      <c r="D532" t="s">
        <v>7</v>
      </c>
      <c r="E532" t="s">
        <v>8</v>
      </c>
      <c r="F532" t="s">
        <v>23</v>
      </c>
      <c r="AJ532">
        <f>SUM(Post[[#This Row],[47]:[75]])</f>
        <v>0</v>
      </c>
    </row>
    <row r="533" spans="1:36" x14ac:dyDescent="0.2">
      <c r="A533" t="s">
        <v>48</v>
      </c>
      <c r="B533" t="s">
        <v>6</v>
      </c>
      <c r="C533">
        <v>5739</v>
      </c>
      <c r="D533" t="s">
        <v>7</v>
      </c>
      <c r="E533" t="s">
        <v>14</v>
      </c>
      <c r="F533" t="s">
        <v>20</v>
      </c>
      <c r="H533">
        <v>2</v>
      </c>
      <c r="L533">
        <v>2</v>
      </c>
      <c r="W533">
        <v>1</v>
      </c>
      <c r="AE533">
        <v>1</v>
      </c>
      <c r="AJ533">
        <f>SUM(Post[[#This Row],[47]:[75]])</f>
        <v>6</v>
      </c>
    </row>
    <row r="534" spans="1:36" x14ac:dyDescent="0.2">
      <c r="A534" t="s">
        <v>48</v>
      </c>
      <c r="B534" t="s">
        <v>6</v>
      </c>
      <c r="C534">
        <v>6210</v>
      </c>
      <c r="D534" t="s">
        <v>7</v>
      </c>
      <c r="E534" t="s">
        <v>14</v>
      </c>
      <c r="F534" t="s">
        <v>20</v>
      </c>
      <c r="AB534">
        <v>1</v>
      </c>
      <c r="AJ534">
        <f>SUM(Post[[#This Row],[47]:[75]])</f>
        <v>1</v>
      </c>
    </row>
    <row r="535" spans="1:36" x14ac:dyDescent="0.2">
      <c r="A535" t="s">
        <v>48</v>
      </c>
      <c r="B535" t="s">
        <v>6</v>
      </c>
      <c r="C535">
        <v>7198</v>
      </c>
      <c r="D535" t="s">
        <v>7</v>
      </c>
      <c r="E535" t="s">
        <v>14</v>
      </c>
      <c r="F535" t="s">
        <v>19</v>
      </c>
      <c r="G535">
        <v>1</v>
      </c>
      <c r="AH535">
        <v>1</v>
      </c>
      <c r="AJ535">
        <f>SUM(Post[[#This Row],[47]:[75]])</f>
        <v>2</v>
      </c>
    </row>
    <row r="536" spans="1:36" x14ac:dyDescent="0.2">
      <c r="A536" t="s">
        <v>48</v>
      </c>
      <c r="B536" t="s">
        <v>6</v>
      </c>
      <c r="C536">
        <v>7985</v>
      </c>
      <c r="D536" t="s">
        <v>7</v>
      </c>
      <c r="E536" t="s">
        <v>8</v>
      </c>
      <c r="F536" t="s">
        <v>9</v>
      </c>
      <c r="AA536">
        <v>1</v>
      </c>
      <c r="AJ536">
        <f>SUM(Post[[#This Row],[47]:[75]])</f>
        <v>1</v>
      </c>
    </row>
    <row r="537" spans="1:36" x14ac:dyDescent="0.2">
      <c r="A537" t="s">
        <v>48</v>
      </c>
      <c r="B537" t="s">
        <v>6</v>
      </c>
      <c r="C537">
        <v>10321</v>
      </c>
      <c r="D537" t="s">
        <v>7</v>
      </c>
      <c r="E537" t="s">
        <v>14</v>
      </c>
      <c r="F537" t="s">
        <v>19</v>
      </c>
      <c r="AJ537">
        <f>SUM(Post[[#This Row],[47]:[75]])</f>
        <v>0</v>
      </c>
    </row>
    <row r="538" spans="1:36" x14ac:dyDescent="0.2">
      <c r="A538" t="s">
        <v>48</v>
      </c>
      <c r="B538" t="s">
        <v>6</v>
      </c>
      <c r="C538">
        <v>10956</v>
      </c>
      <c r="D538" t="s">
        <v>7</v>
      </c>
      <c r="E538" t="s">
        <v>8</v>
      </c>
      <c r="F538" t="s">
        <v>9</v>
      </c>
      <c r="K538">
        <v>1</v>
      </c>
      <c r="AJ538">
        <f>SUM(Post[[#This Row],[47]:[75]])</f>
        <v>1</v>
      </c>
    </row>
    <row r="539" spans="1:36" x14ac:dyDescent="0.2">
      <c r="A539" t="s">
        <v>48</v>
      </c>
      <c r="B539" t="s">
        <v>6</v>
      </c>
      <c r="C539">
        <v>10956</v>
      </c>
      <c r="D539" t="s">
        <v>7</v>
      </c>
      <c r="E539" t="s">
        <v>14</v>
      </c>
      <c r="F539" t="s">
        <v>19</v>
      </c>
      <c r="AJ539">
        <f>SUM(Post[[#This Row],[47]:[75]])</f>
        <v>0</v>
      </c>
    </row>
    <row r="540" spans="1:36" x14ac:dyDescent="0.2">
      <c r="A540" t="s">
        <v>48</v>
      </c>
      <c r="B540" t="s">
        <v>6</v>
      </c>
      <c r="C540">
        <v>11383</v>
      </c>
      <c r="D540" t="s">
        <v>7</v>
      </c>
      <c r="E540" t="s">
        <v>8</v>
      </c>
      <c r="F540" t="s">
        <v>23</v>
      </c>
      <c r="AJ540">
        <f>SUM(Post[[#This Row],[47]:[75]])</f>
        <v>0</v>
      </c>
    </row>
    <row r="541" spans="1:36" x14ac:dyDescent="0.2">
      <c r="A541" t="s">
        <v>48</v>
      </c>
      <c r="B541" t="s">
        <v>6</v>
      </c>
      <c r="C541">
        <v>12293</v>
      </c>
      <c r="D541" t="s">
        <v>7</v>
      </c>
      <c r="E541" t="s">
        <v>32</v>
      </c>
      <c r="F541" t="s">
        <v>33</v>
      </c>
      <c r="AH541">
        <v>1</v>
      </c>
      <c r="AJ541">
        <f>SUM(Post[[#This Row],[47]:[75]])</f>
        <v>1</v>
      </c>
    </row>
    <row r="542" spans="1:36" x14ac:dyDescent="0.2">
      <c r="A542" t="s">
        <v>48</v>
      </c>
      <c r="B542" t="s">
        <v>6</v>
      </c>
      <c r="C542">
        <v>12293</v>
      </c>
      <c r="D542" t="s">
        <v>7</v>
      </c>
      <c r="E542" t="s">
        <v>14</v>
      </c>
      <c r="F542" t="s">
        <v>20</v>
      </c>
      <c r="AC542">
        <v>1</v>
      </c>
      <c r="AJ542">
        <f>SUM(Post[[#This Row],[47]:[75]])</f>
        <v>1</v>
      </c>
    </row>
    <row r="543" spans="1:36" x14ac:dyDescent="0.2">
      <c r="A543" t="s">
        <v>48</v>
      </c>
      <c r="B543" t="s">
        <v>6</v>
      </c>
      <c r="C543">
        <v>12650</v>
      </c>
      <c r="D543" t="s">
        <v>7</v>
      </c>
      <c r="E543" t="s">
        <v>8</v>
      </c>
      <c r="F543" t="s">
        <v>29</v>
      </c>
      <c r="O543">
        <v>1</v>
      </c>
      <c r="Z543">
        <v>1</v>
      </c>
      <c r="AB543">
        <v>1</v>
      </c>
      <c r="AJ543">
        <f>SUM(Post[[#This Row],[47]:[75]])</f>
        <v>3</v>
      </c>
    </row>
    <row r="544" spans="1:36" x14ac:dyDescent="0.2">
      <c r="A544" t="s">
        <v>48</v>
      </c>
      <c r="B544" t="s">
        <v>6</v>
      </c>
      <c r="C544">
        <v>12650</v>
      </c>
      <c r="D544" t="s">
        <v>7</v>
      </c>
      <c r="E544" t="s">
        <v>14</v>
      </c>
      <c r="F544" t="s">
        <v>20</v>
      </c>
      <c r="O544">
        <v>1</v>
      </c>
      <c r="Z544">
        <v>1</v>
      </c>
      <c r="AB544">
        <v>1</v>
      </c>
      <c r="AJ544">
        <f>SUM(Post[[#This Row],[47]:[75]])</f>
        <v>3</v>
      </c>
    </row>
    <row r="545" spans="1:36" x14ac:dyDescent="0.2">
      <c r="A545" t="s">
        <v>48</v>
      </c>
      <c r="B545" t="s">
        <v>6</v>
      </c>
      <c r="C545">
        <v>13245</v>
      </c>
      <c r="D545" t="s">
        <v>7</v>
      </c>
      <c r="E545" t="s">
        <v>14</v>
      </c>
      <c r="F545" t="s">
        <v>20</v>
      </c>
      <c r="AF545">
        <v>1</v>
      </c>
      <c r="AJ545">
        <f>SUM(Post[[#This Row],[47]:[75]])</f>
        <v>1</v>
      </c>
    </row>
    <row r="546" spans="1:36" x14ac:dyDescent="0.2">
      <c r="A546" t="s">
        <v>48</v>
      </c>
      <c r="B546" t="s">
        <v>6</v>
      </c>
      <c r="C546">
        <v>13456</v>
      </c>
      <c r="D546" t="s">
        <v>7</v>
      </c>
      <c r="E546" t="s">
        <v>12</v>
      </c>
      <c r="F546" t="s">
        <v>13</v>
      </c>
      <c r="AJ546">
        <f>SUM(Post[[#This Row],[47]:[75]])</f>
        <v>0</v>
      </c>
    </row>
    <row r="547" spans="1:36" x14ac:dyDescent="0.2">
      <c r="A547" t="s">
        <v>48</v>
      </c>
      <c r="B547" t="s">
        <v>6</v>
      </c>
      <c r="C547">
        <v>14091</v>
      </c>
      <c r="D547" t="s">
        <v>7</v>
      </c>
      <c r="E547" t="s">
        <v>8</v>
      </c>
      <c r="F547" t="s">
        <v>23</v>
      </c>
      <c r="J547">
        <v>1</v>
      </c>
      <c r="Z547">
        <v>1</v>
      </c>
      <c r="AJ547">
        <f>SUM(Post[[#This Row],[47]:[75]])</f>
        <v>2</v>
      </c>
    </row>
    <row r="548" spans="1:36" x14ac:dyDescent="0.2">
      <c r="A548" t="s">
        <v>48</v>
      </c>
      <c r="B548" t="s">
        <v>6</v>
      </c>
      <c r="C548">
        <v>21321</v>
      </c>
      <c r="D548" t="s">
        <v>7</v>
      </c>
      <c r="E548" t="s">
        <v>8</v>
      </c>
      <c r="F548" t="s">
        <v>23</v>
      </c>
      <c r="AJ548">
        <f>SUM(Post[[#This Row],[47]:[75]])</f>
        <v>0</v>
      </c>
    </row>
    <row r="549" spans="1:36" x14ac:dyDescent="0.2">
      <c r="A549" t="s">
        <v>48</v>
      </c>
      <c r="B549" t="s">
        <v>6</v>
      </c>
      <c r="C549">
        <v>22993</v>
      </c>
      <c r="D549" t="s">
        <v>7</v>
      </c>
      <c r="E549" t="s">
        <v>10</v>
      </c>
      <c r="F549" t="s">
        <v>11</v>
      </c>
      <c r="Q549">
        <v>1</v>
      </c>
      <c r="AJ549">
        <f>SUM(Post[[#This Row],[47]:[75]])</f>
        <v>1</v>
      </c>
    </row>
    <row r="550" spans="1:36" x14ac:dyDescent="0.2">
      <c r="A550" t="s">
        <v>48</v>
      </c>
      <c r="B550" t="s">
        <v>6</v>
      </c>
      <c r="C550">
        <v>24897</v>
      </c>
      <c r="D550" t="s">
        <v>7</v>
      </c>
      <c r="E550" t="s">
        <v>14</v>
      </c>
      <c r="F550" t="s">
        <v>20</v>
      </c>
      <c r="S550">
        <v>1</v>
      </c>
      <c r="AE550">
        <v>1</v>
      </c>
      <c r="AJ550">
        <f>SUM(Post[[#This Row],[47]:[75]])</f>
        <v>2</v>
      </c>
    </row>
    <row r="551" spans="1:36" x14ac:dyDescent="0.2">
      <c r="A551" t="s">
        <v>48</v>
      </c>
      <c r="B551" t="s">
        <v>6</v>
      </c>
      <c r="C551">
        <v>26668</v>
      </c>
      <c r="D551" t="s">
        <v>7</v>
      </c>
      <c r="E551" t="s">
        <v>14</v>
      </c>
      <c r="F551" t="s">
        <v>20</v>
      </c>
      <c r="AA551">
        <v>1</v>
      </c>
      <c r="AJ551">
        <f>SUM(Post[[#This Row],[47]:[75]])</f>
        <v>1</v>
      </c>
    </row>
    <row r="552" spans="1:36" x14ac:dyDescent="0.2">
      <c r="A552" t="s">
        <v>48</v>
      </c>
      <c r="B552" t="s">
        <v>6</v>
      </c>
      <c r="C552">
        <v>27143</v>
      </c>
      <c r="D552" t="s">
        <v>7</v>
      </c>
      <c r="E552" t="s">
        <v>40</v>
      </c>
      <c r="F552" t="s">
        <v>44</v>
      </c>
      <c r="K552">
        <v>2</v>
      </c>
      <c r="AJ552">
        <f>SUM(Post[[#This Row],[47]:[75]])</f>
        <v>2</v>
      </c>
    </row>
    <row r="553" spans="1:36" x14ac:dyDescent="0.2">
      <c r="A553" t="s">
        <v>48</v>
      </c>
      <c r="B553" t="s">
        <v>6</v>
      </c>
      <c r="C553">
        <v>27143</v>
      </c>
      <c r="D553" t="s">
        <v>7</v>
      </c>
      <c r="E553" t="s">
        <v>32</v>
      </c>
      <c r="F553" t="s">
        <v>33</v>
      </c>
      <c r="AJ553">
        <f>SUM(Post[[#This Row],[47]:[75]])</f>
        <v>0</v>
      </c>
    </row>
    <row r="554" spans="1:36" x14ac:dyDescent="0.2">
      <c r="A554" t="s">
        <v>48</v>
      </c>
      <c r="B554" t="s">
        <v>6</v>
      </c>
      <c r="C554">
        <v>27143</v>
      </c>
      <c r="D554" t="s">
        <v>7</v>
      </c>
      <c r="E554" t="s">
        <v>14</v>
      </c>
      <c r="F554" t="s">
        <v>21</v>
      </c>
      <c r="J554">
        <v>1</v>
      </c>
      <c r="AJ554">
        <f>SUM(Post[[#This Row],[47]:[75]])</f>
        <v>1</v>
      </c>
    </row>
    <row r="555" spans="1:36" x14ac:dyDescent="0.2">
      <c r="A555" t="s">
        <v>48</v>
      </c>
      <c r="B555" t="s">
        <v>6</v>
      </c>
      <c r="C555">
        <v>27167</v>
      </c>
      <c r="D555" t="s">
        <v>7</v>
      </c>
      <c r="E555" t="s">
        <v>14</v>
      </c>
      <c r="F555" t="s">
        <v>19</v>
      </c>
      <c r="AJ555">
        <f>SUM(Post[[#This Row],[47]:[75]])</f>
        <v>0</v>
      </c>
    </row>
    <row r="556" spans="1:36" x14ac:dyDescent="0.2">
      <c r="A556" t="s">
        <v>48</v>
      </c>
      <c r="B556" t="s">
        <v>6</v>
      </c>
      <c r="C556">
        <v>27167</v>
      </c>
      <c r="D556" t="s">
        <v>7</v>
      </c>
      <c r="E556" t="s">
        <v>14</v>
      </c>
      <c r="F556" t="s">
        <v>20</v>
      </c>
      <c r="G556">
        <v>1</v>
      </c>
      <c r="AD556">
        <v>4</v>
      </c>
      <c r="AJ556">
        <f>SUM(Post[[#This Row],[47]:[75]])</f>
        <v>5</v>
      </c>
    </row>
    <row r="557" spans="1:36" x14ac:dyDescent="0.2">
      <c r="A557" t="s">
        <v>48</v>
      </c>
      <c r="B557" t="s">
        <v>6</v>
      </c>
      <c r="C557">
        <v>27242</v>
      </c>
      <c r="D557" t="s">
        <v>7</v>
      </c>
      <c r="E557" t="s">
        <v>14</v>
      </c>
      <c r="F557" t="s">
        <v>20</v>
      </c>
      <c r="J557">
        <v>2</v>
      </c>
      <c r="AJ557">
        <f>SUM(Post[[#This Row],[47]:[75]])</f>
        <v>2</v>
      </c>
    </row>
    <row r="558" spans="1:36" x14ac:dyDescent="0.2">
      <c r="A558" t="s">
        <v>48</v>
      </c>
      <c r="B558" t="s">
        <v>6</v>
      </c>
      <c r="C558">
        <v>27786</v>
      </c>
      <c r="D558" t="s">
        <v>7</v>
      </c>
      <c r="E558" t="s">
        <v>8</v>
      </c>
      <c r="F558" t="s">
        <v>9</v>
      </c>
      <c r="Z558">
        <v>1</v>
      </c>
      <c r="AJ558">
        <f>SUM(Post[[#This Row],[47]:[75]])</f>
        <v>1</v>
      </c>
    </row>
    <row r="559" spans="1:36" x14ac:dyDescent="0.2">
      <c r="A559" t="s">
        <v>48</v>
      </c>
      <c r="B559" t="s">
        <v>6</v>
      </c>
      <c r="C559">
        <v>27864</v>
      </c>
      <c r="D559" t="s">
        <v>7</v>
      </c>
      <c r="E559" t="s">
        <v>8</v>
      </c>
      <c r="F559" t="s">
        <v>9</v>
      </c>
      <c r="AJ559">
        <f>SUM(Post[[#This Row],[47]:[75]])</f>
        <v>0</v>
      </c>
    </row>
    <row r="560" spans="1:36" x14ac:dyDescent="0.2">
      <c r="A560" t="s">
        <v>48</v>
      </c>
      <c r="B560" t="s">
        <v>6</v>
      </c>
      <c r="C560">
        <v>28017</v>
      </c>
      <c r="D560" t="s">
        <v>7</v>
      </c>
      <c r="E560" t="s">
        <v>26</v>
      </c>
      <c r="F560" t="s">
        <v>27</v>
      </c>
      <c r="AF560">
        <v>1</v>
      </c>
      <c r="AJ560">
        <f>SUM(Post[[#This Row],[47]:[75]])</f>
        <v>1</v>
      </c>
    </row>
    <row r="561" spans="1:36" x14ac:dyDescent="0.2">
      <c r="A561" t="s">
        <v>48</v>
      </c>
      <c r="B561" t="s">
        <v>6</v>
      </c>
      <c r="C561">
        <v>28017</v>
      </c>
      <c r="D561" t="s">
        <v>7</v>
      </c>
      <c r="E561" t="s">
        <v>14</v>
      </c>
      <c r="F561" t="s">
        <v>35</v>
      </c>
      <c r="W561">
        <v>2</v>
      </c>
      <c r="AJ561">
        <f>SUM(Post[[#This Row],[47]:[75]])</f>
        <v>2</v>
      </c>
    </row>
    <row r="562" spans="1:36" x14ac:dyDescent="0.2">
      <c r="A562" t="s">
        <v>48</v>
      </c>
      <c r="B562" t="s">
        <v>6</v>
      </c>
      <c r="C562">
        <v>29277</v>
      </c>
      <c r="D562" t="s">
        <v>7</v>
      </c>
      <c r="E562" t="s">
        <v>14</v>
      </c>
      <c r="F562" t="s">
        <v>20</v>
      </c>
      <c r="AJ562">
        <f>SUM(Post[[#This Row],[47]:[75]])</f>
        <v>0</v>
      </c>
    </row>
    <row r="563" spans="1:36" x14ac:dyDescent="0.2">
      <c r="A563" t="s">
        <v>48</v>
      </c>
      <c r="B563" t="s">
        <v>6</v>
      </c>
      <c r="C563">
        <v>29341</v>
      </c>
      <c r="D563" t="s">
        <v>7</v>
      </c>
      <c r="E563" t="s">
        <v>10</v>
      </c>
      <c r="F563" t="s">
        <v>11</v>
      </c>
      <c r="I563">
        <v>2</v>
      </c>
      <c r="AJ563">
        <f>SUM(Post[[#This Row],[47]:[75]])</f>
        <v>2</v>
      </c>
    </row>
    <row r="564" spans="1:36" x14ac:dyDescent="0.2">
      <c r="A564" t="s">
        <v>48</v>
      </c>
      <c r="B564" t="s">
        <v>6</v>
      </c>
      <c r="C564">
        <v>29341</v>
      </c>
      <c r="D564" t="s">
        <v>7</v>
      </c>
      <c r="E564" t="s">
        <v>8</v>
      </c>
      <c r="F564" t="s">
        <v>23</v>
      </c>
      <c r="H564">
        <v>2</v>
      </c>
      <c r="AE564">
        <v>1</v>
      </c>
      <c r="AJ564">
        <f>SUM(Post[[#This Row],[47]:[75]])</f>
        <v>3</v>
      </c>
    </row>
    <row r="565" spans="1:36" x14ac:dyDescent="0.2">
      <c r="A565" t="s">
        <v>48</v>
      </c>
      <c r="B565" t="s">
        <v>6</v>
      </c>
      <c r="C565">
        <v>29341</v>
      </c>
      <c r="D565" t="s">
        <v>7</v>
      </c>
      <c r="E565" t="s">
        <v>14</v>
      </c>
      <c r="F565" t="s">
        <v>20</v>
      </c>
      <c r="H565">
        <v>1</v>
      </c>
      <c r="AE565">
        <v>1</v>
      </c>
      <c r="AJ565">
        <f>SUM(Post[[#This Row],[47]:[75]])</f>
        <v>2</v>
      </c>
    </row>
    <row r="566" spans="1:36" x14ac:dyDescent="0.2">
      <c r="A566" t="s">
        <v>48</v>
      </c>
      <c r="B566" t="s">
        <v>6</v>
      </c>
      <c r="C566">
        <v>29747</v>
      </c>
      <c r="D566" t="s">
        <v>7</v>
      </c>
      <c r="E566" t="s">
        <v>14</v>
      </c>
      <c r="F566" t="s">
        <v>19</v>
      </c>
      <c r="AJ566">
        <f>SUM(Post[[#This Row],[47]:[75]])</f>
        <v>0</v>
      </c>
    </row>
    <row r="567" spans="1:36" x14ac:dyDescent="0.2">
      <c r="A567" t="s">
        <v>48</v>
      </c>
      <c r="B567" t="s">
        <v>6</v>
      </c>
      <c r="C567">
        <v>29747</v>
      </c>
      <c r="D567" t="s">
        <v>7</v>
      </c>
      <c r="E567" t="s">
        <v>14</v>
      </c>
      <c r="F567" t="s">
        <v>21</v>
      </c>
      <c r="AJ567">
        <f>SUM(Post[[#This Row],[47]:[75]])</f>
        <v>0</v>
      </c>
    </row>
    <row r="568" spans="1:36" x14ac:dyDescent="0.2">
      <c r="A568" t="s">
        <v>48</v>
      </c>
      <c r="B568" t="s">
        <v>6</v>
      </c>
      <c r="C568">
        <v>30259</v>
      </c>
      <c r="D568" t="s">
        <v>7</v>
      </c>
      <c r="E568" t="s">
        <v>8</v>
      </c>
      <c r="F568" t="s">
        <v>9</v>
      </c>
      <c r="U568">
        <v>1</v>
      </c>
      <c r="AJ568">
        <f>SUM(Post[[#This Row],[47]:[75]])</f>
        <v>1</v>
      </c>
    </row>
    <row r="569" spans="1:36" x14ac:dyDescent="0.2">
      <c r="A569" t="s">
        <v>48</v>
      </c>
      <c r="B569" t="s">
        <v>6</v>
      </c>
      <c r="C569">
        <v>31187</v>
      </c>
      <c r="D569" t="s">
        <v>7</v>
      </c>
      <c r="E569" t="s">
        <v>10</v>
      </c>
      <c r="F569" t="s">
        <v>11</v>
      </c>
      <c r="AJ569">
        <f>SUM(Post[[#This Row],[47]:[75]])</f>
        <v>0</v>
      </c>
    </row>
    <row r="570" spans="1:36" x14ac:dyDescent="0.2">
      <c r="A570" t="s">
        <v>48</v>
      </c>
      <c r="B570" t="s">
        <v>6</v>
      </c>
      <c r="C570">
        <v>1300</v>
      </c>
      <c r="D570" t="s">
        <v>22</v>
      </c>
      <c r="E570" t="s">
        <v>8</v>
      </c>
      <c r="F570" t="s">
        <v>23</v>
      </c>
      <c r="J570">
        <v>1</v>
      </c>
      <c r="P570">
        <v>1</v>
      </c>
      <c r="S570">
        <v>1</v>
      </c>
      <c r="X570">
        <v>1</v>
      </c>
      <c r="AA570">
        <v>1</v>
      </c>
      <c r="AE570">
        <v>1</v>
      </c>
      <c r="AJ570">
        <f>SUM(Post[[#This Row],[47]:[75]])</f>
        <v>6</v>
      </c>
    </row>
    <row r="571" spans="1:36" x14ac:dyDescent="0.2">
      <c r="A571" t="s">
        <v>48</v>
      </c>
      <c r="B571" t="s">
        <v>6</v>
      </c>
      <c r="C571">
        <v>2569</v>
      </c>
      <c r="D571" t="s">
        <v>22</v>
      </c>
      <c r="E571" t="s">
        <v>37</v>
      </c>
      <c r="F571" t="s">
        <v>38</v>
      </c>
      <c r="N571">
        <v>1</v>
      </c>
      <c r="Q571">
        <v>1</v>
      </c>
      <c r="AJ571">
        <f>SUM(Post[[#This Row],[47]:[75]])</f>
        <v>2</v>
      </c>
    </row>
    <row r="572" spans="1:36" x14ac:dyDescent="0.2">
      <c r="A572" t="s">
        <v>48</v>
      </c>
      <c r="B572" t="s">
        <v>6</v>
      </c>
      <c r="C572">
        <v>2569</v>
      </c>
      <c r="D572" t="s">
        <v>22</v>
      </c>
      <c r="E572" t="s">
        <v>8</v>
      </c>
      <c r="F572" t="s">
        <v>23</v>
      </c>
      <c r="N572">
        <v>1</v>
      </c>
      <c r="Q572">
        <v>1</v>
      </c>
      <c r="AJ572">
        <f>SUM(Post[[#This Row],[47]:[75]])</f>
        <v>2</v>
      </c>
    </row>
    <row r="573" spans="1:36" x14ac:dyDescent="0.2">
      <c r="A573" t="s">
        <v>48</v>
      </c>
      <c r="B573" t="s">
        <v>6</v>
      </c>
      <c r="C573">
        <v>2569</v>
      </c>
      <c r="D573" t="s">
        <v>22</v>
      </c>
      <c r="E573" t="s">
        <v>14</v>
      </c>
      <c r="F573" t="s">
        <v>35</v>
      </c>
      <c r="N573">
        <v>1</v>
      </c>
      <c r="Q573">
        <v>1</v>
      </c>
      <c r="AJ573">
        <f>SUM(Post[[#This Row],[47]:[75]])</f>
        <v>2</v>
      </c>
    </row>
    <row r="574" spans="1:36" x14ac:dyDescent="0.2">
      <c r="A574" t="s">
        <v>48</v>
      </c>
      <c r="B574" t="s">
        <v>6</v>
      </c>
      <c r="C574">
        <v>5738</v>
      </c>
      <c r="D574" t="s">
        <v>22</v>
      </c>
      <c r="E574" t="s">
        <v>8</v>
      </c>
      <c r="F574" t="s">
        <v>9</v>
      </c>
      <c r="AJ574">
        <f>SUM(Post[[#This Row],[47]:[75]])</f>
        <v>0</v>
      </c>
    </row>
    <row r="575" spans="1:36" x14ac:dyDescent="0.2">
      <c r="A575" t="s">
        <v>48</v>
      </c>
      <c r="B575" t="s">
        <v>6</v>
      </c>
      <c r="C575">
        <v>6647</v>
      </c>
      <c r="D575" t="s">
        <v>22</v>
      </c>
      <c r="E575" t="s">
        <v>8</v>
      </c>
      <c r="F575" t="s">
        <v>9</v>
      </c>
      <c r="K575">
        <v>1</v>
      </c>
      <c r="P575">
        <v>1</v>
      </c>
      <c r="AB575">
        <v>1</v>
      </c>
      <c r="AJ575">
        <f>SUM(Post[[#This Row],[47]:[75]])</f>
        <v>3</v>
      </c>
    </row>
    <row r="576" spans="1:36" x14ac:dyDescent="0.2">
      <c r="A576" t="s">
        <v>48</v>
      </c>
      <c r="B576" t="s">
        <v>6</v>
      </c>
      <c r="C576">
        <v>7033</v>
      </c>
      <c r="D576" t="s">
        <v>22</v>
      </c>
      <c r="E576" t="s">
        <v>8</v>
      </c>
      <c r="F576" t="s">
        <v>23</v>
      </c>
      <c r="K576">
        <v>1</v>
      </c>
      <c r="Q576">
        <v>1</v>
      </c>
      <c r="V576">
        <v>1</v>
      </c>
      <c r="AJ576">
        <f>SUM(Post[[#This Row],[47]:[75]])</f>
        <v>3</v>
      </c>
    </row>
    <row r="577" spans="1:36" x14ac:dyDescent="0.2">
      <c r="A577" t="s">
        <v>48</v>
      </c>
      <c r="B577" t="s">
        <v>6</v>
      </c>
      <c r="C577">
        <v>7033</v>
      </c>
      <c r="D577" t="s">
        <v>22</v>
      </c>
      <c r="E577" t="s">
        <v>8</v>
      </c>
      <c r="F577" t="s">
        <v>9</v>
      </c>
      <c r="AJ577">
        <f>SUM(Post[[#This Row],[47]:[75]])</f>
        <v>0</v>
      </c>
    </row>
    <row r="578" spans="1:36" x14ac:dyDescent="0.2">
      <c r="A578" t="s">
        <v>48</v>
      </c>
      <c r="B578" t="s">
        <v>6</v>
      </c>
      <c r="C578">
        <v>11064</v>
      </c>
      <c r="D578" t="s">
        <v>22</v>
      </c>
      <c r="E578" t="s">
        <v>8</v>
      </c>
      <c r="F578" t="s">
        <v>23</v>
      </c>
      <c r="AJ578">
        <f>SUM(Post[[#This Row],[47]:[75]])</f>
        <v>0</v>
      </c>
    </row>
    <row r="579" spans="1:36" x14ac:dyDescent="0.2">
      <c r="A579" t="s">
        <v>48</v>
      </c>
      <c r="B579" t="s">
        <v>6</v>
      </c>
      <c r="C579">
        <v>11064</v>
      </c>
      <c r="D579" t="s">
        <v>22</v>
      </c>
      <c r="E579" t="s">
        <v>8</v>
      </c>
      <c r="F579" t="s">
        <v>9</v>
      </c>
      <c r="Z579">
        <v>1</v>
      </c>
      <c r="AJ579">
        <f>SUM(Post[[#This Row],[47]:[75]])</f>
        <v>1</v>
      </c>
    </row>
    <row r="580" spans="1:36" x14ac:dyDescent="0.2">
      <c r="A580" t="s">
        <v>48</v>
      </c>
      <c r="B580" t="s">
        <v>6</v>
      </c>
      <c r="C580">
        <v>12649</v>
      </c>
      <c r="D580" t="s">
        <v>22</v>
      </c>
      <c r="E580" t="s">
        <v>8</v>
      </c>
      <c r="F580" t="s">
        <v>23</v>
      </c>
      <c r="O580">
        <v>1</v>
      </c>
      <c r="Z580">
        <v>1</v>
      </c>
      <c r="AB580">
        <v>1</v>
      </c>
      <c r="AJ580">
        <f>SUM(Post[[#This Row],[47]:[75]])</f>
        <v>3</v>
      </c>
    </row>
    <row r="581" spans="1:36" x14ac:dyDescent="0.2">
      <c r="A581" t="s">
        <v>48</v>
      </c>
      <c r="B581" t="s">
        <v>6</v>
      </c>
      <c r="C581">
        <v>14707</v>
      </c>
      <c r="D581" t="s">
        <v>22</v>
      </c>
      <c r="E581" t="s">
        <v>14</v>
      </c>
      <c r="F581" t="s">
        <v>20</v>
      </c>
      <c r="J581">
        <v>1</v>
      </c>
      <c r="O581">
        <v>1</v>
      </c>
      <c r="R581">
        <v>3</v>
      </c>
      <c r="V581">
        <v>1</v>
      </c>
      <c r="Y581">
        <v>1</v>
      </c>
      <c r="AD581">
        <v>1</v>
      </c>
      <c r="AI581">
        <v>1</v>
      </c>
      <c r="AJ581">
        <f>SUM(Post[[#This Row],[47]:[75]])</f>
        <v>9</v>
      </c>
    </row>
    <row r="582" spans="1:36" x14ac:dyDescent="0.2">
      <c r="A582" t="s">
        <v>48</v>
      </c>
      <c r="B582" t="s">
        <v>6</v>
      </c>
      <c r="C582">
        <v>14990</v>
      </c>
      <c r="D582" t="s">
        <v>22</v>
      </c>
      <c r="E582" t="s">
        <v>14</v>
      </c>
      <c r="F582" t="s">
        <v>20</v>
      </c>
      <c r="H582">
        <v>1</v>
      </c>
      <c r="X582">
        <v>2</v>
      </c>
      <c r="AB582">
        <v>1</v>
      </c>
      <c r="AG582">
        <v>1</v>
      </c>
      <c r="AJ582">
        <f>SUM(Post[[#This Row],[47]:[75]])</f>
        <v>5</v>
      </c>
    </row>
    <row r="583" spans="1:36" x14ac:dyDescent="0.2">
      <c r="A583" t="s">
        <v>48</v>
      </c>
      <c r="B583" t="s">
        <v>6</v>
      </c>
      <c r="C583">
        <v>18342</v>
      </c>
      <c r="D583" t="s">
        <v>22</v>
      </c>
      <c r="E583" t="s">
        <v>10</v>
      </c>
      <c r="F583" t="s">
        <v>11</v>
      </c>
      <c r="AJ583">
        <f>SUM(Post[[#This Row],[47]:[75]])</f>
        <v>0</v>
      </c>
    </row>
    <row r="584" spans="1:36" x14ac:dyDescent="0.2">
      <c r="A584" t="s">
        <v>48</v>
      </c>
      <c r="B584" t="s">
        <v>6</v>
      </c>
      <c r="C584">
        <v>18342</v>
      </c>
      <c r="D584" t="s">
        <v>22</v>
      </c>
      <c r="E584" t="s">
        <v>14</v>
      </c>
      <c r="F584" t="s">
        <v>20</v>
      </c>
      <c r="H584">
        <v>2</v>
      </c>
      <c r="I584">
        <v>1</v>
      </c>
      <c r="N584">
        <v>1</v>
      </c>
      <c r="S584">
        <v>1</v>
      </c>
      <c r="X584">
        <v>1</v>
      </c>
      <c r="Y584">
        <v>1</v>
      </c>
      <c r="AC584">
        <v>1</v>
      </c>
      <c r="AH584">
        <v>1</v>
      </c>
      <c r="AJ584">
        <f>SUM(Post[[#This Row],[47]:[75]])</f>
        <v>9</v>
      </c>
    </row>
    <row r="585" spans="1:36" x14ac:dyDescent="0.2">
      <c r="A585" t="s">
        <v>48</v>
      </c>
      <c r="B585" t="s">
        <v>6</v>
      </c>
      <c r="C585">
        <v>19012</v>
      </c>
      <c r="D585" t="s">
        <v>22</v>
      </c>
      <c r="E585" t="s">
        <v>8</v>
      </c>
      <c r="F585" t="s">
        <v>9</v>
      </c>
      <c r="J585">
        <v>1</v>
      </c>
      <c r="AJ585">
        <f>SUM(Post[[#This Row],[47]:[75]])</f>
        <v>1</v>
      </c>
    </row>
    <row r="586" spans="1:36" x14ac:dyDescent="0.2">
      <c r="A586" t="s">
        <v>48</v>
      </c>
      <c r="B586" t="s">
        <v>6</v>
      </c>
      <c r="C586">
        <v>21134</v>
      </c>
      <c r="D586" t="s">
        <v>22</v>
      </c>
      <c r="E586" t="s">
        <v>8</v>
      </c>
      <c r="F586" t="s">
        <v>23</v>
      </c>
      <c r="J586">
        <v>1</v>
      </c>
      <c r="Y586">
        <v>1</v>
      </c>
      <c r="AJ586">
        <f>SUM(Post[[#This Row],[47]:[75]])</f>
        <v>2</v>
      </c>
    </row>
    <row r="587" spans="1:36" x14ac:dyDescent="0.2">
      <c r="A587" t="s">
        <v>48</v>
      </c>
      <c r="B587" t="s">
        <v>6</v>
      </c>
      <c r="C587">
        <v>21352</v>
      </c>
      <c r="D587" t="s">
        <v>22</v>
      </c>
      <c r="E587" t="s">
        <v>14</v>
      </c>
      <c r="F587" t="s">
        <v>19</v>
      </c>
      <c r="AJ587">
        <f>SUM(Post[[#This Row],[47]:[75]])</f>
        <v>0</v>
      </c>
    </row>
    <row r="588" spans="1:36" x14ac:dyDescent="0.2">
      <c r="A588" t="s">
        <v>48</v>
      </c>
      <c r="B588" t="s">
        <v>6</v>
      </c>
      <c r="C588">
        <v>22854</v>
      </c>
      <c r="D588" t="s">
        <v>22</v>
      </c>
      <c r="E588" t="s">
        <v>14</v>
      </c>
      <c r="F588" t="s">
        <v>20</v>
      </c>
      <c r="AJ588">
        <f>SUM(Post[[#This Row],[47]:[75]])</f>
        <v>0</v>
      </c>
    </row>
    <row r="589" spans="1:36" x14ac:dyDescent="0.2">
      <c r="A589" t="s">
        <v>48</v>
      </c>
      <c r="B589" t="s">
        <v>6</v>
      </c>
      <c r="C589">
        <v>26635</v>
      </c>
      <c r="D589" t="s">
        <v>22</v>
      </c>
      <c r="E589" t="s">
        <v>14</v>
      </c>
      <c r="F589" t="s">
        <v>20</v>
      </c>
      <c r="AA589">
        <v>2</v>
      </c>
      <c r="AJ589">
        <f>SUM(Post[[#This Row],[47]:[75]])</f>
        <v>2</v>
      </c>
    </row>
    <row r="590" spans="1:36" x14ac:dyDescent="0.2">
      <c r="A590" t="s">
        <v>48</v>
      </c>
      <c r="B590" t="s">
        <v>6</v>
      </c>
      <c r="C590">
        <v>27534</v>
      </c>
      <c r="D590" t="s">
        <v>22</v>
      </c>
      <c r="E590" t="s">
        <v>14</v>
      </c>
      <c r="F590" t="s">
        <v>31</v>
      </c>
      <c r="AJ590">
        <f>SUM(Post[[#This Row],[47]:[75]])</f>
        <v>0</v>
      </c>
    </row>
    <row r="591" spans="1:36" x14ac:dyDescent="0.2">
      <c r="A591" t="s">
        <v>48</v>
      </c>
      <c r="B591" t="s">
        <v>6</v>
      </c>
      <c r="C591">
        <v>29779</v>
      </c>
      <c r="D591" t="s">
        <v>22</v>
      </c>
      <c r="E591" t="s">
        <v>8</v>
      </c>
      <c r="F591" t="s">
        <v>9</v>
      </c>
      <c r="K591">
        <v>1</v>
      </c>
      <c r="Z591">
        <v>1</v>
      </c>
      <c r="AJ591">
        <f>SUM(Post[[#This Row],[47]:[75]])</f>
        <v>2</v>
      </c>
    </row>
    <row r="592" spans="1:36" x14ac:dyDescent="0.2">
      <c r="A592" t="s">
        <v>48</v>
      </c>
      <c r="B592" t="s">
        <v>6</v>
      </c>
      <c r="C592">
        <v>30608</v>
      </c>
      <c r="D592" t="s">
        <v>22</v>
      </c>
      <c r="E592" t="s">
        <v>8</v>
      </c>
      <c r="F592" t="s">
        <v>9</v>
      </c>
      <c r="AA592">
        <v>2</v>
      </c>
      <c r="AG592">
        <v>1</v>
      </c>
      <c r="AJ592">
        <f>SUM(Post[[#This Row],[47]:[75]])</f>
        <v>3</v>
      </c>
    </row>
    <row r="593" spans="1:36" x14ac:dyDescent="0.2">
      <c r="A593" t="s">
        <v>48</v>
      </c>
      <c r="B593" t="s">
        <v>6</v>
      </c>
      <c r="C593">
        <v>32699</v>
      </c>
      <c r="D593" t="s">
        <v>22</v>
      </c>
      <c r="E593" t="s">
        <v>8</v>
      </c>
      <c r="F593" t="s">
        <v>23</v>
      </c>
      <c r="P593">
        <v>1</v>
      </c>
      <c r="AA593">
        <v>1</v>
      </c>
      <c r="AJ593">
        <f>SUM(Post[[#This Row],[47]:[75]])</f>
        <v>2</v>
      </c>
    </row>
    <row r="594" spans="1:36" x14ac:dyDescent="0.2">
      <c r="A594" t="s">
        <v>48</v>
      </c>
      <c r="B594" t="s">
        <v>6</v>
      </c>
      <c r="C594">
        <v>498</v>
      </c>
      <c r="D594" t="s">
        <v>7</v>
      </c>
      <c r="E594" t="s">
        <v>14</v>
      </c>
      <c r="F594" t="s">
        <v>20</v>
      </c>
      <c r="P594">
        <v>1</v>
      </c>
      <c r="AB594">
        <v>1</v>
      </c>
      <c r="AI594">
        <v>1</v>
      </c>
      <c r="AJ594">
        <f>SUM(Post[[#This Row],[47]:[75]])</f>
        <v>3</v>
      </c>
    </row>
    <row r="595" spans="1:36" x14ac:dyDescent="0.2">
      <c r="A595" t="s">
        <v>48</v>
      </c>
      <c r="B595" t="s">
        <v>6</v>
      </c>
      <c r="C595">
        <v>585</v>
      </c>
      <c r="D595" t="s">
        <v>7</v>
      </c>
      <c r="E595" t="s">
        <v>8</v>
      </c>
      <c r="F595" t="s">
        <v>23</v>
      </c>
      <c r="H595">
        <v>1</v>
      </c>
      <c r="J595">
        <v>1</v>
      </c>
      <c r="L595">
        <v>1</v>
      </c>
      <c r="O595">
        <v>1</v>
      </c>
      <c r="Q595">
        <v>1</v>
      </c>
      <c r="S595">
        <v>1</v>
      </c>
      <c r="T595">
        <v>1</v>
      </c>
      <c r="W595">
        <v>1</v>
      </c>
      <c r="Y595">
        <v>1</v>
      </c>
      <c r="AA595">
        <v>1</v>
      </c>
      <c r="AC595">
        <v>1</v>
      </c>
      <c r="AE595">
        <v>1</v>
      </c>
      <c r="AG595">
        <v>1</v>
      </c>
      <c r="AI595">
        <v>1</v>
      </c>
      <c r="AJ595">
        <f>SUM(Post[[#This Row],[47]:[75]])</f>
        <v>14</v>
      </c>
    </row>
    <row r="596" spans="1:36" x14ac:dyDescent="0.2">
      <c r="A596" t="s">
        <v>48</v>
      </c>
      <c r="B596" t="s">
        <v>6</v>
      </c>
      <c r="C596">
        <v>1248</v>
      </c>
      <c r="D596" t="s">
        <v>7</v>
      </c>
      <c r="E596" t="s">
        <v>14</v>
      </c>
      <c r="F596" t="s">
        <v>20</v>
      </c>
      <c r="AJ596">
        <f>SUM(Post[[#This Row],[47]:[75]])</f>
        <v>0</v>
      </c>
    </row>
    <row r="597" spans="1:36" x14ac:dyDescent="0.2">
      <c r="A597" t="s">
        <v>48</v>
      </c>
      <c r="B597" t="s">
        <v>6</v>
      </c>
      <c r="C597">
        <v>2048</v>
      </c>
      <c r="D597" t="s">
        <v>7</v>
      </c>
      <c r="E597" t="s">
        <v>8</v>
      </c>
      <c r="F597" t="s">
        <v>23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N597">
        <v>1</v>
      </c>
      <c r="O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f>SUM(Post[[#This Row],[47]:[75]])</f>
        <v>27</v>
      </c>
    </row>
    <row r="598" spans="1:36" x14ac:dyDescent="0.2">
      <c r="A598" t="s">
        <v>48</v>
      </c>
      <c r="B598" t="s">
        <v>6</v>
      </c>
      <c r="C598">
        <v>2382</v>
      </c>
      <c r="D598" t="s">
        <v>7</v>
      </c>
      <c r="E598" t="s">
        <v>10</v>
      </c>
      <c r="F598" t="s">
        <v>11</v>
      </c>
      <c r="AJ598">
        <f>SUM(Post[[#This Row],[47]:[75]])</f>
        <v>0</v>
      </c>
    </row>
    <row r="599" spans="1:36" x14ac:dyDescent="0.2">
      <c r="A599" t="s">
        <v>48</v>
      </c>
      <c r="B599" t="s">
        <v>6</v>
      </c>
      <c r="C599">
        <v>2687</v>
      </c>
      <c r="D599" t="s">
        <v>7</v>
      </c>
      <c r="E599" t="s">
        <v>8</v>
      </c>
      <c r="F599" t="s">
        <v>29</v>
      </c>
      <c r="N599">
        <v>1</v>
      </c>
      <c r="AD599">
        <v>1</v>
      </c>
      <c r="AJ599">
        <f>SUM(Post[[#This Row],[47]:[75]])</f>
        <v>2</v>
      </c>
    </row>
    <row r="600" spans="1:36" x14ac:dyDescent="0.2">
      <c r="A600" t="s">
        <v>48</v>
      </c>
      <c r="B600" t="s">
        <v>6</v>
      </c>
      <c r="C600">
        <v>2745</v>
      </c>
      <c r="D600" t="s">
        <v>7</v>
      </c>
      <c r="E600" t="s">
        <v>14</v>
      </c>
      <c r="F600" t="s">
        <v>20</v>
      </c>
      <c r="AC600">
        <v>1</v>
      </c>
      <c r="AJ600">
        <f>SUM(Post[[#This Row],[47]:[75]])</f>
        <v>1</v>
      </c>
    </row>
    <row r="601" spans="1:36" x14ac:dyDescent="0.2">
      <c r="A601" t="s">
        <v>48</v>
      </c>
      <c r="B601" t="s">
        <v>6</v>
      </c>
      <c r="C601">
        <v>2988</v>
      </c>
      <c r="D601" t="s">
        <v>7</v>
      </c>
      <c r="E601" t="s">
        <v>14</v>
      </c>
      <c r="F601" t="s">
        <v>20</v>
      </c>
      <c r="O601">
        <v>5</v>
      </c>
      <c r="Z601">
        <v>1</v>
      </c>
      <c r="AJ601">
        <f>SUM(Post[[#This Row],[47]:[75]])</f>
        <v>6</v>
      </c>
    </row>
    <row r="602" spans="1:36" x14ac:dyDescent="0.2">
      <c r="A602" t="s">
        <v>48</v>
      </c>
      <c r="B602" t="s">
        <v>6</v>
      </c>
      <c r="C602">
        <v>4527</v>
      </c>
      <c r="D602" t="s">
        <v>7</v>
      </c>
      <c r="E602" t="s">
        <v>8</v>
      </c>
      <c r="F602" t="s">
        <v>9</v>
      </c>
      <c r="AJ602">
        <f>SUM(Post[[#This Row],[47]:[75]])</f>
        <v>0</v>
      </c>
    </row>
    <row r="603" spans="1:36" x14ac:dyDescent="0.2">
      <c r="A603" t="s">
        <v>48</v>
      </c>
      <c r="B603" t="s">
        <v>6</v>
      </c>
      <c r="C603">
        <v>5711</v>
      </c>
      <c r="D603" t="s">
        <v>7</v>
      </c>
      <c r="E603" t="s">
        <v>14</v>
      </c>
      <c r="F603" t="s">
        <v>19</v>
      </c>
      <c r="AJ603">
        <f>SUM(Post[[#This Row],[47]:[75]])</f>
        <v>0</v>
      </c>
    </row>
    <row r="604" spans="1:36" x14ac:dyDescent="0.2">
      <c r="A604" t="s">
        <v>48</v>
      </c>
      <c r="B604" t="s">
        <v>6</v>
      </c>
      <c r="C604">
        <v>5944</v>
      </c>
      <c r="D604" t="s">
        <v>7</v>
      </c>
      <c r="E604" t="s">
        <v>8</v>
      </c>
      <c r="F604" t="s">
        <v>23</v>
      </c>
      <c r="H604">
        <v>1</v>
      </c>
      <c r="J604">
        <v>1</v>
      </c>
      <c r="L604">
        <v>1</v>
      </c>
      <c r="O604">
        <v>1</v>
      </c>
      <c r="Q604">
        <v>1</v>
      </c>
      <c r="S604">
        <v>1</v>
      </c>
      <c r="T604">
        <v>1</v>
      </c>
      <c r="W604">
        <v>1</v>
      </c>
      <c r="Y604">
        <v>1</v>
      </c>
      <c r="AA604">
        <v>1</v>
      </c>
      <c r="AC604">
        <v>1</v>
      </c>
      <c r="AE604">
        <v>1</v>
      </c>
      <c r="AG604">
        <v>1</v>
      </c>
      <c r="AI604">
        <v>1</v>
      </c>
      <c r="AJ604">
        <f>SUM(Post[[#This Row],[47]:[75]])</f>
        <v>14</v>
      </c>
    </row>
    <row r="605" spans="1:36" x14ac:dyDescent="0.2">
      <c r="A605" t="s">
        <v>48</v>
      </c>
      <c r="B605" t="s">
        <v>6</v>
      </c>
      <c r="C605">
        <v>6648</v>
      </c>
      <c r="D605" t="s">
        <v>7</v>
      </c>
      <c r="E605" t="s">
        <v>8</v>
      </c>
      <c r="F605" t="s">
        <v>29</v>
      </c>
      <c r="Y605">
        <v>2</v>
      </c>
      <c r="AJ605">
        <f>SUM(Post[[#This Row],[47]:[75]])</f>
        <v>2</v>
      </c>
    </row>
    <row r="606" spans="1:36" x14ac:dyDescent="0.2">
      <c r="A606" t="s">
        <v>48</v>
      </c>
      <c r="B606" t="s">
        <v>6</v>
      </c>
      <c r="C606">
        <v>6648</v>
      </c>
      <c r="D606" t="s">
        <v>7</v>
      </c>
      <c r="E606" t="s">
        <v>26</v>
      </c>
      <c r="F606" t="s">
        <v>27</v>
      </c>
      <c r="AJ606">
        <f>SUM(Post[[#This Row],[47]:[75]])</f>
        <v>0</v>
      </c>
    </row>
    <row r="607" spans="1:36" x14ac:dyDescent="0.2">
      <c r="A607" t="s">
        <v>48</v>
      </c>
      <c r="B607" t="s">
        <v>6</v>
      </c>
      <c r="C607">
        <v>6648</v>
      </c>
      <c r="D607" t="s">
        <v>7</v>
      </c>
      <c r="E607" t="s">
        <v>14</v>
      </c>
      <c r="F607" t="s">
        <v>21</v>
      </c>
      <c r="N607">
        <v>1</v>
      </c>
      <c r="Q607">
        <v>1</v>
      </c>
      <c r="U607">
        <v>1</v>
      </c>
      <c r="Y607">
        <v>1</v>
      </c>
      <c r="AB607">
        <v>1</v>
      </c>
      <c r="AG607">
        <v>1</v>
      </c>
      <c r="AJ607">
        <f>SUM(Post[[#This Row],[47]:[75]])</f>
        <v>6</v>
      </c>
    </row>
    <row r="608" spans="1:36" x14ac:dyDescent="0.2">
      <c r="A608" t="s">
        <v>48</v>
      </c>
      <c r="B608" t="s">
        <v>6</v>
      </c>
      <c r="C608">
        <v>7184</v>
      </c>
      <c r="D608" t="s">
        <v>7</v>
      </c>
      <c r="E608" t="s">
        <v>14</v>
      </c>
      <c r="F608" t="s">
        <v>20</v>
      </c>
      <c r="AJ608">
        <f>SUM(Post[[#This Row],[47]:[75]])</f>
        <v>0</v>
      </c>
    </row>
    <row r="609" spans="1:36" x14ac:dyDescent="0.2">
      <c r="A609" t="s">
        <v>48</v>
      </c>
      <c r="B609" t="s">
        <v>6</v>
      </c>
      <c r="C609">
        <v>8027</v>
      </c>
      <c r="D609" t="s">
        <v>7</v>
      </c>
      <c r="E609" t="s">
        <v>14</v>
      </c>
      <c r="F609" t="s">
        <v>15</v>
      </c>
      <c r="W609">
        <v>1</v>
      </c>
      <c r="AJ609">
        <f>SUM(Post[[#This Row],[47]:[75]])</f>
        <v>1</v>
      </c>
    </row>
    <row r="610" spans="1:36" x14ac:dyDescent="0.2">
      <c r="A610" t="s">
        <v>48</v>
      </c>
      <c r="B610" t="s">
        <v>6</v>
      </c>
      <c r="C610">
        <v>8027</v>
      </c>
      <c r="D610" t="s">
        <v>7</v>
      </c>
      <c r="E610" t="s">
        <v>14</v>
      </c>
      <c r="F610" t="s">
        <v>21</v>
      </c>
      <c r="AF610">
        <v>1</v>
      </c>
      <c r="AJ610">
        <f>SUM(Post[[#This Row],[47]:[75]])</f>
        <v>1</v>
      </c>
    </row>
    <row r="611" spans="1:36" x14ac:dyDescent="0.2">
      <c r="A611" t="s">
        <v>48</v>
      </c>
      <c r="B611" t="s">
        <v>6</v>
      </c>
      <c r="C611">
        <v>8215</v>
      </c>
      <c r="D611" t="s">
        <v>7</v>
      </c>
      <c r="E611" t="s">
        <v>14</v>
      </c>
      <c r="F611" t="s">
        <v>19</v>
      </c>
      <c r="Q611">
        <v>1</v>
      </c>
      <c r="AF611">
        <v>1</v>
      </c>
      <c r="AJ611">
        <f>SUM(Post[[#This Row],[47]:[75]])</f>
        <v>2</v>
      </c>
    </row>
    <row r="612" spans="1:36" x14ac:dyDescent="0.2">
      <c r="A612" t="s">
        <v>48</v>
      </c>
      <c r="B612" t="s">
        <v>6</v>
      </c>
      <c r="C612">
        <v>8596</v>
      </c>
      <c r="D612" t="s">
        <v>7</v>
      </c>
      <c r="E612" t="s">
        <v>8</v>
      </c>
      <c r="F612" t="s">
        <v>29</v>
      </c>
      <c r="K612">
        <v>1</v>
      </c>
      <c r="X612">
        <v>1</v>
      </c>
      <c r="AJ612">
        <f>SUM(Post[[#This Row],[47]:[75]])</f>
        <v>2</v>
      </c>
    </row>
    <row r="613" spans="1:36" x14ac:dyDescent="0.2">
      <c r="A613" t="s">
        <v>48</v>
      </c>
      <c r="B613" t="s">
        <v>6</v>
      </c>
      <c r="C613">
        <v>8760</v>
      </c>
      <c r="D613" t="s">
        <v>7</v>
      </c>
      <c r="E613" t="s">
        <v>40</v>
      </c>
      <c r="F613" t="s">
        <v>44</v>
      </c>
      <c r="P613">
        <v>1</v>
      </c>
      <c r="AA613">
        <v>1</v>
      </c>
      <c r="AJ613">
        <f>SUM(Post[[#This Row],[47]:[75]])</f>
        <v>2</v>
      </c>
    </row>
    <row r="614" spans="1:36" x14ac:dyDescent="0.2">
      <c r="A614" t="s">
        <v>48</v>
      </c>
      <c r="B614" t="s">
        <v>6</v>
      </c>
      <c r="C614">
        <v>8760</v>
      </c>
      <c r="D614" t="s">
        <v>7</v>
      </c>
      <c r="E614" t="s">
        <v>40</v>
      </c>
      <c r="F614" t="s">
        <v>41</v>
      </c>
      <c r="O614">
        <v>1</v>
      </c>
      <c r="AJ614">
        <f>SUM(Post[[#This Row],[47]:[75]])</f>
        <v>1</v>
      </c>
    </row>
    <row r="615" spans="1:36" x14ac:dyDescent="0.2">
      <c r="A615" t="s">
        <v>48</v>
      </c>
      <c r="B615" t="s">
        <v>6</v>
      </c>
      <c r="C615">
        <v>8760</v>
      </c>
      <c r="D615" t="s">
        <v>7</v>
      </c>
      <c r="E615" t="s">
        <v>14</v>
      </c>
      <c r="F615" t="s">
        <v>28</v>
      </c>
      <c r="T615">
        <v>1</v>
      </c>
      <c r="AJ615">
        <f>SUM(Post[[#This Row],[47]:[75]])</f>
        <v>1</v>
      </c>
    </row>
    <row r="616" spans="1:36" x14ac:dyDescent="0.2">
      <c r="A616" t="s">
        <v>48</v>
      </c>
      <c r="B616" t="s">
        <v>6</v>
      </c>
      <c r="C616">
        <v>8760</v>
      </c>
      <c r="D616" t="s">
        <v>7</v>
      </c>
      <c r="E616" t="s">
        <v>14</v>
      </c>
      <c r="F616" t="s">
        <v>19</v>
      </c>
      <c r="AE616">
        <v>1</v>
      </c>
      <c r="AJ616">
        <f>SUM(Post[[#This Row],[47]:[75]])</f>
        <v>1</v>
      </c>
    </row>
    <row r="617" spans="1:36" x14ac:dyDescent="0.2">
      <c r="A617" t="s">
        <v>48</v>
      </c>
      <c r="B617" t="s">
        <v>6</v>
      </c>
      <c r="C617">
        <v>9536</v>
      </c>
      <c r="D617" t="s">
        <v>7</v>
      </c>
      <c r="E617" t="s">
        <v>8</v>
      </c>
      <c r="F617" t="s">
        <v>9</v>
      </c>
      <c r="G617">
        <v>2</v>
      </c>
      <c r="U617">
        <v>1</v>
      </c>
      <c r="AH617">
        <v>1</v>
      </c>
      <c r="AJ617">
        <f>SUM(Post[[#This Row],[47]:[75]])</f>
        <v>4</v>
      </c>
    </row>
    <row r="618" spans="1:36" x14ac:dyDescent="0.2">
      <c r="A618" t="s">
        <v>48</v>
      </c>
      <c r="B618" t="s">
        <v>6</v>
      </c>
      <c r="C618">
        <v>10511</v>
      </c>
      <c r="D618" t="s">
        <v>7</v>
      </c>
      <c r="E618" t="s">
        <v>10</v>
      </c>
      <c r="F618" t="s">
        <v>36</v>
      </c>
      <c r="I618">
        <v>1</v>
      </c>
      <c r="AJ618">
        <f>SUM(Post[[#This Row],[47]:[75]])</f>
        <v>1</v>
      </c>
    </row>
    <row r="619" spans="1:36" x14ac:dyDescent="0.2">
      <c r="A619" t="s">
        <v>48</v>
      </c>
      <c r="B619" t="s">
        <v>6</v>
      </c>
      <c r="C619">
        <v>10511</v>
      </c>
      <c r="D619" t="s">
        <v>7</v>
      </c>
      <c r="E619" t="s">
        <v>14</v>
      </c>
      <c r="F619" t="s">
        <v>21</v>
      </c>
      <c r="J619">
        <v>1</v>
      </c>
      <c r="AJ619">
        <f>SUM(Post[[#This Row],[47]:[75]])</f>
        <v>1</v>
      </c>
    </row>
    <row r="620" spans="1:36" x14ac:dyDescent="0.2">
      <c r="A620" t="s">
        <v>48</v>
      </c>
      <c r="B620" t="s">
        <v>6</v>
      </c>
      <c r="C620">
        <v>12026</v>
      </c>
      <c r="D620" t="s">
        <v>7</v>
      </c>
      <c r="E620" t="s">
        <v>14</v>
      </c>
      <c r="F620" t="s">
        <v>19</v>
      </c>
      <c r="AJ620">
        <f>SUM(Post[[#This Row],[47]:[75]])</f>
        <v>0</v>
      </c>
    </row>
    <row r="621" spans="1:36" x14ac:dyDescent="0.2">
      <c r="A621" t="s">
        <v>48</v>
      </c>
      <c r="B621" t="s">
        <v>6</v>
      </c>
      <c r="C621">
        <v>12026</v>
      </c>
      <c r="D621" t="s">
        <v>7</v>
      </c>
      <c r="E621" t="s">
        <v>14</v>
      </c>
      <c r="F621" t="s">
        <v>20</v>
      </c>
      <c r="G621">
        <v>1</v>
      </c>
      <c r="J621">
        <v>1</v>
      </c>
      <c r="AF621">
        <v>1</v>
      </c>
      <c r="AJ621">
        <f>SUM(Post[[#This Row],[47]:[75]])</f>
        <v>3</v>
      </c>
    </row>
    <row r="622" spans="1:36" x14ac:dyDescent="0.2">
      <c r="A622" t="s">
        <v>48</v>
      </c>
      <c r="B622" t="s">
        <v>6</v>
      </c>
      <c r="C622">
        <v>13450</v>
      </c>
      <c r="D622" t="s">
        <v>7</v>
      </c>
      <c r="E622" t="s">
        <v>14</v>
      </c>
      <c r="F622" t="s">
        <v>19</v>
      </c>
      <c r="U622">
        <v>1</v>
      </c>
      <c r="AJ622">
        <f>SUM(Post[[#This Row],[47]:[75]])</f>
        <v>1</v>
      </c>
    </row>
    <row r="623" spans="1:36" x14ac:dyDescent="0.2">
      <c r="A623" t="s">
        <v>48</v>
      </c>
      <c r="B623" t="s">
        <v>6</v>
      </c>
      <c r="C623">
        <v>13850</v>
      </c>
      <c r="D623" t="s">
        <v>7</v>
      </c>
      <c r="E623" t="s">
        <v>14</v>
      </c>
      <c r="F623" t="s">
        <v>19</v>
      </c>
      <c r="K623">
        <v>2</v>
      </c>
      <c r="AH623">
        <v>1</v>
      </c>
      <c r="AJ623">
        <f>SUM(Post[[#This Row],[47]:[75]])</f>
        <v>3</v>
      </c>
    </row>
    <row r="624" spans="1:36" x14ac:dyDescent="0.2">
      <c r="A624" t="s">
        <v>48</v>
      </c>
      <c r="B624" t="s">
        <v>6</v>
      </c>
      <c r="C624">
        <v>15162</v>
      </c>
      <c r="D624" t="s">
        <v>7</v>
      </c>
      <c r="E624" t="s">
        <v>14</v>
      </c>
      <c r="F624" t="s">
        <v>35</v>
      </c>
      <c r="Q624">
        <v>1</v>
      </c>
      <c r="AE624">
        <v>1</v>
      </c>
      <c r="AJ624">
        <f>SUM(Post[[#This Row],[47]:[75]])</f>
        <v>2</v>
      </c>
    </row>
    <row r="625" spans="1:36" x14ac:dyDescent="0.2">
      <c r="A625" t="s">
        <v>48</v>
      </c>
      <c r="B625" t="s">
        <v>6</v>
      </c>
      <c r="C625">
        <v>15162</v>
      </c>
      <c r="D625" t="s">
        <v>7</v>
      </c>
      <c r="E625" t="s">
        <v>14</v>
      </c>
      <c r="F625" t="s">
        <v>20</v>
      </c>
      <c r="AJ625">
        <f>SUM(Post[[#This Row],[47]:[75]])</f>
        <v>0</v>
      </c>
    </row>
    <row r="626" spans="1:36" x14ac:dyDescent="0.2">
      <c r="A626" t="s">
        <v>48</v>
      </c>
      <c r="B626" t="s">
        <v>6</v>
      </c>
      <c r="C626">
        <v>16525</v>
      </c>
      <c r="D626" t="s">
        <v>7</v>
      </c>
      <c r="E626" t="s">
        <v>8</v>
      </c>
      <c r="F626" t="s">
        <v>29</v>
      </c>
      <c r="G626">
        <v>7</v>
      </c>
      <c r="H626">
        <v>7</v>
      </c>
      <c r="I626">
        <v>7</v>
      </c>
      <c r="J626">
        <v>7</v>
      </c>
      <c r="K626">
        <v>6</v>
      </c>
      <c r="L626">
        <v>3</v>
      </c>
      <c r="N626">
        <v>7</v>
      </c>
      <c r="O626">
        <v>6</v>
      </c>
      <c r="P626">
        <v>7</v>
      </c>
      <c r="Q626">
        <v>7</v>
      </c>
      <c r="R626">
        <v>6</v>
      </c>
      <c r="S626">
        <v>7</v>
      </c>
      <c r="T626">
        <v>7</v>
      </c>
      <c r="U626">
        <v>7</v>
      </c>
      <c r="V626">
        <v>6</v>
      </c>
      <c r="W626">
        <v>7</v>
      </c>
      <c r="X626">
        <v>7</v>
      </c>
      <c r="Y626">
        <v>7</v>
      </c>
      <c r="Z626">
        <v>7</v>
      </c>
      <c r="AA626">
        <v>7</v>
      </c>
      <c r="AB626">
        <v>7</v>
      </c>
      <c r="AC626">
        <v>7</v>
      </c>
      <c r="AD626">
        <v>7</v>
      </c>
      <c r="AE626">
        <v>6</v>
      </c>
      <c r="AF626">
        <v>7</v>
      </c>
      <c r="AG626">
        <v>6</v>
      </c>
      <c r="AI626">
        <v>3</v>
      </c>
      <c r="AJ626">
        <f>SUM(Post[[#This Row],[47]:[75]])</f>
        <v>175</v>
      </c>
    </row>
    <row r="627" spans="1:36" x14ac:dyDescent="0.2">
      <c r="A627" t="s">
        <v>48</v>
      </c>
      <c r="B627" t="s">
        <v>6</v>
      </c>
      <c r="C627">
        <v>17134</v>
      </c>
      <c r="D627" t="s">
        <v>7</v>
      </c>
      <c r="E627" t="s">
        <v>17</v>
      </c>
      <c r="F627" t="s">
        <v>18</v>
      </c>
      <c r="AJ627">
        <f>SUM(Post[[#This Row],[47]:[75]])</f>
        <v>0</v>
      </c>
    </row>
    <row r="628" spans="1:36" x14ac:dyDescent="0.2">
      <c r="A628" t="s">
        <v>48</v>
      </c>
      <c r="B628" t="s">
        <v>6</v>
      </c>
      <c r="C628">
        <v>17134</v>
      </c>
      <c r="D628" t="s">
        <v>7</v>
      </c>
      <c r="E628" t="s">
        <v>14</v>
      </c>
      <c r="F628" t="s">
        <v>19</v>
      </c>
      <c r="AJ628">
        <f>SUM(Post[[#This Row],[47]:[75]])</f>
        <v>0</v>
      </c>
    </row>
    <row r="629" spans="1:36" x14ac:dyDescent="0.2">
      <c r="A629" t="s">
        <v>48</v>
      </c>
      <c r="B629" t="s">
        <v>6</v>
      </c>
      <c r="C629">
        <v>17414</v>
      </c>
      <c r="D629" t="s">
        <v>7</v>
      </c>
      <c r="E629" t="s">
        <v>8</v>
      </c>
      <c r="F629" t="s">
        <v>9</v>
      </c>
      <c r="AJ629">
        <f>SUM(Post[[#This Row],[47]:[75]])</f>
        <v>0</v>
      </c>
    </row>
    <row r="630" spans="1:36" x14ac:dyDescent="0.2">
      <c r="A630" t="s">
        <v>48</v>
      </c>
      <c r="B630" t="s">
        <v>6</v>
      </c>
      <c r="C630">
        <v>17426</v>
      </c>
      <c r="D630" t="s">
        <v>7</v>
      </c>
      <c r="E630" t="s">
        <v>14</v>
      </c>
      <c r="F630" t="s">
        <v>21</v>
      </c>
      <c r="R630">
        <v>1</v>
      </c>
      <c r="S630">
        <v>1</v>
      </c>
      <c r="AJ630">
        <f>SUM(Post[[#This Row],[47]:[75]])</f>
        <v>2</v>
      </c>
    </row>
    <row r="631" spans="1:36" x14ac:dyDescent="0.2">
      <c r="A631" t="s">
        <v>48</v>
      </c>
      <c r="B631" t="s">
        <v>6</v>
      </c>
      <c r="C631">
        <v>19451</v>
      </c>
      <c r="D631" t="s">
        <v>7</v>
      </c>
      <c r="E631" t="s">
        <v>8</v>
      </c>
      <c r="F631" t="s">
        <v>9</v>
      </c>
      <c r="J631">
        <v>1</v>
      </c>
      <c r="S631">
        <v>1</v>
      </c>
      <c r="AG631">
        <v>1</v>
      </c>
      <c r="AJ631">
        <f>SUM(Post[[#This Row],[47]:[75]])</f>
        <v>3</v>
      </c>
    </row>
    <row r="632" spans="1:36" x14ac:dyDescent="0.2">
      <c r="A632" t="s">
        <v>48</v>
      </c>
      <c r="B632" t="s">
        <v>6</v>
      </c>
      <c r="C632">
        <v>19786</v>
      </c>
      <c r="D632" t="s">
        <v>7</v>
      </c>
      <c r="E632" t="s">
        <v>8</v>
      </c>
      <c r="F632" t="s">
        <v>23</v>
      </c>
      <c r="P632">
        <v>1</v>
      </c>
      <c r="AJ632">
        <f>SUM(Post[[#This Row],[47]:[75]])</f>
        <v>1</v>
      </c>
    </row>
    <row r="633" spans="1:36" x14ac:dyDescent="0.2">
      <c r="A633" t="s">
        <v>48</v>
      </c>
      <c r="B633" t="s">
        <v>6</v>
      </c>
      <c r="C633">
        <v>19786</v>
      </c>
      <c r="D633" t="s">
        <v>7</v>
      </c>
      <c r="E633" t="s">
        <v>8</v>
      </c>
      <c r="F633" t="s">
        <v>9</v>
      </c>
      <c r="G633">
        <v>1</v>
      </c>
      <c r="H633">
        <v>2</v>
      </c>
      <c r="I633">
        <v>1</v>
      </c>
      <c r="J633">
        <v>2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f>SUM(Post[[#This Row],[47]:[75]])</f>
        <v>27</v>
      </c>
    </row>
    <row r="634" spans="1:36" x14ac:dyDescent="0.2">
      <c r="A634" t="s">
        <v>48</v>
      </c>
      <c r="B634" t="s">
        <v>6</v>
      </c>
      <c r="C634">
        <v>20460</v>
      </c>
      <c r="D634" t="s">
        <v>7</v>
      </c>
      <c r="E634" t="s">
        <v>14</v>
      </c>
      <c r="F634" t="s">
        <v>20</v>
      </c>
      <c r="AJ634">
        <f>SUM(Post[[#This Row],[47]:[75]])</f>
        <v>0</v>
      </c>
    </row>
    <row r="635" spans="1:36" x14ac:dyDescent="0.2">
      <c r="A635" t="s">
        <v>48</v>
      </c>
      <c r="B635" t="s">
        <v>6</v>
      </c>
      <c r="C635">
        <v>20657</v>
      </c>
      <c r="D635" t="s">
        <v>7</v>
      </c>
      <c r="E635" t="s">
        <v>14</v>
      </c>
      <c r="F635" t="s">
        <v>20</v>
      </c>
      <c r="J635">
        <v>1</v>
      </c>
      <c r="AJ635">
        <f>SUM(Post[[#This Row],[47]:[75]])</f>
        <v>1</v>
      </c>
    </row>
    <row r="636" spans="1:36" x14ac:dyDescent="0.2">
      <c r="A636" t="s">
        <v>48</v>
      </c>
      <c r="B636" t="s">
        <v>6</v>
      </c>
      <c r="C636">
        <v>20835</v>
      </c>
      <c r="D636" t="s">
        <v>7</v>
      </c>
      <c r="E636" t="s">
        <v>8</v>
      </c>
      <c r="F636" t="s">
        <v>9</v>
      </c>
      <c r="V636">
        <v>1</v>
      </c>
      <c r="AJ636">
        <f>SUM(Post[[#This Row],[47]:[75]])</f>
        <v>1</v>
      </c>
    </row>
    <row r="637" spans="1:36" x14ac:dyDescent="0.2">
      <c r="A637" t="s">
        <v>48</v>
      </c>
      <c r="B637" t="s">
        <v>6</v>
      </c>
      <c r="C637">
        <v>20835</v>
      </c>
      <c r="D637" t="s">
        <v>7</v>
      </c>
      <c r="E637" t="s">
        <v>14</v>
      </c>
      <c r="F637" t="s">
        <v>35</v>
      </c>
      <c r="J637">
        <v>1</v>
      </c>
      <c r="V637">
        <v>2</v>
      </c>
      <c r="AJ637">
        <f>SUM(Post[[#This Row],[47]:[75]])</f>
        <v>3</v>
      </c>
    </row>
    <row r="638" spans="1:36" x14ac:dyDescent="0.2">
      <c r="A638" t="s">
        <v>48</v>
      </c>
      <c r="B638" t="s">
        <v>6</v>
      </c>
      <c r="C638">
        <v>21170</v>
      </c>
      <c r="D638" t="s">
        <v>7</v>
      </c>
      <c r="E638" t="s">
        <v>8</v>
      </c>
      <c r="F638" t="s">
        <v>23</v>
      </c>
      <c r="K638">
        <v>1</v>
      </c>
      <c r="AD638">
        <v>1</v>
      </c>
      <c r="AJ638">
        <f>SUM(Post[[#This Row],[47]:[75]])</f>
        <v>2</v>
      </c>
    </row>
    <row r="639" spans="1:36" x14ac:dyDescent="0.2">
      <c r="A639" t="s">
        <v>48</v>
      </c>
      <c r="B639" t="s">
        <v>6</v>
      </c>
      <c r="C639">
        <v>21554</v>
      </c>
      <c r="D639" t="s">
        <v>7</v>
      </c>
      <c r="E639" t="s">
        <v>8</v>
      </c>
      <c r="F639" t="s">
        <v>23</v>
      </c>
      <c r="L639">
        <v>1</v>
      </c>
      <c r="Z639">
        <v>1</v>
      </c>
      <c r="AJ639">
        <f>SUM(Post[[#This Row],[47]:[75]])</f>
        <v>2</v>
      </c>
    </row>
    <row r="640" spans="1:36" x14ac:dyDescent="0.2">
      <c r="A640" t="s">
        <v>48</v>
      </c>
      <c r="B640" t="s">
        <v>6</v>
      </c>
      <c r="C640">
        <v>22335</v>
      </c>
      <c r="D640" t="s">
        <v>7</v>
      </c>
      <c r="E640" t="s">
        <v>14</v>
      </c>
      <c r="F640" t="s">
        <v>20</v>
      </c>
      <c r="AJ640">
        <f>SUM(Post[[#This Row],[47]:[75]])</f>
        <v>0</v>
      </c>
    </row>
    <row r="641" spans="1:36" x14ac:dyDescent="0.2">
      <c r="A641" t="s">
        <v>48</v>
      </c>
      <c r="B641" t="s">
        <v>6</v>
      </c>
      <c r="C641">
        <v>22714</v>
      </c>
      <c r="D641" t="s">
        <v>7</v>
      </c>
      <c r="E641" t="s">
        <v>8</v>
      </c>
      <c r="F641" t="s">
        <v>9</v>
      </c>
      <c r="AJ641">
        <f>SUM(Post[[#This Row],[47]:[75]])</f>
        <v>0</v>
      </c>
    </row>
    <row r="642" spans="1:36" x14ac:dyDescent="0.2">
      <c r="A642" t="s">
        <v>48</v>
      </c>
      <c r="B642" t="s">
        <v>6</v>
      </c>
      <c r="C642">
        <v>22827</v>
      </c>
      <c r="D642" t="s">
        <v>7</v>
      </c>
      <c r="E642" t="s">
        <v>14</v>
      </c>
      <c r="F642" t="s">
        <v>19</v>
      </c>
      <c r="AJ642">
        <f>SUM(Post[[#This Row],[47]:[75]])</f>
        <v>0</v>
      </c>
    </row>
    <row r="643" spans="1:36" x14ac:dyDescent="0.2">
      <c r="A643" t="s">
        <v>48</v>
      </c>
      <c r="B643" t="s">
        <v>6</v>
      </c>
      <c r="C643">
        <v>27844</v>
      </c>
      <c r="D643" t="s">
        <v>7</v>
      </c>
      <c r="E643" t="s">
        <v>8</v>
      </c>
      <c r="F643" t="s">
        <v>23</v>
      </c>
      <c r="K643">
        <v>1</v>
      </c>
      <c r="AE643">
        <v>1</v>
      </c>
      <c r="AJ643">
        <f>SUM(Post[[#This Row],[47]:[75]])</f>
        <v>2</v>
      </c>
    </row>
    <row r="644" spans="1:36" x14ac:dyDescent="0.2">
      <c r="A644" t="s">
        <v>48</v>
      </c>
      <c r="B644" t="s">
        <v>6</v>
      </c>
      <c r="C644">
        <v>29937</v>
      </c>
      <c r="D644" t="s">
        <v>7</v>
      </c>
      <c r="E644" t="s">
        <v>8</v>
      </c>
      <c r="F644" t="s">
        <v>23</v>
      </c>
      <c r="O644">
        <v>1</v>
      </c>
      <c r="S644">
        <v>2</v>
      </c>
      <c r="V644">
        <v>1</v>
      </c>
      <c r="AJ644">
        <f>SUM(Post[[#This Row],[47]:[75]])</f>
        <v>4</v>
      </c>
    </row>
    <row r="645" spans="1:36" x14ac:dyDescent="0.2">
      <c r="A645" t="s">
        <v>48</v>
      </c>
      <c r="B645" t="s">
        <v>6</v>
      </c>
      <c r="C645">
        <v>29937</v>
      </c>
      <c r="D645" t="s">
        <v>7</v>
      </c>
      <c r="E645" t="s">
        <v>26</v>
      </c>
      <c r="F645" t="s">
        <v>27</v>
      </c>
      <c r="I645">
        <v>1</v>
      </c>
      <c r="O645">
        <v>1</v>
      </c>
      <c r="W645">
        <v>1</v>
      </c>
      <c r="AC645">
        <v>1</v>
      </c>
      <c r="AH645">
        <v>1</v>
      </c>
      <c r="AJ645">
        <f>SUM(Post[[#This Row],[47]:[75]])</f>
        <v>5</v>
      </c>
    </row>
    <row r="646" spans="1:36" x14ac:dyDescent="0.2">
      <c r="A646" t="s">
        <v>48</v>
      </c>
      <c r="B646" t="s">
        <v>6</v>
      </c>
      <c r="C646">
        <v>30772</v>
      </c>
      <c r="D646" t="s">
        <v>7</v>
      </c>
      <c r="E646" t="s">
        <v>10</v>
      </c>
      <c r="F646" t="s">
        <v>11</v>
      </c>
      <c r="U646">
        <v>1</v>
      </c>
      <c r="AF646">
        <v>1</v>
      </c>
      <c r="AJ646">
        <f>SUM(Post[[#This Row],[47]:[75]])</f>
        <v>2</v>
      </c>
    </row>
    <row r="647" spans="1:36" x14ac:dyDescent="0.2">
      <c r="A647" t="s">
        <v>48</v>
      </c>
      <c r="B647" t="s">
        <v>6</v>
      </c>
      <c r="C647">
        <v>30772</v>
      </c>
      <c r="D647" t="s">
        <v>7</v>
      </c>
      <c r="E647" t="s">
        <v>8</v>
      </c>
      <c r="F647" t="s">
        <v>9</v>
      </c>
      <c r="H647">
        <v>2</v>
      </c>
      <c r="O647">
        <v>2</v>
      </c>
      <c r="AB647">
        <v>1</v>
      </c>
      <c r="AJ647">
        <f>SUM(Post[[#This Row],[47]:[75]])</f>
        <v>5</v>
      </c>
    </row>
    <row r="648" spans="1:36" x14ac:dyDescent="0.2">
      <c r="A648" t="s">
        <v>48</v>
      </c>
      <c r="B648" t="s">
        <v>6</v>
      </c>
      <c r="C648">
        <v>30941</v>
      </c>
      <c r="D648" t="s">
        <v>7</v>
      </c>
      <c r="E648" t="s">
        <v>14</v>
      </c>
      <c r="F648" t="s">
        <v>20</v>
      </c>
      <c r="H648">
        <v>1</v>
      </c>
      <c r="V648">
        <v>1</v>
      </c>
      <c r="AJ648">
        <f>SUM(Post[[#This Row],[47]:[75]])</f>
        <v>2</v>
      </c>
    </row>
    <row r="649" spans="1:36" x14ac:dyDescent="0.2">
      <c r="A649" t="s">
        <v>48</v>
      </c>
      <c r="B649" t="s">
        <v>6</v>
      </c>
      <c r="C649">
        <v>32756</v>
      </c>
      <c r="D649" t="s">
        <v>7</v>
      </c>
      <c r="E649" t="s">
        <v>14</v>
      </c>
      <c r="F649" t="s">
        <v>20</v>
      </c>
      <c r="J649">
        <v>1</v>
      </c>
      <c r="P649">
        <v>1</v>
      </c>
      <c r="AG649">
        <v>1</v>
      </c>
      <c r="AJ649">
        <f>SUM(Post[[#This Row],[47]:[75]])</f>
        <v>3</v>
      </c>
    </row>
    <row r="650" spans="1:36" x14ac:dyDescent="0.2">
      <c r="A650" t="s">
        <v>48</v>
      </c>
      <c r="B650" t="s">
        <v>6</v>
      </c>
      <c r="C650">
        <v>33329</v>
      </c>
      <c r="D650" t="s">
        <v>7</v>
      </c>
      <c r="E650" t="s">
        <v>14</v>
      </c>
      <c r="F650" t="s">
        <v>20</v>
      </c>
      <c r="S650">
        <v>1</v>
      </c>
      <c r="AG650">
        <v>2</v>
      </c>
      <c r="AJ650">
        <f>SUM(Post[[#This Row],[47]:[75]])</f>
        <v>3</v>
      </c>
    </row>
    <row r="651" spans="1:36" x14ac:dyDescent="0.2">
      <c r="A651" t="s">
        <v>48</v>
      </c>
      <c r="B651" t="s">
        <v>6</v>
      </c>
      <c r="C651">
        <v>33423</v>
      </c>
      <c r="D651" t="s">
        <v>7</v>
      </c>
      <c r="E651" t="s">
        <v>8</v>
      </c>
      <c r="F651" t="s">
        <v>9</v>
      </c>
      <c r="AJ651">
        <f>SUM(Post[[#This Row],[47]:[75]])</f>
        <v>0</v>
      </c>
    </row>
    <row r="652" spans="1:36" x14ac:dyDescent="0.2">
      <c r="A652" t="s">
        <v>48</v>
      </c>
      <c r="B652" t="s">
        <v>6</v>
      </c>
      <c r="C652">
        <v>33719</v>
      </c>
      <c r="D652" t="s">
        <v>7</v>
      </c>
      <c r="E652" t="s">
        <v>14</v>
      </c>
      <c r="F652" t="s">
        <v>20</v>
      </c>
      <c r="AB652">
        <v>1</v>
      </c>
      <c r="AF652">
        <v>1</v>
      </c>
      <c r="AJ652">
        <f>SUM(Post[[#This Row],[47]:[75]])</f>
        <v>2</v>
      </c>
    </row>
    <row r="653" spans="1:36" x14ac:dyDescent="0.2">
      <c r="A653" t="s">
        <v>48</v>
      </c>
      <c r="B653" t="s">
        <v>6</v>
      </c>
      <c r="C653">
        <v>80</v>
      </c>
      <c r="D653" t="s">
        <v>22</v>
      </c>
      <c r="E653" t="s">
        <v>8</v>
      </c>
      <c r="F653" t="s">
        <v>9</v>
      </c>
      <c r="P653">
        <v>1</v>
      </c>
      <c r="AC653">
        <v>1</v>
      </c>
      <c r="AJ653">
        <f>SUM(Post[[#This Row],[47]:[75]])</f>
        <v>2</v>
      </c>
    </row>
    <row r="654" spans="1:36" x14ac:dyDescent="0.2">
      <c r="A654" t="s">
        <v>48</v>
      </c>
      <c r="B654" t="s">
        <v>6</v>
      </c>
      <c r="C654">
        <v>497</v>
      </c>
      <c r="D654" t="s">
        <v>22</v>
      </c>
      <c r="E654" t="s">
        <v>14</v>
      </c>
      <c r="F654" t="s">
        <v>20</v>
      </c>
      <c r="K654">
        <v>1</v>
      </c>
      <c r="X654">
        <v>1</v>
      </c>
      <c r="AE654">
        <v>1</v>
      </c>
      <c r="AJ654">
        <f>SUM(Post[[#This Row],[47]:[75]])</f>
        <v>3</v>
      </c>
    </row>
    <row r="655" spans="1:36" x14ac:dyDescent="0.2">
      <c r="A655" t="s">
        <v>48</v>
      </c>
      <c r="B655" t="s">
        <v>6</v>
      </c>
      <c r="C655">
        <v>3633</v>
      </c>
      <c r="D655" t="s">
        <v>22</v>
      </c>
      <c r="E655" t="s">
        <v>8</v>
      </c>
      <c r="F655" t="s">
        <v>23</v>
      </c>
      <c r="V655">
        <v>2</v>
      </c>
      <c r="W655">
        <v>3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J655">
        <f>SUM(Post[[#This Row],[47]:[75]])</f>
        <v>11</v>
      </c>
    </row>
    <row r="656" spans="1:36" x14ac:dyDescent="0.2">
      <c r="A656" t="s">
        <v>48</v>
      </c>
      <c r="B656" t="s">
        <v>6</v>
      </c>
      <c r="C656">
        <v>3633</v>
      </c>
      <c r="D656" t="s">
        <v>22</v>
      </c>
      <c r="E656" t="s">
        <v>8</v>
      </c>
      <c r="F656" t="s">
        <v>9</v>
      </c>
      <c r="AE656">
        <v>2</v>
      </c>
      <c r="AF656">
        <v>1</v>
      </c>
      <c r="AG656">
        <v>1</v>
      </c>
      <c r="AH656">
        <v>1</v>
      </c>
      <c r="AI656">
        <v>1</v>
      </c>
      <c r="AJ656">
        <f>SUM(Post[[#This Row],[47]:[75]])</f>
        <v>6</v>
      </c>
    </row>
    <row r="657" spans="1:36" x14ac:dyDescent="0.2">
      <c r="A657" t="s">
        <v>48</v>
      </c>
      <c r="B657" t="s">
        <v>6</v>
      </c>
      <c r="C657">
        <v>4592</v>
      </c>
      <c r="D657" t="s">
        <v>22</v>
      </c>
      <c r="E657" t="s">
        <v>14</v>
      </c>
      <c r="F657" t="s">
        <v>21</v>
      </c>
      <c r="H657">
        <v>1</v>
      </c>
      <c r="N657">
        <v>1</v>
      </c>
      <c r="S657">
        <v>1</v>
      </c>
      <c r="X657">
        <v>1</v>
      </c>
      <c r="AC657">
        <v>1</v>
      </c>
      <c r="AH657">
        <v>1</v>
      </c>
      <c r="AJ657">
        <f>SUM(Post[[#This Row],[47]:[75]])</f>
        <v>6</v>
      </c>
    </row>
    <row r="658" spans="1:36" x14ac:dyDescent="0.2">
      <c r="A658" t="s">
        <v>48</v>
      </c>
      <c r="B658" t="s">
        <v>6</v>
      </c>
      <c r="C658">
        <v>4869</v>
      </c>
      <c r="D658" t="s">
        <v>22</v>
      </c>
      <c r="E658" t="s">
        <v>14</v>
      </c>
      <c r="F658" t="s">
        <v>21</v>
      </c>
      <c r="R658">
        <v>1</v>
      </c>
      <c r="AH658">
        <v>1</v>
      </c>
      <c r="AJ658">
        <f>SUM(Post[[#This Row],[47]:[75]])</f>
        <v>2</v>
      </c>
    </row>
    <row r="659" spans="1:36" x14ac:dyDescent="0.2">
      <c r="A659" t="s">
        <v>48</v>
      </c>
      <c r="B659" t="s">
        <v>6</v>
      </c>
      <c r="C659">
        <v>5943</v>
      </c>
      <c r="D659" t="s">
        <v>22</v>
      </c>
      <c r="E659" t="s">
        <v>8</v>
      </c>
      <c r="F659" t="s">
        <v>9</v>
      </c>
      <c r="H659">
        <v>1</v>
      </c>
      <c r="J659">
        <v>1</v>
      </c>
      <c r="L659">
        <v>1</v>
      </c>
      <c r="O659">
        <v>1</v>
      </c>
      <c r="Q659">
        <v>1</v>
      </c>
      <c r="S659">
        <v>1</v>
      </c>
      <c r="T659">
        <v>1</v>
      </c>
      <c r="W659">
        <v>1</v>
      </c>
      <c r="Y659">
        <v>1</v>
      </c>
      <c r="AA659">
        <v>1</v>
      </c>
      <c r="AC659">
        <v>1</v>
      </c>
      <c r="AE659">
        <v>1</v>
      </c>
      <c r="AG659">
        <v>1</v>
      </c>
      <c r="AI659">
        <v>1</v>
      </c>
      <c r="AJ659">
        <f>SUM(Post[[#This Row],[47]:[75]])</f>
        <v>14</v>
      </c>
    </row>
    <row r="660" spans="1:36" x14ac:dyDescent="0.2">
      <c r="A660" t="s">
        <v>48</v>
      </c>
      <c r="B660" t="s">
        <v>6</v>
      </c>
      <c r="C660">
        <v>8156</v>
      </c>
      <c r="D660" t="s">
        <v>22</v>
      </c>
      <c r="E660" t="s">
        <v>8</v>
      </c>
      <c r="F660" t="s">
        <v>9</v>
      </c>
      <c r="AJ660">
        <f>SUM(Post[[#This Row],[47]:[75]])</f>
        <v>0</v>
      </c>
    </row>
    <row r="661" spans="1:36" x14ac:dyDescent="0.2">
      <c r="A661" t="s">
        <v>48</v>
      </c>
      <c r="B661" t="s">
        <v>6</v>
      </c>
      <c r="C661">
        <v>8214</v>
      </c>
      <c r="D661" t="s">
        <v>22</v>
      </c>
      <c r="E661" t="s">
        <v>8</v>
      </c>
      <c r="F661" t="s">
        <v>23</v>
      </c>
      <c r="AJ661">
        <f>SUM(Post[[#This Row],[47]:[75]])</f>
        <v>0</v>
      </c>
    </row>
    <row r="662" spans="1:36" x14ac:dyDescent="0.2">
      <c r="A662" t="s">
        <v>48</v>
      </c>
      <c r="B662" t="s">
        <v>6</v>
      </c>
      <c r="C662">
        <v>8904</v>
      </c>
      <c r="D662" t="s">
        <v>22</v>
      </c>
      <c r="E662" t="s">
        <v>14</v>
      </c>
      <c r="F662" t="s">
        <v>20</v>
      </c>
      <c r="Z662">
        <v>1</v>
      </c>
      <c r="AJ662">
        <f>SUM(Post[[#This Row],[47]:[75]])</f>
        <v>1</v>
      </c>
    </row>
    <row r="663" spans="1:36" x14ac:dyDescent="0.2">
      <c r="A663" t="s">
        <v>48</v>
      </c>
      <c r="B663" t="s">
        <v>6</v>
      </c>
      <c r="C663">
        <v>9528</v>
      </c>
      <c r="D663" t="s">
        <v>22</v>
      </c>
      <c r="E663" t="s">
        <v>14</v>
      </c>
      <c r="F663" t="s">
        <v>19</v>
      </c>
      <c r="AJ663">
        <f>SUM(Post[[#This Row],[47]:[75]])</f>
        <v>0</v>
      </c>
    </row>
    <row r="664" spans="1:36" x14ac:dyDescent="0.2">
      <c r="A664" t="s">
        <v>48</v>
      </c>
      <c r="B664" t="s">
        <v>6</v>
      </c>
      <c r="C664">
        <v>9528</v>
      </c>
      <c r="D664" t="s">
        <v>22</v>
      </c>
      <c r="E664" t="s">
        <v>14</v>
      </c>
      <c r="F664" t="s">
        <v>20</v>
      </c>
      <c r="G664">
        <v>1</v>
      </c>
      <c r="U664">
        <v>1</v>
      </c>
      <c r="AH664">
        <v>1</v>
      </c>
      <c r="AJ664">
        <f>SUM(Post[[#This Row],[47]:[75]])</f>
        <v>3</v>
      </c>
    </row>
    <row r="665" spans="1:36" x14ac:dyDescent="0.2">
      <c r="A665" t="s">
        <v>48</v>
      </c>
      <c r="B665" t="s">
        <v>6</v>
      </c>
      <c r="C665">
        <v>9547</v>
      </c>
      <c r="D665" t="s">
        <v>22</v>
      </c>
      <c r="E665" t="s">
        <v>8</v>
      </c>
      <c r="F665" t="s">
        <v>23</v>
      </c>
      <c r="Z665">
        <v>1</v>
      </c>
      <c r="AJ665">
        <f>SUM(Post[[#This Row],[47]:[75]])</f>
        <v>1</v>
      </c>
    </row>
    <row r="666" spans="1:36" x14ac:dyDescent="0.2">
      <c r="A666" t="s">
        <v>48</v>
      </c>
      <c r="B666" t="s">
        <v>6</v>
      </c>
      <c r="C666">
        <v>9555</v>
      </c>
      <c r="D666" t="s">
        <v>22</v>
      </c>
      <c r="E666" t="s">
        <v>8</v>
      </c>
      <c r="F666" t="s">
        <v>29</v>
      </c>
      <c r="G666">
        <v>2</v>
      </c>
      <c r="I666">
        <v>1</v>
      </c>
      <c r="J666">
        <v>1</v>
      </c>
      <c r="K666">
        <v>1</v>
      </c>
      <c r="L666">
        <v>1</v>
      </c>
      <c r="N666">
        <v>1</v>
      </c>
      <c r="O666">
        <v>1</v>
      </c>
      <c r="P666">
        <v>1</v>
      </c>
      <c r="R666">
        <v>1</v>
      </c>
      <c r="S666">
        <v>2</v>
      </c>
      <c r="V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f>SUM(Post[[#This Row],[47]:[75]])</f>
        <v>26</v>
      </c>
    </row>
    <row r="667" spans="1:36" x14ac:dyDescent="0.2">
      <c r="A667" t="s">
        <v>48</v>
      </c>
      <c r="B667" t="s">
        <v>6</v>
      </c>
      <c r="C667">
        <v>10276</v>
      </c>
      <c r="D667" t="s">
        <v>22</v>
      </c>
      <c r="E667" t="s">
        <v>8</v>
      </c>
      <c r="F667" t="s">
        <v>30</v>
      </c>
      <c r="K667">
        <v>1</v>
      </c>
      <c r="Z667">
        <v>1</v>
      </c>
      <c r="AJ667">
        <f>SUM(Post[[#This Row],[47]:[75]])</f>
        <v>2</v>
      </c>
    </row>
    <row r="668" spans="1:36" x14ac:dyDescent="0.2">
      <c r="A668" t="s">
        <v>48</v>
      </c>
      <c r="B668" t="s">
        <v>6</v>
      </c>
      <c r="C668">
        <v>10276</v>
      </c>
      <c r="D668" t="s">
        <v>22</v>
      </c>
      <c r="E668" t="s">
        <v>26</v>
      </c>
      <c r="F668" t="s">
        <v>27</v>
      </c>
      <c r="K668">
        <v>1</v>
      </c>
      <c r="Z668">
        <v>1</v>
      </c>
      <c r="AJ668">
        <f>SUM(Post[[#This Row],[47]:[75]])</f>
        <v>2</v>
      </c>
    </row>
    <row r="669" spans="1:36" x14ac:dyDescent="0.2">
      <c r="A669" t="s">
        <v>48</v>
      </c>
      <c r="B669" t="s">
        <v>6</v>
      </c>
      <c r="C669">
        <v>10510</v>
      </c>
      <c r="D669" t="s">
        <v>22</v>
      </c>
      <c r="E669" t="s">
        <v>8</v>
      </c>
      <c r="F669" t="s">
        <v>9</v>
      </c>
      <c r="W669">
        <v>3</v>
      </c>
      <c r="AA669">
        <v>1</v>
      </c>
      <c r="AF669">
        <v>3</v>
      </c>
      <c r="AJ669">
        <f>SUM(Post[[#This Row],[47]:[75]])</f>
        <v>7</v>
      </c>
    </row>
    <row r="670" spans="1:36" x14ac:dyDescent="0.2">
      <c r="A670" t="s">
        <v>48</v>
      </c>
      <c r="B670" t="s">
        <v>6</v>
      </c>
      <c r="C670">
        <v>10510</v>
      </c>
      <c r="D670" t="s">
        <v>22</v>
      </c>
      <c r="E670" t="s">
        <v>14</v>
      </c>
      <c r="F670" t="s">
        <v>20</v>
      </c>
      <c r="P670">
        <v>1</v>
      </c>
      <c r="AA670">
        <v>1</v>
      </c>
      <c r="AJ670">
        <f>SUM(Post[[#This Row],[47]:[75]])</f>
        <v>2</v>
      </c>
    </row>
    <row r="671" spans="1:36" x14ac:dyDescent="0.2">
      <c r="A671" t="s">
        <v>48</v>
      </c>
      <c r="B671" t="s">
        <v>6</v>
      </c>
      <c r="C671">
        <v>11202</v>
      </c>
      <c r="D671" t="s">
        <v>22</v>
      </c>
      <c r="E671" t="s">
        <v>8</v>
      </c>
      <c r="F671" t="s">
        <v>23</v>
      </c>
      <c r="O671">
        <v>1</v>
      </c>
      <c r="AD671">
        <v>2</v>
      </c>
      <c r="AJ671">
        <f>SUM(Post[[#This Row],[47]:[75]])</f>
        <v>3</v>
      </c>
    </row>
    <row r="672" spans="1:36" x14ac:dyDescent="0.2">
      <c r="A672" t="s">
        <v>48</v>
      </c>
      <c r="B672" t="s">
        <v>6</v>
      </c>
      <c r="C672">
        <v>15642</v>
      </c>
      <c r="D672" t="s">
        <v>22</v>
      </c>
      <c r="E672" t="s">
        <v>14</v>
      </c>
      <c r="F672" t="s">
        <v>19</v>
      </c>
      <c r="AD672">
        <v>1</v>
      </c>
      <c r="AJ672">
        <f>SUM(Post[[#This Row],[47]:[75]])</f>
        <v>1</v>
      </c>
    </row>
    <row r="673" spans="1:36" x14ac:dyDescent="0.2">
      <c r="A673" t="s">
        <v>48</v>
      </c>
      <c r="B673" t="s">
        <v>6</v>
      </c>
      <c r="C673">
        <v>15642</v>
      </c>
      <c r="D673" t="s">
        <v>22</v>
      </c>
      <c r="E673" t="s">
        <v>14</v>
      </c>
      <c r="F673" t="s">
        <v>20</v>
      </c>
      <c r="J673">
        <v>1</v>
      </c>
      <c r="Y673">
        <v>1</v>
      </c>
      <c r="AJ673">
        <f>SUM(Post[[#This Row],[47]:[75]])</f>
        <v>2</v>
      </c>
    </row>
    <row r="674" spans="1:36" x14ac:dyDescent="0.2">
      <c r="A674" t="s">
        <v>48</v>
      </c>
      <c r="B674" t="s">
        <v>6</v>
      </c>
      <c r="C674">
        <v>17814</v>
      </c>
      <c r="D674" t="s">
        <v>22</v>
      </c>
      <c r="E674" t="s">
        <v>10</v>
      </c>
      <c r="F674" t="s">
        <v>11</v>
      </c>
      <c r="J674">
        <v>1</v>
      </c>
      <c r="V674">
        <v>1</v>
      </c>
      <c r="AJ674">
        <f>SUM(Post[[#This Row],[47]:[75]])</f>
        <v>2</v>
      </c>
    </row>
    <row r="675" spans="1:36" x14ac:dyDescent="0.2">
      <c r="A675" t="s">
        <v>48</v>
      </c>
      <c r="B675" t="s">
        <v>6</v>
      </c>
      <c r="C675">
        <v>18970</v>
      </c>
      <c r="D675" t="s">
        <v>22</v>
      </c>
      <c r="E675" t="s">
        <v>8</v>
      </c>
      <c r="F675" t="s">
        <v>29</v>
      </c>
      <c r="H675">
        <v>1</v>
      </c>
      <c r="N675">
        <v>1</v>
      </c>
      <c r="AJ675">
        <f>SUM(Post[[#This Row],[47]:[75]])</f>
        <v>2</v>
      </c>
    </row>
    <row r="676" spans="1:36" x14ac:dyDescent="0.2">
      <c r="A676" t="s">
        <v>48</v>
      </c>
      <c r="B676" t="s">
        <v>6</v>
      </c>
      <c r="C676">
        <v>21786</v>
      </c>
      <c r="D676" t="s">
        <v>22</v>
      </c>
      <c r="E676" t="s">
        <v>10</v>
      </c>
      <c r="F676" t="s">
        <v>11</v>
      </c>
      <c r="AJ676">
        <f>SUM(Post[[#This Row],[47]:[75]])</f>
        <v>0</v>
      </c>
    </row>
    <row r="677" spans="1:36" x14ac:dyDescent="0.2">
      <c r="A677" t="s">
        <v>48</v>
      </c>
      <c r="B677" t="s">
        <v>6</v>
      </c>
      <c r="C677">
        <v>21786</v>
      </c>
      <c r="D677" t="s">
        <v>22</v>
      </c>
      <c r="E677" t="s">
        <v>14</v>
      </c>
      <c r="F677" t="s">
        <v>19</v>
      </c>
      <c r="AJ677">
        <f>SUM(Post[[#This Row],[47]:[75]])</f>
        <v>0</v>
      </c>
    </row>
    <row r="678" spans="1:36" x14ac:dyDescent="0.2">
      <c r="A678" t="s">
        <v>48</v>
      </c>
      <c r="B678" t="s">
        <v>6</v>
      </c>
      <c r="C678">
        <v>28941</v>
      </c>
      <c r="D678" t="s">
        <v>22</v>
      </c>
      <c r="E678" t="s">
        <v>40</v>
      </c>
      <c r="F678" t="s">
        <v>41</v>
      </c>
      <c r="AJ678">
        <f>SUM(Post[[#This Row],[47]:[75]])</f>
        <v>0</v>
      </c>
    </row>
    <row r="679" spans="1:36" x14ac:dyDescent="0.2">
      <c r="A679" t="s">
        <v>48</v>
      </c>
      <c r="B679" t="s">
        <v>6</v>
      </c>
      <c r="C679">
        <v>28941</v>
      </c>
      <c r="D679" t="s">
        <v>22</v>
      </c>
      <c r="E679" t="s">
        <v>14</v>
      </c>
      <c r="F679" t="s">
        <v>20</v>
      </c>
      <c r="H679">
        <v>1</v>
      </c>
      <c r="AE679">
        <v>2</v>
      </c>
      <c r="AJ679">
        <f>SUM(Post[[#This Row],[47]:[75]])</f>
        <v>3</v>
      </c>
    </row>
    <row r="680" spans="1:36" x14ac:dyDescent="0.2">
      <c r="A680" t="s">
        <v>48</v>
      </c>
      <c r="B680" t="s">
        <v>6</v>
      </c>
      <c r="C680">
        <v>29393</v>
      </c>
      <c r="D680" t="s">
        <v>22</v>
      </c>
      <c r="E680" t="s">
        <v>14</v>
      </c>
      <c r="F680" t="s">
        <v>20</v>
      </c>
      <c r="AJ680">
        <f>SUM(Post[[#This Row],[47]:[75]])</f>
        <v>0</v>
      </c>
    </row>
    <row r="681" spans="1:36" x14ac:dyDescent="0.2">
      <c r="A681" t="s">
        <v>48</v>
      </c>
      <c r="B681" t="s">
        <v>6</v>
      </c>
      <c r="C681">
        <v>29938</v>
      </c>
      <c r="D681" t="s">
        <v>22</v>
      </c>
      <c r="E681" t="s">
        <v>40</v>
      </c>
      <c r="F681" t="s">
        <v>41</v>
      </c>
      <c r="J681">
        <v>3</v>
      </c>
      <c r="L681">
        <v>3</v>
      </c>
      <c r="X681">
        <v>1</v>
      </c>
      <c r="AC681">
        <v>1</v>
      </c>
      <c r="AG681">
        <v>2</v>
      </c>
      <c r="AJ681">
        <f>SUM(Post[[#This Row],[47]:[75]])</f>
        <v>10</v>
      </c>
    </row>
    <row r="682" spans="1:36" x14ac:dyDescent="0.2">
      <c r="A682" t="s">
        <v>48</v>
      </c>
      <c r="B682" t="s">
        <v>6</v>
      </c>
      <c r="C682">
        <v>29938</v>
      </c>
      <c r="D682" t="s">
        <v>22</v>
      </c>
      <c r="E682" t="s">
        <v>8</v>
      </c>
      <c r="F682" t="s">
        <v>23</v>
      </c>
      <c r="P682">
        <v>2</v>
      </c>
      <c r="AJ682">
        <f>SUM(Post[[#This Row],[47]:[75]])</f>
        <v>2</v>
      </c>
    </row>
    <row r="683" spans="1:36" x14ac:dyDescent="0.2">
      <c r="A683" t="s">
        <v>48</v>
      </c>
      <c r="B683" t="s">
        <v>6</v>
      </c>
      <c r="C683">
        <v>29938</v>
      </c>
      <c r="D683" t="s">
        <v>22</v>
      </c>
      <c r="E683" t="s">
        <v>14</v>
      </c>
      <c r="F683" t="s">
        <v>20</v>
      </c>
      <c r="H683">
        <v>1</v>
      </c>
      <c r="K683">
        <v>1</v>
      </c>
      <c r="X683">
        <v>1</v>
      </c>
      <c r="AC683">
        <v>2</v>
      </c>
      <c r="AG683">
        <v>1</v>
      </c>
      <c r="AJ683">
        <f>SUM(Post[[#This Row],[47]:[75]])</f>
        <v>6</v>
      </c>
    </row>
    <row r="684" spans="1:36" x14ac:dyDescent="0.2">
      <c r="A684" t="s">
        <v>48</v>
      </c>
      <c r="B684" t="s">
        <v>6</v>
      </c>
      <c r="C684">
        <v>30080</v>
      </c>
      <c r="D684" t="s">
        <v>22</v>
      </c>
      <c r="E684" t="s">
        <v>37</v>
      </c>
      <c r="F684" t="s">
        <v>39</v>
      </c>
      <c r="H684">
        <v>1</v>
      </c>
      <c r="J684">
        <v>1</v>
      </c>
      <c r="K684">
        <v>1</v>
      </c>
      <c r="O684">
        <v>1</v>
      </c>
      <c r="Q684">
        <v>1</v>
      </c>
      <c r="R684">
        <v>1</v>
      </c>
      <c r="T684">
        <v>1</v>
      </c>
      <c r="W684">
        <v>1</v>
      </c>
      <c r="X684">
        <v>1</v>
      </c>
      <c r="Y684">
        <v>1</v>
      </c>
      <c r="AJ684">
        <f>SUM(Post[[#This Row],[47]:[75]])</f>
        <v>10</v>
      </c>
    </row>
    <row r="685" spans="1:36" x14ac:dyDescent="0.2">
      <c r="A685" t="s">
        <v>48</v>
      </c>
      <c r="B685" t="s">
        <v>6</v>
      </c>
      <c r="C685">
        <v>30080</v>
      </c>
      <c r="D685" t="s">
        <v>22</v>
      </c>
      <c r="E685" t="s">
        <v>37</v>
      </c>
      <c r="F685" t="s">
        <v>38</v>
      </c>
      <c r="Y685">
        <v>2</v>
      </c>
      <c r="Z685">
        <v>1</v>
      </c>
      <c r="AB685">
        <v>1</v>
      </c>
      <c r="AD685">
        <v>1</v>
      </c>
      <c r="AE685">
        <v>2</v>
      </c>
      <c r="AG685">
        <v>1</v>
      </c>
      <c r="AJ685">
        <f>SUM(Post[[#This Row],[47]:[75]])</f>
        <v>8</v>
      </c>
    </row>
    <row r="686" spans="1:36" x14ac:dyDescent="0.2">
      <c r="A686" t="s">
        <v>48</v>
      </c>
      <c r="B686" t="s">
        <v>6</v>
      </c>
      <c r="C686">
        <v>30080</v>
      </c>
      <c r="D686" t="s">
        <v>22</v>
      </c>
      <c r="E686" t="s">
        <v>8</v>
      </c>
      <c r="F686" t="s">
        <v>9</v>
      </c>
      <c r="H686">
        <v>1</v>
      </c>
      <c r="J686">
        <v>1</v>
      </c>
      <c r="K686">
        <v>1</v>
      </c>
      <c r="O686">
        <v>1</v>
      </c>
      <c r="Q686">
        <v>1</v>
      </c>
      <c r="R686">
        <v>1</v>
      </c>
      <c r="T686">
        <v>1</v>
      </c>
      <c r="W686">
        <v>1</v>
      </c>
      <c r="X686">
        <v>1</v>
      </c>
      <c r="Y686">
        <v>1</v>
      </c>
      <c r="Z686">
        <v>1</v>
      </c>
      <c r="AB686">
        <v>1</v>
      </c>
      <c r="AD686">
        <v>1</v>
      </c>
      <c r="AE686">
        <v>2</v>
      </c>
      <c r="AG686">
        <v>2</v>
      </c>
      <c r="AJ686">
        <f>SUM(Post[[#This Row],[47]:[75]])</f>
        <v>17</v>
      </c>
    </row>
    <row r="687" spans="1:36" x14ac:dyDescent="0.2">
      <c r="A687" t="s">
        <v>48</v>
      </c>
      <c r="B687" t="s">
        <v>6</v>
      </c>
      <c r="C687">
        <v>28504</v>
      </c>
      <c r="D687" t="s">
        <v>7</v>
      </c>
      <c r="E687" t="s">
        <v>14</v>
      </c>
      <c r="F687" t="s">
        <v>20</v>
      </c>
      <c r="AJ687">
        <f>SUM(Post[[#This Row],[47]:[75]])</f>
        <v>0</v>
      </c>
    </row>
    <row r="688" spans="1:36" x14ac:dyDescent="0.2">
      <c r="A688" t="s">
        <v>48</v>
      </c>
      <c r="B688" t="s">
        <v>6</v>
      </c>
      <c r="C688">
        <v>30192</v>
      </c>
      <c r="D688" t="s">
        <v>7</v>
      </c>
      <c r="E688" t="s">
        <v>14</v>
      </c>
      <c r="F688" t="s">
        <v>20</v>
      </c>
      <c r="H688">
        <v>2</v>
      </c>
      <c r="W688">
        <v>1</v>
      </c>
      <c r="AJ688">
        <f>SUM(Post[[#This Row],[47]:[75]])</f>
        <v>3</v>
      </c>
    </row>
    <row r="689" spans="1:36" x14ac:dyDescent="0.2">
      <c r="A689" t="s">
        <v>48</v>
      </c>
      <c r="B689" t="s">
        <v>6</v>
      </c>
      <c r="C689">
        <v>33031</v>
      </c>
      <c r="D689" t="s">
        <v>7</v>
      </c>
      <c r="E689" t="s">
        <v>14</v>
      </c>
      <c r="F689" t="s">
        <v>19</v>
      </c>
      <c r="AH689">
        <v>1</v>
      </c>
      <c r="AJ689">
        <f>SUM(Post[[#This Row],[47]:[75]])</f>
        <v>1</v>
      </c>
    </row>
    <row r="690" spans="1:36" x14ac:dyDescent="0.2">
      <c r="A690" t="s">
        <v>48</v>
      </c>
      <c r="B690" t="s">
        <v>6</v>
      </c>
      <c r="C690">
        <v>10078</v>
      </c>
      <c r="D690" t="s">
        <v>22</v>
      </c>
      <c r="E690" t="s">
        <v>14</v>
      </c>
      <c r="F690" t="s">
        <v>20</v>
      </c>
      <c r="G690">
        <v>1</v>
      </c>
      <c r="U690">
        <v>1</v>
      </c>
      <c r="AC690">
        <v>1</v>
      </c>
      <c r="AG690">
        <v>1</v>
      </c>
      <c r="AJ690">
        <f>SUM(Post[[#This Row],[47]:[75]])</f>
        <v>4</v>
      </c>
    </row>
    <row r="691" spans="1:36" x14ac:dyDescent="0.2">
      <c r="A691" t="s">
        <v>48</v>
      </c>
      <c r="B691" t="s">
        <v>6</v>
      </c>
      <c r="C691">
        <v>21529</v>
      </c>
      <c r="D691" t="s">
        <v>22</v>
      </c>
      <c r="E691" t="s">
        <v>14</v>
      </c>
      <c r="F691" t="s">
        <v>20</v>
      </c>
      <c r="Z691">
        <v>1</v>
      </c>
      <c r="AC691">
        <v>1</v>
      </c>
      <c r="AJ691">
        <f>SUM(Post[[#This Row],[47]:[75]])</f>
        <v>2</v>
      </c>
    </row>
    <row r="692" spans="1:36" x14ac:dyDescent="0.2">
      <c r="A692" t="s">
        <v>48</v>
      </c>
      <c r="B692" t="s">
        <v>6</v>
      </c>
      <c r="C692">
        <v>1028</v>
      </c>
      <c r="D692" t="s">
        <v>7</v>
      </c>
      <c r="E692" t="s">
        <v>14</v>
      </c>
      <c r="F692" t="s">
        <v>20</v>
      </c>
      <c r="T692">
        <v>1</v>
      </c>
      <c r="AG692">
        <v>1</v>
      </c>
      <c r="AJ692">
        <f>SUM(Post[[#This Row],[47]:[75]])</f>
        <v>2</v>
      </c>
    </row>
    <row r="693" spans="1:36" x14ac:dyDescent="0.2">
      <c r="A693" t="s">
        <v>48</v>
      </c>
      <c r="B693" t="s">
        <v>6</v>
      </c>
      <c r="C693">
        <v>1558</v>
      </c>
      <c r="D693" t="s">
        <v>7</v>
      </c>
      <c r="E693" t="s">
        <v>14</v>
      </c>
      <c r="F693" t="s">
        <v>19</v>
      </c>
      <c r="AJ693">
        <f>SUM(Post[[#This Row],[47]:[75]])</f>
        <v>0</v>
      </c>
    </row>
    <row r="694" spans="1:36" x14ac:dyDescent="0.2">
      <c r="A694" t="s">
        <v>48</v>
      </c>
      <c r="B694" t="s">
        <v>6</v>
      </c>
      <c r="C694">
        <v>6817</v>
      </c>
      <c r="D694" t="s">
        <v>7</v>
      </c>
      <c r="E694" t="s">
        <v>14</v>
      </c>
      <c r="F694" t="s">
        <v>20</v>
      </c>
      <c r="K694">
        <v>1</v>
      </c>
      <c r="N694">
        <v>1</v>
      </c>
      <c r="AA694">
        <v>1</v>
      </c>
      <c r="AJ694">
        <f>SUM(Post[[#This Row],[47]:[75]])</f>
        <v>3</v>
      </c>
    </row>
    <row r="695" spans="1:36" x14ac:dyDescent="0.2">
      <c r="A695" t="s">
        <v>48</v>
      </c>
      <c r="B695" t="s">
        <v>6</v>
      </c>
      <c r="C695">
        <v>6878</v>
      </c>
      <c r="D695" t="s">
        <v>7</v>
      </c>
      <c r="E695" t="s">
        <v>14</v>
      </c>
      <c r="F695" t="s">
        <v>20</v>
      </c>
      <c r="AJ695">
        <f>SUM(Post[[#This Row],[47]:[75]])</f>
        <v>0</v>
      </c>
    </row>
    <row r="696" spans="1:36" x14ac:dyDescent="0.2">
      <c r="A696" t="s">
        <v>48</v>
      </c>
      <c r="B696" t="s">
        <v>6</v>
      </c>
      <c r="C696">
        <v>8774</v>
      </c>
      <c r="D696" t="s">
        <v>7</v>
      </c>
      <c r="E696" t="s">
        <v>14</v>
      </c>
      <c r="F696" t="s">
        <v>20</v>
      </c>
      <c r="I696">
        <v>1</v>
      </c>
      <c r="V696">
        <v>2</v>
      </c>
      <c r="AJ696">
        <f>SUM(Post[[#This Row],[47]:[75]])</f>
        <v>3</v>
      </c>
    </row>
    <row r="697" spans="1:36" x14ac:dyDescent="0.2">
      <c r="A697" t="s">
        <v>48</v>
      </c>
      <c r="B697" t="s">
        <v>6</v>
      </c>
      <c r="C697">
        <v>10275</v>
      </c>
      <c r="D697" t="s">
        <v>7</v>
      </c>
      <c r="E697" t="s">
        <v>14</v>
      </c>
      <c r="F697" t="s">
        <v>31</v>
      </c>
      <c r="R697">
        <v>2</v>
      </c>
      <c r="AE697">
        <v>1</v>
      </c>
      <c r="AJ697">
        <f>SUM(Post[[#This Row],[47]:[75]])</f>
        <v>3</v>
      </c>
    </row>
    <row r="698" spans="1:36" x14ac:dyDescent="0.2">
      <c r="A698" t="s">
        <v>48</v>
      </c>
      <c r="B698" t="s">
        <v>6</v>
      </c>
      <c r="C698">
        <v>14991</v>
      </c>
      <c r="D698" t="s">
        <v>7</v>
      </c>
      <c r="E698" t="s">
        <v>14</v>
      </c>
      <c r="F698" t="s">
        <v>19</v>
      </c>
      <c r="L698">
        <v>1</v>
      </c>
      <c r="AB698">
        <v>1</v>
      </c>
      <c r="AF698">
        <v>1</v>
      </c>
      <c r="AJ698">
        <f>SUM(Post[[#This Row],[47]:[75]])</f>
        <v>3</v>
      </c>
    </row>
    <row r="699" spans="1:36" x14ac:dyDescent="0.2">
      <c r="A699" t="s">
        <v>48</v>
      </c>
      <c r="B699" t="s">
        <v>6</v>
      </c>
      <c r="C699">
        <v>18020</v>
      </c>
      <c r="D699" t="s">
        <v>7</v>
      </c>
      <c r="E699" t="s">
        <v>14</v>
      </c>
      <c r="F699" t="s">
        <v>20</v>
      </c>
      <c r="J699">
        <v>1</v>
      </c>
      <c r="AJ699">
        <f>SUM(Post[[#This Row],[47]:[75]])</f>
        <v>1</v>
      </c>
    </row>
    <row r="700" spans="1:36" x14ac:dyDescent="0.2">
      <c r="A700" t="s">
        <v>48</v>
      </c>
      <c r="B700" t="s">
        <v>6</v>
      </c>
      <c r="C700">
        <v>21170</v>
      </c>
      <c r="D700" t="s">
        <v>7</v>
      </c>
      <c r="E700" t="s">
        <v>14</v>
      </c>
      <c r="F700" t="s">
        <v>19</v>
      </c>
      <c r="AJ700">
        <f>SUM(Post[[#This Row],[47]:[75]])</f>
        <v>0</v>
      </c>
    </row>
    <row r="701" spans="1:36" x14ac:dyDescent="0.2">
      <c r="A701" t="s">
        <v>48</v>
      </c>
      <c r="B701" t="s">
        <v>6</v>
      </c>
      <c r="C701">
        <v>8557</v>
      </c>
      <c r="D701" t="s">
        <v>22</v>
      </c>
      <c r="E701" t="s">
        <v>14</v>
      </c>
      <c r="F701" t="s">
        <v>20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N701">
        <v>1</v>
      </c>
      <c r="O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f>SUM(Post[[#This Row],[47]:[75]])</f>
        <v>26</v>
      </c>
    </row>
    <row r="702" spans="1:36" x14ac:dyDescent="0.2">
      <c r="A702" t="s">
        <v>48</v>
      </c>
      <c r="B702" t="s">
        <v>6</v>
      </c>
      <c r="C702">
        <v>18493</v>
      </c>
      <c r="D702" t="s">
        <v>22</v>
      </c>
      <c r="E702" t="s">
        <v>14</v>
      </c>
      <c r="F702" t="s">
        <v>19</v>
      </c>
      <c r="AJ702">
        <f>SUM(Post[[#This Row],[47]:[75]])</f>
        <v>0</v>
      </c>
    </row>
    <row r="703" spans="1:36" x14ac:dyDescent="0.2">
      <c r="A703" t="s">
        <v>48</v>
      </c>
      <c r="B703" t="s">
        <v>6</v>
      </c>
      <c r="C703">
        <v>29458</v>
      </c>
      <c r="D703" t="s">
        <v>22</v>
      </c>
      <c r="E703" t="s">
        <v>10</v>
      </c>
      <c r="F703" t="s">
        <v>11</v>
      </c>
      <c r="AJ703">
        <f>SUM(Post[[#This Row],[47]:[75]])</f>
        <v>0</v>
      </c>
    </row>
    <row r="704" spans="1:36" x14ac:dyDescent="0.2">
      <c r="A704" t="s">
        <v>48</v>
      </c>
      <c r="B704" t="s">
        <v>6</v>
      </c>
      <c r="C704">
        <v>29458</v>
      </c>
      <c r="D704" t="s">
        <v>22</v>
      </c>
      <c r="E704" t="s">
        <v>14</v>
      </c>
      <c r="F704" t="s">
        <v>20</v>
      </c>
      <c r="L704">
        <v>3</v>
      </c>
      <c r="N704">
        <v>1</v>
      </c>
      <c r="R704">
        <v>1</v>
      </c>
      <c r="V704">
        <v>1</v>
      </c>
      <c r="Z704">
        <v>1</v>
      </c>
      <c r="AD704">
        <v>1</v>
      </c>
      <c r="AH704">
        <v>1</v>
      </c>
      <c r="AJ704">
        <f>SUM(Post[[#This Row],[47]:[75]])</f>
        <v>9</v>
      </c>
    </row>
    <row r="705" spans="1:36" x14ac:dyDescent="0.2">
      <c r="A705" t="s">
        <v>48</v>
      </c>
      <c r="B705" t="s">
        <v>6</v>
      </c>
      <c r="C705">
        <v>7033</v>
      </c>
      <c r="D705" t="s">
        <v>22</v>
      </c>
      <c r="E705" t="s">
        <v>10</v>
      </c>
      <c r="F705" t="s">
        <v>11</v>
      </c>
      <c r="Q705">
        <v>2</v>
      </c>
      <c r="V705">
        <v>1</v>
      </c>
      <c r="AJ705">
        <f>SUM(Post[[#This Row],[47]:[75]])</f>
        <v>3</v>
      </c>
    </row>
    <row r="706" spans="1:36" x14ac:dyDescent="0.2">
      <c r="A706" t="s">
        <v>48</v>
      </c>
      <c r="B706" t="s">
        <v>6</v>
      </c>
      <c r="C706">
        <v>11064</v>
      </c>
      <c r="D706" t="s">
        <v>22</v>
      </c>
      <c r="E706" t="s">
        <v>14</v>
      </c>
      <c r="F706" t="s">
        <v>19</v>
      </c>
      <c r="Z706">
        <v>1</v>
      </c>
      <c r="AJ706">
        <f>SUM(Post[[#This Row],[47]:[75]])</f>
        <v>1</v>
      </c>
    </row>
    <row r="707" spans="1:36" x14ac:dyDescent="0.2">
      <c r="A707" t="s">
        <v>48</v>
      </c>
      <c r="B707" t="s">
        <v>6</v>
      </c>
      <c r="C707">
        <v>2048</v>
      </c>
      <c r="D707" t="s">
        <v>7</v>
      </c>
      <c r="E707" t="s">
        <v>14</v>
      </c>
      <c r="F707" t="s">
        <v>19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N707">
        <v>1</v>
      </c>
      <c r="O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f>SUM(Post[[#This Row],[47]:[75]])</f>
        <v>27</v>
      </c>
    </row>
    <row r="708" spans="1:36" x14ac:dyDescent="0.2">
      <c r="A708" t="s">
        <v>48</v>
      </c>
      <c r="B708" t="s">
        <v>6</v>
      </c>
      <c r="C708">
        <v>5944</v>
      </c>
      <c r="D708" t="s">
        <v>7</v>
      </c>
      <c r="E708" t="s">
        <v>14</v>
      </c>
      <c r="F708" t="s">
        <v>20</v>
      </c>
      <c r="H708">
        <v>1</v>
      </c>
      <c r="J708">
        <v>1</v>
      </c>
      <c r="L708">
        <v>1</v>
      </c>
      <c r="O708">
        <v>1</v>
      </c>
      <c r="Q708">
        <v>1</v>
      </c>
      <c r="S708">
        <v>1</v>
      </c>
      <c r="T708">
        <v>1</v>
      </c>
      <c r="W708">
        <v>1</v>
      </c>
      <c r="Y708">
        <v>1</v>
      </c>
      <c r="AA708">
        <v>1</v>
      </c>
      <c r="AC708">
        <v>1</v>
      </c>
      <c r="AE708">
        <v>1</v>
      </c>
      <c r="AG708">
        <v>1</v>
      </c>
      <c r="AI708">
        <v>1</v>
      </c>
      <c r="AJ708">
        <f>SUM(Post[[#This Row],[47]:[75]])</f>
        <v>14</v>
      </c>
    </row>
    <row r="709" spans="1:36" x14ac:dyDescent="0.2">
      <c r="A709" t="s">
        <v>48</v>
      </c>
      <c r="B709" t="s">
        <v>6</v>
      </c>
      <c r="C709">
        <v>21554</v>
      </c>
      <c r="D709" t="s">
        <v>7</v>
      </c>
      <c r="E709" t="s">
        <v>14</v>
      </c>
      <c r="F709" t="s">
        <v>35</v>
      </c>
      <c r="K709">
        <v>1</v>
      </c>
      <c r="V709">
        <v>1</v>
      </c>
      <c r="AJ709">
        <f>SUM(Post[[#This Row],[47]:[75]])</f>
        <v>2</v>
      </c>
    </row>
    <row r="710" spans="1:36" x14ac:dyDescent="0.2">
      <c r="A710" t="s">
        <v>48</v>
      </c>
      <c r="B710" t="s">
        <v>6</v>
      </c>
      <c r="C710">
        <v>22714</v>
      </c>
      <c r="D710" t="s">
        <v>7</v>
      </c>
      <c r="E710" t="s">
        <v>14</v>
      </c>
      <c r="F710" t="s">
        <v>19</v>
      </c>
      <c r="AJ710">
        <f>SUM(Post[[#This Row],[47]:[75]])</f>
        <v>0</v>
      </c>
    </row>
    <row r="711" spans="1:36" x14ac:dyDescent="0.2">
      <c r="A711" t="s">
        <v>48</v>
      </c>
      <c r="B711" t="s">
        <v>6</v>
      </c>
      <c r="C711">
        <v>9555</v>
      </c>
      <c r="D711" t="s">
        <v>22</v>
      </c>
      <c r="E711" t="s">
        <v>14</v>
      </c>
      <c r="F711" t="s">
        <v>20</v>
      </c>
      <c r="G711">
        <v>2</v>
      </c>
      <c r="I711">
        <v>1</v>
      </c>
      <c r="J711">
        <v>1</v>
      </c>
      <c r="K711">
        <v>1</v>
      </c>
      <c r="L711">
        <v>1</v>
      </c>
      <c r="N711">
        <v>1</v>
      </c>
      <c r="O711">
        <v>1</v>
      </c>
      <c r="P711">
        <v>1</v>
      </c>
      <c r="R711">
        <v>1</v>
      </c>
      <c r="S711">
        <v>2</v>
      </c>
      <c r="V711">
        <v>1</v>
      </c>
      <c r="X711">
        <v>2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f>SUM(Post[[#This Row],[47]:[75]])</f>
        <v>26</v>
      </c>
    </row>
    <row r="712" spans="1:36" x14ac:dyDescent="0.2">
      <c r="A712" t="s">
        <v>48</v>
      </c>
      <c r="B712" t="s">
        <v>6</v>
      </c>
      <c r="C712">
        <v>11202</v>
      </c>
      <c r="D712" t="s">
        <v>22</v>
      </c>
      <c r="E712" t="s">
        <v>14</v>
      </c>
      <c r="F712" t="s">
        <v>20</v>
      </c>
      <c r="K712">
        <v>1</v>
      </c>
      <c r="T712">
        <v>1</v>
      </c>
      <c r="AB712">
        <v>1</v>
      </c>
      <c r="AJ712">
        <f>SUM(Post[[#This Row],[47]:[75]])</f>
        <v>3</v>
      </c>
    </row>
    <row r="713" spans="1:36" x14ac:dyDescent="0.2">
      <c r="A713" t="s">
        <v>48</v>
      </c>
      <c r="B713" t="s">
        <v>6</v>
      </c>
      <c r="C713">
        <v>916</v>
      </c>
      <c r="D713" t="s">
        <v>7</v>
      </c>
      <c r="E713" t="s">
        <v>14</v>
      </c>
      <c r="F713" t="s">
        <v>20</v>
      </c>
      <c r="G713">
        <v>2</v>
      </c>
      <c r="H713">
        <v>1</v>
      </c>
      <c r="I713">
        <v>1</v>
      </c>
      <c r="J713">
        <v>1</v>
      </c>
      <c r="K713">
        <v>1</v>
      </c>
      <c r="L713">
        <v>1</v>
      </c>
      <c r="N713">
        <v>1</v>
      </c>
      <c r="O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f>SUM(Post[[#This Row],[47]:[75]])</f>
        <v>28</v>
      </c>
    </row>
    <row r="714" spans="1:36" x14ac:dyDescent="0.2">
      <c r="A714" t="s">
        <v>48</v>
      </c>
      <c r="B714" t="s">
        <v>6</v>
      </c>
      <c r="C714">
        <v>3851</v>
      </c>
      <c r="D714" t="s">
        <v>7</v>
      </c>
      <c r="E714" t="s">
        <v>14</v>
      </c>
      <c r="F714" t="s">
        <v>35</v>
      </c>
      <c r="V714">
        <v>1</v>
      </c>
      <c r="AJ714">
        <f>SUM(Post[[#This Row],[47]:[75]])</f>
        <v>1</v>
      </c>
    </row>
    <row r="715" spans="1:36" x14ac:dyDescent="0.2">
      <c r="A715" t="s">
        <v>48</v>
      </c>
      <c r="B715" t="s">
        <v>6</v>
      </c>
      <c r="C715">
        <v>19786</v>
      </c>
      <c r="D715" t="s">
        <v>7</v>
      </c>
      <c r="E715" t="s">
        <v>14</v>
      </c>
      <c r="F715" t="s">
        <v>21</v>
      </c>
      <c r="G715">
        <v>1</v>
      </c>
      <c r="H715">
        <v>2</v>
      </c>
      <c r="I715">
        <v>1</v>
      </c>
      <c r="J715">
        <v>2</v>
      </c>
      <c r="O715">
        <v>1</v>
      </c>
      <c r="P715">
        <v>2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f>SUM(Post[[#This Row],[47]:[75]])</f>
        <v>28</v>
      </c>
    </row>
    <row r="716" spans="1:36" x14ac:dyDescent="0.2">
      <c r="A716" t="s">
        <v>48</v>
      </c>
      <c r="B716" t="s">
        <v>6</v>
      </c>
      <c r="C716">
        <v>80</v>
      </c>
      <c r="D716" t="s">
        <v>22</v>
      </c>
      <c r="E716" t="s">
        <v>14</v>
      </c>
      <c r="F716" t="s">
        <v>15</v>
      </c>
      <c r="J716">
        <v>1</v>
      </c>
      <c r="Q716">
        <v>1</v>
      </c>
      <c r="W716">
        <v>1</v>
      </c>
      <c r="AJ716">
        <f>SUM(Post[[#This Row],[47]:[75]])</f>
        <v>3</v>
      </c>
    </row>
    <row r="717" spans="1:36" x14ac:dyDescent="0.2">
      <c r="A717" t="s">
        <v>48</v>
      </c>
      <c r="B717" t="s">
        <v>6</v>
      </c>
      <c r="C717">
        <v>6110</v>
      </c>
      <c r="D717" t="s">
        <v>22</v>
      </c>
      <c r="E717" t="s">
        <v>14</v>
      </c>
      <c r="F717" t="s">
        <v>35</v>
      </c>
      <c r="AJ717">
        <f>SUM(Post[[#This Row],[47]:[75]])</f>
        <v>0</v>
      </c>
    </row>
    <row r="718" spans="1:36" x14ac:dyDescent="0.2">
      <c r="A718" t="s">
        <v>48</v>
      </c>
      <c r="B718" t="s">
        <v>6</v>
      </c>
      <c r="C718">
        <v>378</v>
      </c>
      <c r="D718" t="s">
        <v>7</v>
      </c>
      <c r="E718" t="s">
        <v>8</v>
      </c>
      <c r="F718" t="s">
        <v>23</v>
      </c>
      <c r="AI718">
        <v>4</v>
      </c>
      <c r="AJ718">
        <f>SUM(Post[[#This Row],[47]:[75]])</f>
        <v>4</v>
      </c>
    </row>
    <row r="719" spans="1:36" x14ac:dyDescent="0.2">
      <c r="A719" t="s">
        <v>48</v>
      </c>
      <c r="B719" t="s">
        <v>6</v>
      </c>
      <c r="C719">
        <v>1643</v>
      </c>
      <c r="D719" t="s">
        <v>7</v>
      </c>
      <c r="E719" t="s">
        <v>37</v>
      </c>
      <c r="F719" t="s">
        <v>39</v>
      </c>
      <c r="U719">
        <v>1</v>
      </c>
      <c r="AI719">
        <v>1</v>
      </c>
      <c r="AJ719">
        <f>SUM(Post[[#This Row],[47]:[75]])</f>
        <v>2</v>
      </c>
    </row>
    <row r="720" spans="1:36" x14ac:dyDescent="0.2">
      <c r="A720" t="s">
        <v>48</v>
      </c>
      <c r="B720" t="s">
        <v>6</v>
      </c>
      <c r="C720">
        <v>4514</v>
      </c>
      <c r="D720" t="s">
        <v>7</v>
      </c>
      <c r="E720" t="s">
        <v>8</v>
      </c>
      <c r="F720" t="s">
        <v>23</v>
      </c>
      <c r="AJ720">
        <f>SUM(Post[[#This Row],[47]:[75]])</f>
        <v>0</v>
      </c>
    </row>
    <row r="721" spans="1:36" x14ac:dyDescent="0.2">
      <c r="A721" t="s">
        <v>48</v>
      </c>
      <c r="B721" t="s">
        <v>6</v>
      </c>
      <c r="C721">
        <v>4514</v>
      </c>
      <c r="D721" t="s">
        <v>7</v>
      </c>
      <c r="E721" t="s">
        <v>8</v>
      </c>
      <c r="F721" t="s">
        <v>9</v>
      </c>
      <c r="H721">
        <v>1</v>
      </c>
      <c r="W721">
        <v>1</v>
      </c>
      <c r="AJ721">
        <f>SUM(Post[[#This Row],[47]:[75]])</f>
        <v>2</v>
      </c>
    </row>
    <row r="722" spans="1:36" x14ac:dyDescent="0.2">
      <c r="A722" t="s">
        <v>48</v>
      </c>
      <c r="B722" t="s">
        <v>6</v>
      </c>
      <c r="C722">
        <v>6038</v>
      </c>
      <c r="D722" t="s">
        <v>7</v>
      </c>
      <c r="E722" t="s">
        <v>8</v>
      </c>
      <c r="F722" t="s">
        <v>9</v>
      </c>
      <c r="Q722">
        <v>1</v>
      </c>
      <c r="AC722">
        <v>1</v>
      </c>
      <c r="AJ722">
        <f>SUM(Post[[#This Row],[47]:[75]])</f>
        <v>2</v>
      </c>
    </row>
    <row r="723" spans="1:36" x14ac:dyDescent="0.2">
      <c r="A723" t="s">
        <v>48</v>
      </c>
      <c r="B723" t="s">
        <v>6</v>
      </c>
      <c r="C723">
        <v>10596</v>
      </c>
      <c r="D723" t="s">
        <v>7</v>
      </c>
      <c r="E723" t="s">
        <v>8</v>
      </c>
      <c r="F723" t="s">
        <v>9</v>
      </c>
      <c r="P723">
        <v>1</v>
      </c>
      <c r="AC723">
        <v>1</v>
      </c>
      <c r="AJ723">
        <f>SUM(Post[[#This Row],[47]:[75]])</f>
        <v>2</v>
      </c>
    </row>
    <row r="724" spans="1:36" x14ac:dyDescent="0.2">
      <c r="A724" t="s">
        <v>48</v>
      </c>
      <c r="B724" t="s">
        <v>6</v>
      </c>
      <c r="C724">
        <v>11842</v>
      </c>
      <c r="D724" t="s">
        <v>7</v>
      </c>
      <c r="E724" t="s">
        <v>8</v>
      </c>
      <c r="F724" t="s">
        <v>9</v>
      </c>
      <c r="K724">
        <v>1</v>
      </c>
      <c r="AJ724">
        <f>SUM(Post[[#This Row],[47]:[75]])</f>
        <v>1</v>
      </c>
    </row>
    <row r="725" spans="1:36" x14ac:dyDescent="0.2">
      <c r="A725" t="s">
        <v>48</v>
      </c>
      <c r="B725" t="s">
        <v>6</v>
      </c>
      <c r="C725">
        <v>12761</v>
      </c>
      <c r="D725" t="s">
        <v>7</v>
      </c>
      <c r="E725" t="s">
        <v>8</v>
      </c>
      <c r="F725" t="s">
        <v>23</v>
      </c>
      <c r="L725">
        <v>1</v>
      </c>
      <c r="AJ725">
        <f>SUM(Post[[#This Row],[47]:[75]])</f>
        <v>1</v>
      </c>
    </row>
    <row r="726" spans="1:36" x14ac:dyDescent="0.2">
      <c r="A726" t="s">
        <v>48</v>
      </c>
      <c r="B726" t="s">
        <v>6</v>
      </c>
      <c r="C726">
        <v>13654</v>
      </c>
      <c r="D726" t="s">
        <v>7</v>
      </c>
      <c r="E726" t="s">
        <v>8</v>
      </c>
      <c r="F726" t="s">
        <v>9</v>
      </c>
      <c r="G726">
        <v>1</v>
      </c>
      <c r="H726">
        <v>1</v>
      </c>
      <c r="I726">
        <v>1</v>
      </c>
      <c r="K726">
        <v>2</v>
      </c>
      <c r="L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W726">
        <v>2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J726">
        <f>SUM(Post[[#This Row],[47]:[75]])</f>
        <v>27</v>
      </c>
    </row>
    <row r="727" spans="1:36" x14ac:dyDescent="0.2">
      <c r="A727" t="s">
        <v>48</v>
      </c>
      <c r="B727" t="s">
        <v>6</v>
      </c>
      <c r="C727">
        <v>14008</v>
      </c>
      <c r="D727" t="s">
        <v>7</v>
      </c>
      <c r="E727" t="s">
        <v>8</v>
      </c>
      <c r="F727" t="s">
        <v>9</v>
      </c>
      <c r="R727">
        <v>1</v>
      </c>
      <c r="AG727">
        <v>1</v>
      </c>
      <c r="AJ727">
        <f>SUM(Post[[#This Row],[47]:[75]])</f>
        <v>2</v>
      </c>
    </row>
    <row r="728" spans="1:36" x14ac:dyDescent="0.2">
      <c r="A728" t="s">
        <v>48</v>
      </c>
      <c r="B728" t="s">
        <v>6</v>
      </c>
      <c r="C728">
        <v>18860</v>
      </c>
      <c r="D728" t="s">
        <v>7</v>
      </c>
      <c r="E728" t="s">
        <v>8</v>
      </c>
      <c r="F728" t="s">
        <v>29</v>
      </c>
      <c r="L728">
        <v>1</v>
      </c>
      <c r="AC728">
        <v>2</v>
      </c>
      <c r="AJ728">
        <f>SUM(Post[[#This Row],[47]:[75]])</f>
        <v>3</v>
      </c>
    </row>
    <row r="729" spans="1:36" x14ac:dyDescent="0.2">
      <c r="A729" t="s">
        <v>48</v>
      </c>
      <c r="B729" t="s">
        <v>6</v>
      </c>
      <c r="C729">
        <v>21825</v>
      </c>
      <c r="D729" t="s">
        <v>7</v>
      </c>
      <c r="E729" t="s">
        <v>8</v>
      </c>
      <c r="F729" t="s">
        <v>29</v>
      </c>
      <c r="I729">
        <v>1</v>
      </c>
      <c r="X729">
        <v>1</v>
      </c>
      <c r="AC729">
        <v>2</v>
      </c>
      <c r="AG729">
        <v>2</v>
      </c>
      <c r="AJ729">
        <f>SUM(Post[[#This Row],[47]:[75]])</f>
        <v>6</v>
      </c>
    </row>
    <row r="730" spans="1:36" x14ac:dyDescent="0.2">
      <c r="A730" t="s">
        <v>48</v>
      </c>
      <c r="B730" t="s">
        <v>6</v>
      </c>
      <c r="C730">
        <v>22772</v>
      </c>
      <c r="D730" t="s">
        <v>7</v>
      </c>
      <c r="E730" t="s">
        <v>8</v>
      </c>
      <c r="F730" t="s">
        <v>30</v>
      </c>
      <c r="H730">
        <v>1</v>
      </c>
      <c r="J730">
        <v>1</v>
      </c>
      <c r="V730">
        <v>1</v>
      </c>
      <c r="AJ730">
        <f>SUM(Post[[#This Row],[47]:[75]])</f>
        <v>3</v>
      </c>
    </row>
    <row r="731" spans="1:36" x14ac:dyDescent="0.2">
      <c r="A731" t="s">
        <v>48</v>
      </c>
      <c r="B731" t="s">
        <v>6</v>
      </c>
      <c r="C731">
        <v>23822</v>
      </c>
      <c r="D731" t="s">
        <v>7</v>
      </c>
      <c r="E731" t="s">
        <v>8</v>
      </c>
      <c r="F731" t="s">
        <v>23</v>
      </c>
      <c r="G731">
        <v>1</v>
      </c>
      <c r="S731">
        <v>1</v>
      </c>
      <c r="AC731">
        <v>1</v>
      </c>
      <c r="AD731">
        <v>2</v>
      </c>
      <c r="AJ731">
        <f>SUM(Post[[#This Row],[47]:[75]])</f>
        <v>5</v>
      </c>
    </row>
    <row r="732" spans="1:36" x14ac:dyDescent="0.2">
      <c r="A732" t="s">
        <v>48</v>
      </c>
      <c r="B732" t="s">
        <v>6</v>
      </c>
      <c r="C732">
        <v>27167</v>
      </c>
      <c r="D732" t="s">
        <v>7</v>
      </c>
      <c r="E732" t="s">
        <v>37</v>
      </c>
      <c r="F732" t="s">
        <v>39</v>
      </c>
      <c r="R732">
        <v>1</v>
      </c>
      <c r="AJ732">
        <f>SUM(Post[[#This Row],[47]:[75]])</f>
        <v>1</v>
      </c>
    </row>
    <row r="733" spans="1:36" x14ac:dyDescent="0.2">
      <c r="A733" t="s">
        <v>48</v>
      </c>
      <c r="B733" t="s">
        <v>6</v>
      </c>
      <c r="C733">
        <v>27167</v>
      </c>
      <c r="D733" t="s">
        <v>7</v>
      </c>
      <c r="E733" t="s">
        <v>37</v>
      </c>
      <c r="F733" t="s">
        <v>38</v>
      </c>
      <c r="AD733">
        <v>1</v>
      </c>
      <c r="AJ733">
        <f>SUM(Post[[#This Row],[47]:[75]])</f>
        <v>1</v>
      </c>
    </row>
    <row r="734" spans="1:36" x14ac:dyDescent="0.2">
      <c r="A734" t="s">
        <v>48</v>
      </c>
      <c r="B734" t="s">
        <v>6</v>
      </c>
      <c r="C734">
        <v>27733</v>
      </c>
      <c r="D734" t="s">
        <v>7</v>
      </c>
      <c r="E734" t="s">
        <v>8</v>
      </c>
      <c r="F734" t="s">
        <v>9</v>
      </c>
      <c r="S734">
        <v>1</v>
      </c>
      <c r="AJ734">
        <f>SUM(Post[[#This Row],[47]:[75]])</f>
        <v>1</v>
      </c>
    </row>
    <row r="735" spans="1:36" x14ac:dyDescent="0.2">
      <c r="A735" t="s">
        <v>48</v>
      </c>
      <c r="B735" t="s">
        <v>6</v>
      </c>
      <c r="C735">
        <v>28504</v>
      </c>
      <c r="D735" t="s">
        <v>7</v>
      </c>
      <c r="E735" t="s">
        <v>8</v>
      </c>
      <c r="F735" t="s">
        <v>9</v>
      </c>
      <c r="AC735">
        <v>1</v>
      </c>
      <c r="AJ735">
        <f>SUM(Post[[#This Row],[47]:[75]])</f>
        <v>1</v>
      </c>
    </row>
    <row r="736" spans="1:36" x14ac:dyDescent="0.2">
      <c r="A736" t="s">
        <v>48</v>
      </c>
      <c r="B736" t="s">
        <v>6</v>
      </c>
      <c r="C736">
        <v>29540</v>
      </c>
      <c r="D736" t="s">
        <v>7</v>
      </c>
      <c r="E736" t="s">
        <v>8</v>
      </c>
      <c r="F736" t="s">
        <v>9</v>
      </c>
      <c r="N736">
        <v>1</v>
      </c>
      <c r="AD736">
        <v>1</v>
      </c>
      <c r="AJ736">
        <f>SUM(Post[[#This Row],[47]:[75]])</f>
        <v>2</v>
      </c>
    </row>
    <row r="737" spans="1:36" x14ac:dyDescent="0.2">
      <c r="A737" t="s">
        <v>48</v>
      </c>
      <c r="B737" t="s">
        <v>6</v>
      </c>
      <c r="C737">
        <v>29654</v>
      </c>
      <c r="D737" t="s">
        <v>7</v>
      </c>
      <c r="E737" t="s">
        <v>8</v>
      </c>
      <c r="F737" t="s">
        <v>9</v>
      </c>
      <c r="AJ737">
        <f>SUM(Post[[#This Row],[47]:[75]])</f>
        <v>0</v>
      </c>
    </row>
    <row r="738" spans="1:36" x14ac:dyDescent="0.2">
      <c r="A738" t="s">
        <v>48</v>
      </c>
      <c r="B738" t="s">
        <v>6</v>
      </c>
      <c r="C738">
        <v>30192</v>
      </c>
      <c r="D738" t="s">
        <v>7</v>
      </c>
      <c r="E738" t="s">
        <v>8</v>
      </c>
      <c r="F738" t="s">
        <v>23</v>
      </c>
      <c r="AH738">
        <v>1</v>
      </c>
      <c r="AJ738">
        <f>SUM(Post[[#This Row],[47]:[75]])</f>
        <v>1</v>
      </c>
    </row>
    <row r="739" spans="1:36" x14ac:dyDescent="0.2">
      <c r="A739" t="s">
        <v>48</v>
      </c>
      <c r="B739" t="s">
        <v>6</v>
      </c>
      <c r="C739">
        <v>1520</v>
      </c>
      <c r="D739" t="s">
        <v>22</v>
      </c>
      <c r="E739" t="s">
        <v>8</v>
      </c>
      <c r="F739" t="s">
        <v>29</v>
      </c>
      <c r="AJ739">
        <f>SUM(Post[[#This Row],[47]:[75]])</f>
        <v>0</v>
      </c>
    </row>
    <row r="740" spans="1:36" x14ac:dyDescent="0.2">
      <c r="A740" t="s">
        <v>48</v>
      </c>
      <c r="B740" t="s">
        <v>6</v>
      </c>
      <c r="C740">
        <v>5004</v>
      </c>
      <c r="D740" t="s">
        <v>22</v>
      </c>
      <c r="E740" t="s">
        <v>8</v>
      </c>
      <c r="F740" t="s">
        <v>23</v>
      </c>
      <c r="I740">
        <v>1</v>
      </c>
      <c r="Y740">
        <v>1</v>
      </c>
      <c r="AJ740">
        <f>SUM(Post[[#This Row],[47]:[75]])</f>
        <v>2</v>
      </c>
    </row>
    <row r="741" spans="1:36" x14ac:dyDescent="0.2">
      <c r="A741" t="s">
        <v>48</v>
      </c>
      <c r="B741" t="s">
        <v>6</v>
      </c>
      <c r="C741">
        <v>8514</v>
      </c>
      <c r="D741" t="s">
        <v>22</v>
      </c>
      <c r="E741" t="s">
        <v>37</v>
      </c>
      <c r="F741" t="s">
        <v>38</v>
      </c>
      <c r="J741">
        <v>1</v>
      </c>
      <c r="AE741">
        <v>1</v>
      </c>
      <c r="AJ741">
        <f>SUM(Post[[#This Row],[47]:[75]])</f>
        <v>2</v>
      </c>
    </row>
    <row r="742" spans="1:36" x14ac:dyDescent="0.2">
      <c r="A742" t="s">
        <v>48</v>
      </c>
      <c r="B742" t="s">
        <v>6</v>
      </c>
      <c r="C742">
        <v>8871</v>
      </c>
      <c r="D742" t="s">
        <v>22</v>
      </c>
      <c r="E742" t="s">
        <v>8</v>
      </c>
      <c r="F742" t="s">
        <v>23</v>
      </c>
      <c r="O742">
        <v>1</v>
      </c>
      <c r="AB742">
        <v>1</v>
      </c>
      <c r="AJ742">
        <f>SUM(Post[[#This Row],[47]:[75]])</f>
        <v>2</v>
      </c>
    </row>
    <row r="743" spans="1:36" x14ac:dyDescent="0.2">
      <c r="A743" t="s">
        <v>48</v>
      </c>
      <c r="B743" t="s">
        <v>6</v>
      </c>
      <c r="C743">
        <v>10816</v>
      </c>
      <c r="D743" t="s">
        <v>22</v>
      </c>
      <c r="E743" t="s">
        <v>8</v>
      </c>
      <c r="F743" t="s">
        <v>23</v>
      </c>
      <c r="K743">
        <v>1</v>
      </c>
      <c r="AD743">
        <v>1</v>
      </c>
      <c r="AJ743">
        <f>SUM(Post[[#This Row],[47]:[75]])</f>
        <v>2</v>
      </c>
    </row>
    <row r="744" spans="1:36" x14ac:dyDescent="0.2">
      <c r="A744" t="s">
        <v>48</v>
      </c>
      <c r="B744" t="s">
        <v>6</v>
      </c>
      <c r="C744">
        <v>11230</v>
      </c>
      <c r="D744" t="s">
        <v>22</v>
      </c>
      <c r="E744" t="s">
        <v>8</v>
      </c>
      <c r="F744" t="s">
        <v>9</v>
      </c>
      <c r="U744">
        <v>1</v>
      </c>
      <c r="AJ744">
        <f>SUM(Post[[#This Row],[47]:[75]])</f>
        <v>1</v>
      </c>
    </row>
    <row r="745" spans="1:36" x14ac:dyDescent="0.2">
      <c r="A745" t="s">
        <v>48</v>
      </c>
      <c r="B745" t="s">
        <v>6</v>
      </c>
      <c r="C745">
        <v>11371</v>
      </c>
      <c r="D745" t="s">
        <v>22</v>
      </c>
      <c r="E745" t="s">
        <v>8</v>
      </c>
      <c r="F745" t="s">
        <v>9</v>
      </c>
      <c r="J745">
        <v>1</v>
      </c>
      <c r="AC745">
        <v>2</v>
      </c>
      <c r="AJ745">
        <f>SUM(Post[[#This Row],[47]:[75]])</f>
        <v>3</v>
      </c>
    </row>
    <row r="746" spans="1:36" x14ac:dyDescent="0.2">
      <c r="A746" t="s">
        <v>48</v>
      </c>
      <c r="B746" t="s">
        <v>6</v>
      </c>
      <c r="C746">
        <v>11597</v>
      </c>
      <c r="D746" t="s">
        <v>22</v>
      </c>
      <c r="E746" t="s">
        <v>8</v>
      </c>
      <c r="F746" t="s">
        <v>23</v>
      </c>
      <c r="H746">
        <v>2</v>
      </c>
      <c r="AA746">
        <v>1</v>
      </c>
      <c r="AJ746">
        <f>SUM(Post[[#This Row],[47]:[75]])</f>
        <v>3</v>
      </c>
    </row>
    <row r="747" spans="1:36" x14ac:dyDescent="0.2">
      <c r="A747" t="s">
        <v>48</v>
      </c>
      <c r="B747" t="s">
        <v>6</v>
      </c>
      <c r="C747">
        <v>12208</v>
      </c>
      <c r="D747" t="s">
        <v>22</v>
      </c>
      <c r="E747" t="s">
        <v>8</v>
      </c>
      <c r="F747" t="s">
        <v>23</v>
      </c>
      <c r="Y747">
        <v>1</v>
      </c>
      <c r="AC747">
        <v>2</v>
      </c>
      <c r="AJ747">
        <f>SUM(Post[[#This Row],[47]:[75]])</f>
        <v>3</v>
      </c>
    </row>
    <row r="748" spans="1:36" x14ac:dyDescent="0.2">
      <c r="A748" t="s">
        <v>48</v>
      </c>
      <c r="B748" t="s">
        <v>6</v>
      </c>
      <c r="C748">
        <v>14707</v>
      </c>
      <c r="D748" t="s">
        <v>22</v>
      </c>
      <c r="E748" t="s">
        <v>8</v>
      </c>
      <c r="F748" t="s">
        <v>29</v>
      </c>
      <c r="R748">
        <v>1</v>
      </c>
      <c r="AD748">
        <v>1</v>
      </c>
      <c r="AJ748">
        <f>SUM(Post[[#This Row],[47]:[75]])</f>
        <v>2</v>
      </c>
    </row>
    <row r="749" spans="1:36" x14ac:dyDescent="0.2">
      <c r="A749" t="s">
        <v>48</v>
      </c>
      <c r="B749" t="s">
        <v>6</v>
      </c>
      <c r="C749">
        <v>14990</v>
      </c>
      <c r="D749" t="s">
        <v>22</v>
      </c>
      <c r="E749" t="s">
        <v>8</v>
      </c>
      <c r="F749" t="s">
        <v>23</v>
      </c>
      <c r="H749">
        <v>1</v>
      </c>
      <c r="V749">
        <v>2</v>
      </c>
      <c r="AB749">
        <v>1</v>
      </c>
      <c r="AF749">
        <v>1</v>
      </c>
      <c r="AJ749">
        <f>SUM(Post[[#This Row],[47]:[75]])</f>
        <v>5</v>
      </c>
    </row>
    <row r="750" spans="1:36" x14ac:dyDescent="0.2">
      <c r="A750" t="s">
        <v>48</v>
      </c>
      <c r="B750" t="s">
        <v>6</v>
      </c>
      <c r="C750">
        <v>16427</v>
      </c>
      <c r="D750" t="s">
        <v>22</v>
      </c>
      <c r="E750" t="s">
        <v>8</v>
      </c>
      <c r="F750" t="s">
        <v>23</v>
      </c>
      <c r="G750">
        <v>1</v>
      </c>
      <c r="L750">
        <v>2</v>
      </c>
      <c r="Q750">
        <v>1</v>
      </c>
      <c r="U750">
        <v>1</v>
      </c>
      <c r="Z750">
        <v>1</v>
      </c>
      <c r="AD750">
        <v>1</v>
      </c>
      <c r="AH750">
        <v>1</v>
      </c>
      <c r="AJ750">
        <f>SUM(Post[[#This Row],[47]:[75]])</f>
        <v>8</v>
      </c>
    </row>
    <row r="751" spans="1:36" x14ac:dyDescent="0.2">
      <c r="A751" t="s">
        <v>48</v>
      </c>
      <c r="B751" t="s">
        <v>6</v>
      </c>
      <c r="C751">
        <v>18342</v>
      </c>
      <c r="D751" t="s">
        <v>22</v>
      </c>
      <c r="E751" t="s">
        <v>8</v>
      </c>
      <c r="F751" t="s">
        <v>29</v>
      </c>
      <c r="H751">
        <v>1</v>
      </c>
      <c r="N751">
        <v>1</v>
      </c>
      <c r="S751">
        <v>1</v>
      </c>
      <c r="X751">
        <v>1</v>
      </c>
      <c r="AC751">
        <v>1</v>
      </c>
      <c r="AH751">
        <v>1</v>
      </c>
      <c r="AJ751">
        <f>SUM(Post[[#This Row],[47]:[75]])</f>
        <v>6</v>
      </c>
    </row>
    <row r="752" spans="1:36" x14ac:dyDescent="0.2">
      <c r="A752" t="s">
        <v>48</v>
      </c>
      <c r="B752" t="s">
        <v>6</v>
      </c>
      <c r="C752">
        <v>27787</v>
      </c>
      <c r="D752" t="s">
        <v>22</v>
      </c>
      <c r="E752" t="s">
        <v>8</v>
      </c>
      <c r="F752" t="s">
        <v>9</v>
      </c>
      <c r="Q752">
        <v>1</v>
      </c>
      <c r="X752">
        <v>1</v>
      </c>
      <c r="AF752">
        <v>2</v>
      </c>
      <c r="AJ752">
        <f>SUM(Post[[#This Row],[47]:[75]])</f>
        <v>4</v>
      </c>
    </row>
    <row r="753" spans="1:36" x14ac:dyDescent="0.2">
      <c r="A753" t="s">
        <v>48</v>
      </c>
      <c r="B753" t="s">
        <v>6</v>
      </c>
      <c r="C753">
        <v>28803</v>
      </c>
      <c r="D753" t="s">
        <v>22</v>
      </c>
      <c r="E753" t="s">
        <v>8</v>
      </c>
      <c r="F753" t="s">
        <v>23</v>
      </c>
      <c r="Z753">
        <v>1</v>
      </c>
      <c r="AJ753">
        <f>SUM(Post[[#This Row],[47]:[75]])</f>
        <v>1</v>
      </c>
    </row>
    <row r="754" spans="1:36" x14ac:dyDescent="0.2">
      <c r="A754" t="s">
        <v>48</v>
      </c>
      <c r="B754" t="s">
        <v>6</v>
      </c>
      <c r="C754">
        <v>30076</v>
      </c>
      <c r="D754" t="s">
        <v>22</v>
      </c>
      <c r="E754" t="s">
        <v>8</v>
      </c>
      <c r="F754" t="s">
        <v>23</v>
      </c>
      <c r="U754">
        <v>1</v>
      </c>
      <c r="AH754">
        <v>1</v>
      </c>
      <c r="AJ754">
        <f>SUM(Post[[#This Row],[47]:[75]])</f>
        <v>2</v>
      </c>
    </row>
    <row r="755" spans="1:36" x14ac:dyDescent="0.2">
      <c r="A755" t="s">
        <v>48</v>
      </c>
      <c r="B755" t="s">
        <v>6</v>
      </c>
      <c r="C755">
        <v>30145</v>
      </c>
      <c r="D755" t="s">
        <v>22</v>
      </c>
      <c r="E755" t="s">
        <v>8</v>
      </c>
      <c r="F755" t="s">
        <v>23</v>
      </c>
      <c r="N755">
        <v>1</v>
      </c>
      <c r="AA755">
        <v>1</v>
      </c>
      <c r="AJ755">
        <f>SUM(Post[[#This Row],[47]:[75]])</f>
        <v>2</v>
      </c>
    </row>
    <row r="756" spans="1:36" x14ac:dyDescent="0.2">
      <c r="A756" t="s">
        <v>48</v>
      </c>
      <c r="B756" t="s">
        <v>6</v>
      </c>
      <c r="C756">
        <v>32275</v>
      </c>
      <c r="D756" t="s">
        <v>22</v>
      </c>
      <c r="E756" t="s">
        <v>8</v>
      </c>
      <c r="F756" t="s">
        <v>23</v>
      </c>
      <c r="N756">
        <v>1</v>
      </c>
      <c r="X756">
        <v>1</v>
      </c>
      <c r="AB756">
        <v>1</v>
      </c>
      <c r="AJ756">
        <f>SUM(Post[[#This Row],[47]:[75]])</f>
        <v>3</v>
      </c>
    </row>
    <row r="757" spans="1:36" x14ac:dyDescent="0.2">
      <c r="A757" t="s">
        <v>48</v>
      </c>
      <c r="B757" t="s">
        <v>6</v>
      </c>
      <c r="C757">
        <v>32918</v>
      </c>
      <c r="D757" t="s">
        <v>22</v>
      </c>
      <c r="E757" t="s">
        <v>8</v>
      </c>
      <c r="F757" t="s">
        <v>23</v>
      </c>
      <c r="K757">
        <v>1</v>
      </c>
      <c r="Z757">
        <v>1</v>
      </c>
      <c r="AJ757">
        <f>SUM(Post[[#This Row],[47]:[75]])</f>
        <v>2</v>
      </c>
    </row>
    <row r="758" spans="1:36" x14ac:dyDescent="0.2">
      <c r="A758" t="s">
        <v>48</v>
      </c>
      <c r="B758" t="s">
        <v>6</v>
      </c>
      <c r="C758">
        <v>1248</v>
      </c>
      <c r="D758" t="s">
        <v>7</v>
      </c>
      <c r="E758" t="s">
        <v>8</v>
      </c>
      <c r="F758" t="s">
        <v>23</v>
      </c>
      <c r="S758">
        <v>1</v>
      </c>
      <c r="AG758">
        <v>1</v>
      </c>
      <c r="AJ758">
        <f>SUM(Post[[#This Row],[47]:[75]])</f>
        <v>2</v>
      </c>
    </row>
    <row r="759" spans="1:36" x14ac:dyDescent="0.2">
      <c r="A759" t="s">
        <v>48</v>
      </c>
      <c r="B759" t="s">
        <v>6</v>
      </c>
      <c r="C759">
        <v>2669</v>
      </c>
      <c r="D759" t="s">
        <v>7</v>
      </c>
      <c r="E759" t="s">
        <v>8</v>
      </c>
      <c r="F759" t="s">
        <v>23</v>
      </c>
      <c r="J759">
        <v>1</v>
      </c>
      <c r="U759">
        <v>1</v>
      </c>
      <c r="AF759">
        <v>1</v>
      </c>
      <c r="AJ759">
        <f>SUM(Post[[#This Row],[47]:[75]])</f>
        <v>3</v>
      </c>
    </row>
    <row r="760" spans="1:36" x14ac:dyDescent="0.2">
      <c r="A760" t="s">
        <v>48</v>
      </c>
      <c r="B760" t="s">
        <v>6</v>
      </c>
      <c r="C760">
        <v>4004</v>
      </c>
      <c r="D760" t="s">
        <v>7</v>
      </c>
      <c r="E760" t="s">
        <v>8</v>
      </c>
      <c r="F760" t="s">
        <v>23</v>
      </c>
      <c r="AJ760">
        <f>SUM(Post[[#This Row],[47]:[75]])</f>
        <v>0</v>
      </c>
    </row>
    <row r="761" spans="1:36" x14ac:dyDescent="0.2">
      <c r="A761" t="s">
        <v>48</v>
      </c>
      <c r="B761" t="s">
        <v>6</v>
      </c>
      <c r="C761">
        <v>4004</v>
      </c>
      <c r="D761" t="s">
        <v>7</v>
      </c>
      <c r="E761" t="s">
        <v>8</v>
      </c>
      <c r="F761" t="s">
        <v>9</v>
      </c>
      <c r="G761">
        <v>1</v>
      </c>
      <c r="T761">
        <v>1</v>
      </c>
      <c r="AG761">
        <v>2</v>
      </c>
      <c r="AJ761">
        <f>SUM(Post[[#This Row],[47]:[75]])</f>
        <v>4</v>
      </c>
    </row>
    <row r="762" spans="1:36" x14ac:dyDescent="0.2">
      <c r="A762" t="s">
        <v>48</v>
      </c>
      <c r="B762" t="s">
        <v>6</v>
      </c>
      <c r="C762">
        <v>6173</v>
      </c>
      <c r="D762" t="s">
        <v>7</v>
      </c>
      <c r="E762" t="s">
        <v>8</v>
      </c>
      <c r="F762" t="s">
        <v>9</v>
      </c>
      <c r="U762">
        <v>2</v>
      </c>
      <c r="AJ762">
        <f>SUM(Post[[#This Row],[47]:[75]])</f>
        <v>2</v>
      </c>
    </row>
    <row r="763" spans="1:36" x14ac:dyDescent="0.2">
      <c r="A763" t="s">
        <v>48</v>
      </c>
      <c r="B763" t="s">
        <v>6</v>
      </c>
      <c r="C763">
        <v>7772</v>
      </c>
      <c r="D763" t="s">
        <v>7</v>
      </c>
      <c r="E763" t="s">
        <v>8</v>
      </c>
      <c r="F763" t="s">
        <v>9</v>
      </c>
      <c r="AJ763">
        <f>SUM(Post[[#This Row],[47]:[75]])</f>
        <v>0</v>
      </c>
    </row>
    <row r="764" spans="1:36" x14ac:dyDescent="0.2">
      <c r="A764" t="s">
        <v>48</v>
      </c>
      <c r="B764" t="s">
        <v>6</v>
      </c>
      <c r="C764">
        <v>14991</v>
      </c>
      <c r="D764" t="s">
        <v>7</v>
      </c>
      <c r="E764" t="s">
        <v>37</v>
      </c>
      <c r="F764" t="s">
        <v>39</v>
      </c>
      <c r="Y764">
        <v>1</v>
      </c>
      <c r="AF764">
        <v>1</v>
      </c>
      <c r="AJ764">
        <f>SUM(Post[[#This Row],[47]:[75]])</f>
        <v>2</v>
      </c>
    </row>
    <row r="765" spans="1:36" x14ac:dyDescent="0.2">
      <c r="A765" t="s">
        <v>48</v>
      </c>
      <c r="B765" t="s">
        <v>6</v>
      </c>
      <c r="C765">
        <v>14991</v>
      </c>
      <c r="D765" t="s">
        <v>7</v>
      </c>
      <c r="E765" t="s">
        <v>8</v>
      </c>
      <c r="F765" t="s">
        <v>9</v>
      </c>
      <c r="T765">
        <v>1</v>
      </c>
      <c r="U765">
        <v>1</v>
      </c>
      <c r="X765">
        <v>1</v>
      </c>
      <c r="AF765">
        <v>2</v>
      </c>
      <c r="AH765">
        <v>2</v>
      </c>
      <c r="AJ765">
        <f>SUM(Post[[#This Row],[47]:[75]])</f>
        <v>7</v>
      </c>
    </row>
    <row r="766" spans="1:36" x14ac:dyDescent="0.2">
      <c r="A766" t="s">
        <v>48</v>
      </c>
      <c r="B766" t="s">
        <v>6</v>
      </c>
      <c r="C766">
        <v>29134</v>
      </c>
      <c r="D766" t="s">
        <v>7</v>
      </c>
      <c r="E766" t="s">
        <v>8</v>
      </c>
      <c r="F766" t="s">
        <v>47</v>
      </c>
      <c r="AJ766">
        <f>SUM(Post[[#This Row],[47]:[75]])</f>
        <v>0</v>
      </c>
    </row>
    <row r="767" spans="1:36" x14ac:dyDescent="0.2">
      <c r="A767" t="s">
        <v>48</v>
      </c>
      <c r="B767" t="s">
        <v>6</v>
      </c>
      <c r="C767">
        <v>29134</v>
      </c>
      <c r="D767" t="s">
        <v>7</v>
      </c>
      <c r="E767" t="s">
        <v>8</v>
      </c>
      <c r="F767" t="s">
        <v>23</v>
      </c>
      <c r="AJ767">
        <f>SUM(Post[[#This Row],[47]:[75]])</f>
        <v>0</v>
      </c>
    </row>
    <row r="768" spans="1:36" x14ac:dyDescent="0.2">
      <c r="A768" t="s">
        <v>48</v>
      </c>
      <c r="B768" t="s">
        <v>6</v>
      </c>
      <c r="C768">
        <v>4241</v>
      </c>
      <c r="D768" t="s">
        <v>22</v>
      </c>
      <c r="E768" t="s">
        <v>8</v>
      </c>
      <c r="F768" t="s">
        <v>29</v>
      </c>
      <c r="H768">
        <v>1</v>
      </c>
      <c r="V768">
        <v>1</v>
      </c>
      <c r="AJ768">
        <f>SUM(Post[[#This Row],[47]:[75]])</f>
        <v>2</v>
      </c>
    </row>
    <row r="769" spans="1:36" x14ac:dyDescent="0.2">
      <c r="A769" t="s">
        <v>48</v>
      </c>
      <c r="B769" t="s">
        <v>6</v>
      </c>
      <c r="C769">
        <v>9757</v>
      </c>
      <c r="D769" t="s">
        <v>22</v>
      </c>
      <c r="E769" t="s">
        <v>8</v>
      </c>
      <c r="F769" t="s">
        <v>23</v>
      </c>
      <c r="H769">
        <v>1</v>
      </c>
      <c r="V769">
        <v>1</v>
      </c>
      <c r="AH769">
        <v>1</v>
      </c>
      <c r="AJ769">
        <f>SUM(Post[[#This Row],[47]:[75]])</f>
        <v>3</v>
      </c>
    </row>
    <row r="770" spans="1:36" x14ac:dyDescent="0.2">
      <c r="A770" t="s">
        <v>48</v>
      </c>
      <c r="B770" t="s">
        <v>6</v>
      </c>
      <c r="C770">
        <v>15642</v>
      </c>
      <c r="D770" t="s">
        <v>22</v>
      </c>
      <c r="E770" t="s">
        <v>8</v>
      </c>
      <c r="F770" t="s">
        <v>23</v>
      </c>
      <c r="J770">
        <v>1</v>
      </c>
      <c r="Y770">
        <v>1</v>
      </c>
      <c r="AJ770">
        <f>SUM(Post[[#This Row],[47]:[75]])</f>
        <v>2</v>
      </c>
    </row>
    <row r="771" spans="1:36" x14ac:dyDescent="0.2">
      <c r="A771" t="s">
        <v>48</v>
      </c>
      <c r="B771" t="s">
        <v>6</v>
      </c>
      <c r="C771">
        <v>21351</v>
      </c>
      <c r="D771" t="s">
        <v>22</v>
      </c>
      <c r="E771" t="s">
        <v>8</v>
      </c>
      <c r="F771" t="s">
        <v>9</v>
      </c>
      <c r="AJ771">
        <f>SUM(Post[[#This Row],[47]:[75]])</f>
        <v>0</v>
      </c>
    </row>
    <row r="772" spans="1:36" x14ac:dyDescent="0.2">
      <c r="A772" t="s">
        <v>48</v>
      </c>
      <c r="B772" t="s">
        <v>6</v>
      </c>
      <c r="C772">
        <v>21933</v>
      </c>
      <c r="D772" t="s">
        <v>22</v>
      </c>
      <c r="E772" t="s">
        <v>8</v>
      </c>
      <c r="F772" t="s">
        <v>9</v>
      </c>
      <c r="AD772">
        <v>1</v>
      </c>
      <c r="AJ772">
        <f>SUM(Post[[#This Row],[47]:[75]])</f>
        <v>1</v>
      </c>
    </row>
    <row r="773" spans="1:36" x14ac:dyDescent="0.2">
      <c r="A773" t="s">
        <v>48</v>
      </c>
      <c r="B773" t="s">
        <v>6</v>
      </c>
      <c r="C773">
        <v>29458</v>
      </c>
      <c r="D773" t="s">
        <v>22</v>
      </c>
      <c r="E773" t="s">
        <v>8</v>
      </c>
      <c r="F773" t="s">
        <v>23</v>
      </c>
      <c r="J773">
        <v>1</v>
      </c>
      <c r="N773">
        <v>1</v>
      </c>
      <c r="R773">
        <v>1</v>
      </c>
      <c r="V773">
        <v>1</v>
      </c>
      <c r="Z773">
        <v>1</v>
      </c>
      <c r="AD773">
        <v>1</v>
      </c>
      <c r="AH773">
        <v>1</v>
      </c>
      <c r="AJ773">
        <f>SUM(Post[[#This Row],[47]:[75]])</f>
        <v>7</v>
      </c>
    </row>
    <row r="774" spans="1:36" x14ac:dyDescent="0.2">
      <c r="A774" t="s">
        <v>7</v>
      </c>
      <c r="B774" t="s">
        <v>6</v>
      </c>
      <c r="C774">
        <v>959</v>
      </c>
      <c r="D774" t="s">
        <v>7</v>
      </c>
      <c r="E774" t="s">
        <v>8</v>
      </c>
      <c r="F774" t="s">
        <v>23</v>
      </c>
      <c r="K774">
        <v>1</v>
      </c>
      <c r="AB774">
        <v>1</v>
      </c>
      <c r="AJ774">
        <f>SUM(Post[[#This Row],[47]:[75]])</f>
        <v>2</v>
      </c>
    </row>
    <row r="775" spans="1:36" x14ac:dyDescent="0.2">
      <c r="A775" t="s">
        <v>7</v>
      </c>
      <c r="B775" t="s">
        <v>6</v>
      </c>
      <c r="C775">
        <v>3179</v>
      </c>
      <c r="D775" t="s">
        <v>7</v>
      </c>
      <c r="E775" t="s">
        <v>37</v>
      </c>
      <c r="F775" t="s">
        <v>39</v>
      </c>
      <c r="P775">
        <v>1</v>
      </c>
      <c r="Q775">
        <v>2</v>
      </c>
      <c r="U775">
        <v>2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2</v>
      </c>
      <c r="AF775">
        <v>1</v>
      </c>
      <c r="AG775">
        <v>1</v>
      </c>
      <c r="AH775">
        <v>1</v>
      </c>
      <c r="AI775">
        <v>1</v>
      </c>
      <c r="AJ775">
        <f>SUM(Post[[#This Row],[47]:[75]])</f>
        <v>20</v>
      </c>
    </row>
    <row r="776" spans="1:36" x14ac:dyDescent="0.2">
      <c r="A776" t="s">
        <v>7</v>
      </c>
      <c r="B776" t="s">
        <v>6</v>
      </c>
      <c r="C776">
        <v>3179</v>
      </c>
      <c r="D776" t="s">
        <v>7</v>
      </c>
      <c r="E776" t="s">
        <v>8</v>
      </c>
      <c r="F776" t="s">
        <v>9</v>
      </c>
      <c r="I776">
        <v>1</v>
      </c>
      <c r="N776">
        <v>1</v>
      </c>
      <c r="S776">
        <v>1</v>
      </c>
      <c r="AJ776">
        <f>SUM(Post[[#This Row],[47]:[75]])</f>
        <v>3</v>
      </c>
    </row>
    <row r="777" spans="1:36" x14ac:dyDescent="0.2">
      <c r="A777" t="s">
        <v>7</v>
      </c>
      <c r="B777" t="s">
        <v>6</v>
      </c>
      <c r="C777">
        <v>3179</v>
      </c>
      <c r="D777" t="s">
        <v>7</v>
      </c>
      <c r="E777" t="s">
        <v>8</v>
      </c>
      <c r="F777" t="s">
        <v>29</v>
      </c>
      <c r="AJ777">
        <f>SUM(Post[[#This Row],[47]:[75]])</f>
        <v>0</v>
      </c>
    </row>
    <row r="778" spans="1:36" x14ac:dyDescent="0.2">
      <c r="A778" t="s">
        <v>7</v>
      </c>
      <c r="B778" t="s">
        <v>6</v>
      </c>
      <c r="C778">
        <v>4473</v>
      </c>
      <c r="D778" t="s">
        <v>7</v>
      </c>
      <c r="E778" t="s">
        <v>8</v>
      </c>
      <c r="F778" t="s">
        <v>23</v>
      </c>
      <c r="AJ778">
        <f>SUM(Post[[#This Row],[47]:[75]])</f>
        <v>0</v>
      </c>
    </row>
    <row r="779" spans="1:36" x14ac:dyDescent="0.2">
      <c r="A779" t="s">
        <v>7</v>
      </c>
      <c r="B779" t="s">
        <v>6</v>
      </c>
      <c r="C779">
        <v>4473</v>
      </c>
      <c r="D779" t="s">
        <v>7</v>
      </c>
      <c r="E779" t="s">
        <v>8</v>
      </c>
      <c r="F779" t="s">
        <v>9</v>
      </c>
      <c r="G779">
        <v>1</v>
      </c>
      <c r="K779">
        <v>1</v>
      </c>
      <c r="P779">
        <v>1</v>
      </c>
      <c r="U779">
        <v>1</v>
      </c>
      <c r="Y779">
        <v>1</v>
      </c>
      <c r="AC779">
        <v>1</v>
      </c>
      <c r="AH779">
        <v>1</v>
      </c>
      <c r="AJ779">
        <f>SUM(Post[[#This Row],[47]:[75]])</f>
        <v>7</v>
      </c>
    </row>
    <row r="780" spans="1:36" x14ac:dyDescent="0.2">
      <c r="A780" t="s">
        <v>7</v>
      </c>
      <c r="B780" t="s">
        <v>6</v>
      </c>
      <c r="C780">
        <v>6113</v>
      </c>
      <c r="D780" t="s">
        <v>7</v>
      </c>
      <c r="E780" t="s">
        <v>8</v>
      </c>
      <c r="F780" t="s">
        <v>29</v>
      </c>
      <c r="Z780">
        <v>1</v>
      </c>
      <c r="AJ780">
        <f>SUM(Post[[#This Row],[47]:[75]])</f>
        <v>1</v>
      </c>
    </row>
    <row r="781" spans="1:36" x14ac:dyDescent="0.2">
      <c r="A781" t="s">
        <v>7</v>
      </c>
      <c r="B781" t="s">
        <v>6</v>
      </c>
      <c r="C781">
        <v>14157</v>
      </c>
      <c r="D781" t="s">
        <v>7</v>
      </c>
      <c r="E781" t="s">
        <v>8</v>
      </c>
      <c r="F781" t="s">
        <v>29</v>
      </c>
      <c r="AJ781">
        <f>SUM(Post[[#This Row],[47]:[75]])</f>
        <v>0</v>
      </c>
    </row>
    <row r="782" spans="1:36" x14ac:dyDescent="0.2">
      <c r="A782" t="s">
        <v>7</v>
      </c>
      <c r="B782" t="s">
        <v>6</v>
      </c>
      <c r="C782">
        <v>14497</v>
      </c>
      <c r="D782" t="s">
        <v>7</v>
      </c>
      <c r="E782" t="s">
        <v>32</v>
      </c>
      <c r="F782" t="s">
        <v>33</v>
      </c>
      <c r="AJ782">
        <f>SUM(Post[[#This Row],[47]:[75]])</f>
        <v>0</v>
      </c>
    </row>
    <row r="783" spans="1:36" x14ac:dyDescent="0.2">
      <c r="A783" t="s">
        <v>7</v>
      </c>
      <c r="B783" t="s">
        <v>6</v>
      </c>
      <c r="C783">
        <v>14994</v>
      </c>
      <c r="D783" t="s">
        <v>7</v>
      </c>
      <c r="E783" t="s">
        <v>8</v>
      </c>
      <c r="F783" t="s">
        <v>29</v>
      </c>
      <c r="Q783">
        <v>1</v>
      </c>
      <c r="U783">
        <v>1</v>
      </c>
      <c r="Z783">
        <v>1</v>
      </c>
      <c r="AJ783">
        <f>SUM(Post[[#This Row],[47]:[75]])</f>
        <v>3</v>
      </c>
    </row>
    <row r="784" spans="1:36" x14ac:dyDescent="0.2">
      <c r="A784" t="s">
        <v>7</v>
      </c>
      <c r="B784" t="s">
        <v>6</v>
      </c>
      <c r="C784">
        <v>15455</v>
      </c>
      <c r="D784" t="s">
        <v>7</v>
      </c>
      <c r="E784" t="s">
        <v>14</v>
      </c>
      <c r="F784" t="s">
        <v>20</v>
      </c>
      <c r="I784">
        <v>2</v>
      </c>
      <c r="W784">
        <v>1</v>
      </c>
      <c r="AJ784">
        <f>SUM(Post[[#This Row],[47]:[75]])</f>
        <v>3</v>
      </c>
    </row>
    <row r="785" spans="1:36" x14ac:dyDescent="0.2">
      <c r="A785" t="s">
        <v>7</v>
      </c>
      <c r="B785" t="s">
        <v>6</v>
      </c>
      <c r="C785">
        <v>18410</v>
      </c>
      <c r="D785" t="s">
        <v>7</v>
      </c>
      <c r="E785" t="s">
        <v>14</v>
      </c>
      <c r="F785" t="s">
        <v>31</v>
      </c>
      <c r="L785">
        <v>1</v>
      </c>
      <c r="Z785">
        <v>1</v>
      </c>
      <c r="AJ785">
        <f>SUM(Post[[#This Row],[47]:[75]])</f>
        <v>2</v>
      </c>
    </row>
    <row r="786" spans="1:36" x14ac:dyDescent="0.2">
      <c r="A786" t="s">
        <v>7</v>
      </c>
      <c r="B786" t="s">
        <v>6</v>
      </c>
      <c r="C786">
        <v>557</v>
      </c>
      <c r="D786" t="s">
        <v>22</v>
      </c>
      <c r="E786" t="s">
        <v>8</v>
      </c>
      <c r="F786" t="s">
        <v>29</v>
      </c>
      <c r="AJ786">
        <f>SUM(Post[[#This Row],[47]:[75]])</f>
        <v>0</v>
      </c>
    </row>
    <row r="787" spans="1:36" x14ac:dyDescent="0.2">
      <c r="A787" t="s">
        <v>7</v>
      </c>
      <c r="B787" t="s">
        <v>6</v>
      </c>
      <c r="C787">
        <v>3900</v>
      </c>
      <c r="D787" t="s">
        <v>22</v>
      </c>
      <c r="E787" t="s">
        <v>14</v>
      </c>
      <c r="F787" t="s">
        <v>19</v>
      </c>
      <c r="AJ787">
        <f>SUM(Post[[#This Row],[47]:[75]])</f>
        <v>0</v>
      </c>
    </row>
    <row r="788" spans="1:36" x14ac:dyDescent="0.2">
      <c r="A788" t="s">
        <v>7</v>
      </c>
      <c r="B788" t="s">
        <v>6</v>
      </c>
      <c r="C788">
        <v>6265</v>
      </c>
      <c r="D788" t="s">
        <v>22</v>
      </c>
      <c r="E788" t="s">
        <v>8</v>
      </c>
      <c r="F788" t="s">
        <v>29</v>
      </c>
      <c r="G788">
        <v>1</v>
      </c>
      <c r="K788">
        <v>1</v>
      </c>
      <c r="O788">
        <v>1</v>
      </c>
      <c r="S788">
        <v>1</v>
      </c>
      <c r="W788">
        <v>1</v>
      </c>
      <c r="AA788">
        <v>1</v>
      </c>
      <c r="AE788">
        <v>1</v>
      </c>
      <c r="AJ788">
        <f>SUM(Post[[#This Row],[47]:[75]])</f>
        <v>7</v>
      </c>
    </row>
    <row r="789" spans="1:36" x14ac:dyDescent="0.2">
      <c r="A789" t="s">
        <v>7</v>
      </c>
      <c r="B789" t="s">
        <v>6</v>
      </c>
      <c r="C789">
        <v>6267</v>
      </c>
      <c r="D789" t="s">
        <v>22</v>
      </c>
      <c r="E789" t="s">
        <v>40</v>
      </c>
      <c r="F789" t="s">
        <v>44</v>
      </c>
      <c r="AD789">
        <v>1</v>
      </c>
      <c r="AE789">
        <v>1</v>
      </c>
      <c r="AF789">
        <v>1</v>
      </c>
      <c r="AH789">
        <v>1</v>
      </c>
      <c r="AJ789">
        <f>SUM(Post[[#This Row],[47]:[75]])</f>
        <v>4</v>
      </c>
    </row>
    <row r="790" spans="1:36" x14ac:dyDescent="0.2">
      <c r="A790" t="s">
        <v>7</v>
      </c>
      <c r="B790" t="s">
        <v>6</v>
      </c>
      <c r="C790">
        <v>6491</v>
      </c>
      <c r="D790" t="s">
        <v>22</v>
      </c>
      <c r="E790" t="s">
        <v>8</v>
      </c>
      <c r="F790" t="s">
        <v>34</v>
      </c>
      <c r="AC790">
        <v>1</v>
      </c>
      <c r="AJ790">
        <f>SUM(Post[[#This Row],[47]:[75]])</f>
        <v>1</v>
      </c>
    </row>
    <row r="791" spans="1:36" x14ac:dyDescent="0.2">
      <c r="A791" t="s">
        <v>7</v>
      </c>
      <c r="B791" t="s">
        <v>6</v>
      </c>
      <c r="C791">
        <v>9180</v>
      </c>
      <c r="D791" t="s">
        <v>22</v>
      </c>
      <c r="E791" t="s">
        <v>8</v>
      </c>
      <c r="F791" t="s">
        <v>23</v>
      </c>
      <c r="P791">
        <v>1</v>
      </c>
      <c r="AC791">
        <v>1</v>
      </c>
      <c r="AJ791">
        <f>SUM(Post[[#This Row],[47]:[75]])</f>
        <v>2</v>
      </c>
    </row>
    <row r="792" spans="1:36" x14ac:dyDescent="0.2">
      <c r="A792" t="s">
        <v>7</v>
      </c>
      <c r="B792" t="s">
        <v>6</v>
      </c>
      <c r="C792">
        <v>9185</v>
      </c>
      <c r="D792" t="s">
        <v>22</v>
      </c>
      <c r="E792" t="s">
        <v>17</v>
      </c>
      <c r="F792" t="s">
        <v>18</v>
      </c>
      <c r="U792">
        <v>1</v>
      </c>
      <c r="AJ792">
        <f>SUM(Post[[#This Row],[47]:[75]])</f>
        <v>1</v>
      </c>
    </row>
    <row r="793" spans="1:36" x14ac:dyDescent="0.2">
      <c r="A793" t="s">
        <v>7</v>
      </c>
      <c r="B793" t="s">
        <v>6</v>
      </c>
      <c r="C793">
        <v>9208</v>
      </c>
      <c r="D793" t="s">
        <v>22</v>
      </c>
      <c r="E793" t="s">
        <v>10</v>
      </c>
      <c r="F793" t="s">
        <v>16</v>
      </c>
      <c r="AJ793">
        <f>SUM(Post[[#This Row],[47]:[75]])</f>
        <v>0</v>
      </c>
    </row>
    <row r="794" spans="1:36" x14ac:dyDescent="0.2">
      <c r="A794" t="s">
        <v>7</v>
      </c>
      <c r="B794" t="s">
        <v>6</v>
      </c>
      <c r="C794">
        <v>9765</v>
      </c>
      <c r="D794" t="s">
        <v>22</v>
      </c>
      <c r="E794" t="s">
        <v>8</v>
      </c>
      <c r="F794" t="s">
        <v>23</v>
      </c>
      <c r="L794">
        <v>1</v>
      </c>
      <c r="Z794">
        <v>1</v>
      </c>
      <c r="AJ794">
        <f>SUM(Post[[#This Row],[47]:[75]])</f>
        <v>2</v>
      </c>
    </row>
    <row r="795" spans="1:36" x14ac:dyDescent="0.2">
      <c r="A795" t="s">
        <v>7</v>
      </c>
      <c r="B795" t="s">
        <v>6</v>
      </c>
      <c r="C795">
        <v>11457</v>
      </c>
      <c r="D795" t="s">
        <v>22</v>
      </c>
      <c r="E795" t="s">
        <v>8</v>
      </c>
      <c r="F795" t="s">
        <v>23</v>
      </c>
      <c r="I795">
        <v>1</v>
      </c>
      <c r="Y795">
        <v>1</v>
      </c>
      <c r="AJ795">
        <f>SUM(Post[[#This Row],[47]:[75]])</f>
        <v>2</v>
      </c>
    </row>
    <row r="796" spans="1:36" x14ac:dyDescent="0.2">
      <c r="A796" t="s">
        <v>7</v>
      </c>
      <c r="B796" t="s">
        <v>6</v>
      </c>
      <c r="C796">
        <v>11561</v>
      </c>
      <c r="D796" t="s">
        <v>22</v>
      </c>
      <c r="E796" t="s">
        <v>8</v>
      </c>
      <c r="F796" t="s">
        <v>34</v>
      </c>
      <c r="K796">
        <v>1</v>
      </c>
      <c r="Y796">
        <v>1</v>
      </c>
      <c r="AJ796">
        <f>SUM(Post[[#This Row],[47]:[75]])</f>
        <v>2</v>
      </c>
    </row>
    <row r="797" spans="1:36" x14ac:dyDescent="0.2">
      <c r="A797" t="s">
        <v>7</v>
      </c>
      <c r="B797" t="s">
        <v>6</v>
      </c>
      <c r="C797">
        <v>12338</v>
      </c>
      <c r="D797" t="s">
        <v>22</v>
      </c>
      <c r="E797" t="s">
        <v>8</v>
      </c>
      <c r="F797" t="s">
        <v>34</v>
      </c>
      <c r="K797">
        <v>1</v>
      </c>
      <c r="AF797">
        <v>2</v>
      </c>
      <c r="AJ797">
        <f>SUM(Post[[#This Row],[47]:[75]])</f>
        <v>3</v>
      </c>
    </row>
    <row r="798" spans="1:36" x14ac:dyDescent="0.2">
      <c r="A798" t="s">
        <v>7</v>
      </c>
      <c r="B798" t="s">
        <v>6</v>
      </c>
      <c r="C798">
        <v>13640</v>
      </c>
      <c r="D798" t="s">
        <v>22</v>
      </c>
      <c r="E798" t="s">
        <v>8</v>
      </c>
      <c r="F798" t="s">
        <v>23</v>
      </c>
      <c r="S798">
        <v>1</v>
      </c>
      <c r="AC798">
        <v>1</v>
      </c>
      <c r="AJ798">
        <f>SUM(Post[[#This Row],[47]:[75]])</f>
        <v>2</v>
      </c>
    </row>
    <row r="799" spans="1:36" x14ac:dyDescent="0.2">
      <c r="A799" t="s">
        <v>7</v>
      </c>
      <c r="B799" t="s">
        <v>6</v>
      </c>
      <c r="C799">
        <v>13927</v>
      </c>
      <c r="D799" t="s">
        <v>22</v>
      </c>
      <c r="E799" t="s">
        <v>8</v>
      </c>
      <c r="F799" t="s">
        <v>29</v>
      </c>
      <c r="S799">
        <v>1</v>
      </c>
      <c r="AE799">
        <v>1</v>
      </c>
      <c r="AJ799">
        <f>SUM(Post[[#This Row],[47]:[75]])</f>
        <v>2</v>
      </c>
    </row>
    <row r="800" spans="1:36" x14ac:dyDescent="0.2">
      <c r="A800" t="s">
        <v>7</v>
      </c>
      <c r="B800" t="s">
        <v>6</v>
      </c>
      <c r="C800">
        <v>14342</v>
      </c>
      <c r="D800" t="s">
        <v>22</v>
      </c>
      <c r="E800" t="s">
        <v>14</v>
      </c>
      <c r="F800" t="s">
        <v>20</v>
      </c>
      <c r="AJ800">
        <f>SUM(Post[[#This Row],[47]:[75]])</f>
        <v>0</v>
      </c>
    </row>
    <row r="801" spans="1:36" x14ac:dyDescent="0.2">
      <c r="A801" t="s">
        <v>7</v>
      </c>
      <c r="B801" t="s">
        <v>6</v>
      </c>
      <c r="C801">
        <v>15441</v>
      </c>
      <c r="D801" t="s">
        <v>22</v>
      </c>
      <c r="E801" t="s">
        <v>8</v>
      </c>
      <c r="F801" t="s">
        <v>29</v>
      </c>
      <c r="K801">
        <v>1</v>
      </c>
      <c r="O801">
        <v>1</v>
      </c>
      <c r="Z801">
        <v>1</v>
      </c>
      <c r="AJ801">
        <f>SUM(Post[[#This Row],[47]:[75]])</f>
        <v>3</v>
      </c>
    </row>
    <row r="802" spans="1:36" x14ac:dyDescent="0.2">
      <c r="A802" t="s">
        <v>7</v>
      </c>
      <c r="B802" t="s">
        <v>6</v>
      </c>
      <c r="C802">
        <v>15442</v>
      </c>
      <c r="D802" t="s">
        <v>22</v>
      </c>
      <c r="E802" t="s">
        <v>14</v>
      </c>
      <c r="F802" t="s">
        <v>20</v>
      </c>
      <c r="AH802">
        <v>1</v>
      </c>
      <c r="AJ802">
        <f>SUM(Post[[#This Row],[47]:[75]])</f>
        <v>1</v>
      </c>
    </row>
    <row r="803" spans="1:36" x14ac:dyDescent="0.2">
      <c r="A803" t="s">
        <v>7</v>
      </c>
      <c r="B803" t="s">
        <v>6</v>
      </c>
      <c r="C803">
        <v>15673</v>
      </c>
      <c r="D803" t="s">
        <v>22</v>
      </c>
      <c r="E803" t="s">
        <v>8</v>
      </c>
      <c r="F803" t="s">
        <v>23</v>
      </c>
      <c r="K803">
        <v>1</v>
      </c>
      <c r="P803">
        <v>1</v>
      </c>
      <c r="T803">
        <v>1</v>
      </c>
      <c r="X803">
        <v>1</v>
      </c>
      <c r="AD803">
        <v>1</v>
      </c>
      <c r="AG803">
        <v>1</v>
      </c>
      <c r="AJ803">
        <f>SUM(Post[[#This Row],[47]:[75]])</f>
        <v>6</v>
      </c>
    </row>
    <row r="804" spans="1:36" x14ac:dyDescent="0.2">
      <c r="A804" t="s">
        <v>7</v>
      </c>
      <c r="B804" t="s">
        <v>6</v>
      </c>
      <c r="C804">
        <v>15673</v>
      </c>
      <c r="D804" t="s">
        <v>22</v>
      </c>
      <c r="E804" t="s">
        <v>14</v>
      </c>
      <c r="F804" t="s">
        <v>20</v>
      </c>
      <c r="AJ804">
        <f>SUM(Post[[#This Row],[47]:[75]])</f>
        <v>0</v>
      </c>
    </row>
    <row r="805" spans="1:36" x14ac:dyDescent="0.2">
      <c r="A805" t="s">
        <v>7</v>
      </c>
      <c r="B805" t="s">
        <v>6</v>
      </c>
      <c r="C805">
        <v>15691</v>
      </c>
      <c r="D805" t="s">
        <v>22</v>
      </c>
      <c r="E805" t="s">
        <v>14</v>
      </c>
      <c r="F805" t="s">
        <v>20</v>
      </c>
      <c r="P805">
        <v>1</v>
      </c>
      <c r="W805">
        <v>1</v>
      </c>
      <c r="AG805">
        <v>1</v>
      </c>
      <c r="AJ805">
        <f>SUM(Post[[#This Row],[47]:[75]])</f>
        <v>3</v>
      </c>
    </row>
    <row r="806" spans="1:36" x14ac:dyDescent="0.2">
      <c r="A806" t="s">
        <v>7</v>
      </c>
      <c r="B806" t="s">
        <v>6</v>
      </c>
      <c r="C806">
        <v>15753</v>
      </c>
      <c r="D806" t="s">
        <v>22</v>
      </c>
      <c r="E806" t="s">
        <v>8</v>
      </c>
      <c r="F806" t="s">
        <v>9</v>
      </c>
      <c r="R806">
        <v>1</v>
      </c>
      <c r="AG806">
        <v>1</v>
      </c>
      <c r="AJ806">
        <f>SUM(Post[[#This Row],[47]:[75]])</f>
        <v>2</v>
      </c>
    </row>
    <row r="807" spans="1:36" x14ac:dyDescent="0.2">
      <c r="A807" t="s">
        <v>7</v>
      </c>
      <c r="B807" t="s">
        <v>6</v>
      </c>
      <c r="C807">
        <v>16064</v>
      </c>
      <c r="D807" t="s">
        <v>22</v>
      </c>
      <c r="E807" t="s">
        <v>8</v>
      </c>
      <c r="F807" t="s">
        <v>29</v>
      </c>
      <c r="AJ807">
        <f>SUM(Post[[#This Row],[47]:[75]])</f>
        <v>0</v>
      </c>
    </row>
    <row r="808" spans="1:36" x14ac:dyDescent="0.2">
      <c r="A808" t="s">
        <v>7</v>
      </c>
      <c r="B808" t="s">
        <v>6</v>
      </c>
      <c r="C808">
        <v>17932</v>
      </c>
      <c r="D808" t="s">
        <v>22</v>
      </c>
      <c r="E808" t="s">
        <v>14</v>
      </c>
      <c r="F808" t="s">
        <v>20</v>
      </c>
      <c r="K808">
        <v>1</v>
      </c>
      <c r="AJ808">
        <f>SUM(Post[[#This Row],[47]:[75]])</f>
        <v>1</v>
      </c>
    </row>
    <row r="809" spans="1:36" x14ac:dyDescent="0.2">
      <c r="A809" t="s">
        <v>7</v>
      </c>
      <c r="B809" t="s">
        <v>6</v>
      </c>
      <c r="C809">
        <v>21038</v>
      </c>
      <c r="D809" t="s">
        <v>22</v>
      </c>
      <c r="E809" t="s">
        <v>14</v>
      </c>
      <c r="F809" t="s">
        <v>20</v>
      </c>
      <c r="AJ809">
        <f>SUM(Post[[#This Row],[47]:[75]])</f>
        <v>0</v>
      </c>
    </row>
    <row r="810" spans="1:36" x14ac:dyDescent="0.2">
      <c r="A810" t="s">
        <v>7</v>
      </c>
      <c r="B810" t="s">
        <v>6</v>
      </c>
      <c r="C810">
        <v>153</v>
      </c>
      <c r="D810" t="s">
        <v>7</v>
      </c>
      <c r="E810" t="s">
        <v>14</v>
      </c>
      <c r="F810" t="s">
        <v>31</v>
      </c>
      <c r="Z810">
        <v>1</v>
      </c>
      <c r="AJ810">
        <f>SUM(Post[[#This Row],[47]:[75]])</f>
        <v>1</v>
      </c>
    </row>
    <row r="811" spans="1:36" x14ac:dyDescent="0.2">
      <c r="A811" t="s">
        <v>7</v>
      </c>
      <c r="B811" t="s">
        <v>6</v>
      </c>
      <c r="C811">
        <v>188</v>
      </c>
      <c r="D811" t="s">
        <v>7</v>
      </c>
      <c r="E811" t="s">
        <v>10</v>
      </c>
      <c r="F811" t="s">
        <v>11</v>
      </c>
      <c r="U811">
        <v>1</v>
      </c>
      <c r="AD811">
        <v>1</v>
      </c>
      <c r="AJ811">
        <f>SUM(Post[[#This Row],[47]:[75]])</f>
        <v>2</v>
      </c>
    </row>
    <row r="812" spans="1:36" x14ac:dyDescent="0.2">
      <c r="A812" t="s">
        <v>7</v>
      </c>
      <c r="B812" t="s">
        <v>6</v>
      </c>
      <c r="C812">
        <v>188</v>
      </c>
      <c r="D812" t="s">
        <v>7</v>
      </c>
      <c r="E812" t="s">
        <v>14</v>
      </c>
      <c r="F812" t="s">
        <v>20</v>
      </c>
      <c r="AJ812">
        <f>SUM(Post[[#This Row],[47]:[75]])</f>
        <v>0</v>
      </c>
    </row>
    <row r="813" spans="1:36" x14ac:dyDescent="0.2">
      <c r="A813" t="s">
        <v>7</v>
      </c>
      <c r="B813" t="s">
        <v>6</v>
      </c>
      <c r="C813">
        <v>649</v>
      </c>
      <c r="D813" t="s">
        <v>7</v>
      </c>
      <c r="E813" t="s">
        <v>10</v>
      </c>
      <c r="F813" t="s">
        <v>11</v>
      </c>
      <c r="AJ813">
        <f>SUM(Post[[#This Row],[47]:[75]])</f>
        <v>0</v>
      </c>
    </row>
    <row r="814" spans="1:36" x14ac:dyDescent="0.2">
      <c r="A814" t="s">
        <v>7</v>
      </c>
      <c r="B814" t="s">
        <v>6</v>
      </c>
      <c r="C814">
        <v>949</v>
      </c>
      <c r="D814" t="s">
        <v>7</v>
      </c>
      <c r="E814" t="s">
        <v>14</v>
      </c>
      <c r="F814" t="s">
        <v>19</v>
      </c>
      <c r="X814">
        <v>1</v>
      </c>
      <c r="AJ814">
        <f>SUM(Post[[#This Row],[47]:[75]])</f>
        <v>1</v>
      </c>
    </row>
    <row r="815" spans="1:36" x14ac:dyDescent="0.2">
      <c r="A815" t="s">
        <v>7</v>
      </c>
      <c r="B815" t="s">
        <v>6</v>
      </c>
      <c r="C815">
        <v>949</v>
      </c>
      <c r="D815" t="s">
        <v>7</v>
      </c>
      <c r="E815" t="s">
        <v>14</v>
      </c>
      <c r="F815" t="s">
        <v>21</v>
      </c>
      <c r="X815">
        <v>1</v>
      </c>
      <c r="AJ815">
        <f>SUM(Post[[#This Row],[47]:[75]])</f>
        <v>1</v>
      </c>
    </row>
    <row r="816" spans="1:36" x14ac:dyDescent="0.2">
      <c r="A816" t="s">
        <v>7</v>
      </c>
      <c r="B816" t="s">
        <v>6</v>
      </c>
      <c r="C816">
        <v>973</v>
      </c>
      <c r="D816" t="s">
        <v>7</v>
      </c>
      <c r="E816" t="s">
        <v>8</v>
      </c>
      <c r="F816" t="s">
        <v>29</v>
      </c>
      <c r="Q816">
        <v>1</v>
      </c>
      <c r="AD816">
        <v>1</v>
      </c>
      <c r="AJ816">
        <f>SUM(Post[[#This Row],[47]:[75]])</f>
        <v>2</v>
      </c>
    </row>
    <row r="817" spans="1:36" x14ac:dyDescent="0.2">
      <c r="A817" t="s">
        <v>7</v>
      </c>
      <c r="B817" t="s">
        <v>6</v>
      </c>
      <c r="C817">
        <v>1885</v>
      </c>
      <c r="D817" t="s">
        <v>7</v>
      </c>
      <c r="E817" t="s">
        <v>14</v>
      </c>
      <c r="F817" t="s">
        <v>21</v>
      </c>
      <c r="AA817">
        <v>1</v>
      </c>
      <c r="AJ817">
        <f>SUM(Post[[#This Row],[47]:[75]])</f>
        <v>1</v>
      </c>
    </row>
    <row r="818" spans="1:36" x14ac:dyDescent="0.2">
      <c r="A818" t="s">
        <v>7</v>
      </c>
      <c r="B818" t="s">
        <v>6</v>
      </c>
      <c r="C818">
        <v>1965</v>
      </c>
      <c r="D818" t="s">
        <v>7</v>
      </c>
      <c r="E818" t="s">
        <v>8</v>
      </c>
      <c r="F818" t="s">
        <v>29</v>
      </c>
      <c r="N818">
        <v>1</v>
      </c>
      <c r="AA818">
        <v>1</v>
      </c>
      <c r="AJ818">
        <f>SUM(Post[[#This Row],[47]:[75]])</f>
        <v>2</v>
      </c>
    </row>
    <row r="819" spans="1:36" x14ac:dyDescent="0.2">
      <c r="A819" t="s">
        <v>7</v>
      </c>
      <c r="B819" t="s">
        <v>6</v>
      </c>
      <c r="C819">
        <v>1965</v>
      </c>
      <c r="D819" t="s">
        <v>7</v>
      </c>
      <c r="E819" t="s">
        <v>26</v>
      </c>
      <c r="F819" t="s">
        <v>27</v>
      </c>
      <c r="I819">
        <v>1</v>
      </c>
      <c r="AJ819">
        <f>SUM(Post[[#This Row],[47]:[75]])</f>
        <v>1</v>
      </c>
    </row>
    <row r="820" spans="1:36" x14ac:dyDescent="0.2">
      <c r="A820" t="s">
        <v>7</v>
      </c>
      <c r="B820" t="s">
        <v>6</v>
      </c>
      <c r="C820">
        <v>2097</v>
      </c>
      <c r="D820" t="s">
        <v>7</v>
      </c>
      <c r="E820" t="s">
        <v>8</v>
      </c>
      <c r="F820" t="s">
        <v>9</v>
      </c>
      <c r="G820">
        <v>2</v>
      </c>
      <c r="H820">
        <v>1</v>
      </c>
      <c r="I820">
        <v>1</v>
      </c>
      <c r="J820">
        <v>2</v>
      </c>
      <c r="K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f>SUM(Post[[#This Row],[47]:[75]])</f>
        <v>28</v>
      </c>
    </row>
    <row r="821" spans="1:36" x14ac:dyDescent="0.2">
      <c r="A821" t="s">
        <v>7</v>
      </c>
      <c r="B821" t="s">
        <v>6</v>
      </c>
      <c r="C821">
        <v>2237</v>
      </c>
      <c r="D821" t="s">
        <v>7</v>
      </c>
      <c r="E821" t="s">
        <v>17</v>
      </c>
      <c r="F821" t="s">
        <v>18</v>
      </c>
      <c r="AA821">
        <v>1</v>
      </c>
      <c r="AJ821">
        <f>SUM(Post[[#This Row],[47]:[75]])</f>
        <v>1</v>
      </c>
    </row>
    <row r="822" spans="1:36" x14ac:dyDescent="0.2">
      <c r="A822" t="s">
        <v>7</v>
      </c>
      <c r="B822" t="s">
        <v>6</v>
      </c>
      <c r="C822">
        <v>2335</v>
      </c>
      <c r="D822" t="s">
        <v>7</v>
      </c>
      <c r="E822" t="s">
        <v>14</v>
      </c>
      <c r="F822" t="s">
        <v>20</v>
      </c>
      <c r="AD822">
        <v>1</v>
      </c>
      <c r="AJ822">
        <f>SUM(Post[[#This Row],[47]:[75]])</f>
        <v>1</v>
      </c>
    </row>
    <row r="823" spans="1:36" x14ac:dyDescent="0.2">
      <c r="A823" t="s">
        <v>7</v>
      </c>
      <c r="B823" t="s">
        <v>6</v>
      </c>
      <c r="C823">
        <v>2502</v>
      </c>
      <c r="D823" t="s">
        <v>7</v>
      </c>
      <c r="E823" t="s">
        <v>10</v>
      </c>
      <c r="F823" t="s">
        <v>16</v>
      </c>
      <c r="S823">
        <v>1</v>
      </c>
      <c r="AF823">
        <v>1</v>
      </c>
      <c r="AJ823">
        <f>SUM(Post[[#This Row],[47]:[75]])</f>
        <v>2</v>
      </c>
    </row>
    <row r="824" spans="1:36" x14ac:dyDescent="0.2">
      <c r="A824" t="s">
        <v>7</v>
      </c>
      <c r="B824" t="s">
        <v>6</v>
      </c>
      <c r="C824">
        <v>2502</v>
      </c>
      <c r="D824" t="s">
        <v>7</v>
      </c>
      <c r="E824" t="s">
        <v>14</v>
      </c>
      <c r="F824" t="s">
        <v>20</v>
      </c>
      <c r="AJ824">
        <f>SUM(Post[[#This Row],[47]:[75]])</f>
        <v>0</v>
      </c>
    </row>
    <row r="825" spans="1:36" x14ac:dyDescent="0.2">
      <c r="A825" t="s">
        <v>7</v>
      </c>
      <c r="B825" t="s">
        <v>6</v>
      </c>
      <c r="C825">
        <v>2503</v>
      </c>
      <c r="D825" t="s">
        <v>7</v>
      </c>
      <c r="E825" t="s">
        <v>14</v>
      </c>
      <c r="F825" t="s">
        <v>20</v>
      </c>
      <c r="L825">
        <v>1</v>
      </c>
      <c r="U825">
        <v>1</v>
      </c>
      <c r="AJ825">
        <f>SUM(Post[[#This Row],[47]:[75]])</f>
        <v>2</v>
      </c>
    </row>
    <row r="826" spans="1:36" x14ac:dyDescent="0.2">
      <c r="A826" t="s">
        <v>7</v>
      </c>
      <c r="B826" t="s">
        <v>6</v>
      </c>
      <c r="C826">
        <v>3109</v>
      </c>
      <c r="D826" t="s">
        <v>7</v>
      </c>
      <c r="E826" t="s">
        <v>14</v>
      </c>
      <c r="F826" t="s">
        <v>20</v>
      </c>
      <c r="AJ826">
        <f>SUM(Post[[#This Row],[47]:[75]])</f>
        <v>0</v>
      </c>
    </row>
    <row r="827" spans="1:36" x14ac:dyDescent="0.2">
      <c r="A827" t="s">
        <v>7</v>
      </c>
      <c r="B827" t="s">
        <v>6</v>
      </c>
      <c r="C827">
        <v>3200</v>
      </c>
      <c r="D827" t="s">
        <v>7</v>
      </c>
      <c r="E827" t="s">
        <v>8</v>
      </c>
      <c r="F827" t="s">
        <v>9</v>
      </c>
      <c r="I827">
        <v>1</v>
      </c>
      <c r="N827">
        <v>1</v>
      </c>
      <c r="R827">
        <v>1</v>
      </c>
      <c r="AJ827">
        <f>SUM(Post[[#This Row],[47]:[75]])</f>
        <v>3</v>
      </c>
    </row>
    <row r="828" spans="1:36" x14ac:dyDescent="0.2">
      <c r="A828" t="s">
        <v>7</v>
      </c>
      <c r="B828" t="s">
        <v>6</v>
      </c>
      <c r="C828">
        <v>3214</v>
      </c>
      <c r="D828" t="s">
        <v>7</v>
      </c>
      <c r="E828" t="s">
        <v>14</v>
      </c>
      <c r="F828" t="s">
        <v>20</v>
      </c>
      <c r="J828">
        <v>1</v>
      </c>
      <c r="P828">
        <v>1</v>
      </c>
      <c r="U828">
        <v>1</v>
      </c>
      <c r="Z828">
        <v>1</v>
      </c>
      <c r="AJ828">
        <f>SUM(Post[[#This Row],[47]:[75]])</f>
        <v>4</v>
      </c>
    </row>
    <row r="829" spans="1:36" x14ac:dyDescent="0.2">
      <c r="A829" t="s">
        <v>7</v>
      </c>
      <c r="B829" t="s">
        <v>6</v>
      </c>
      <c r="C829">
        <v>3336</v>
      </c>
      <c r="D829" t="s">
        <v>7</v>
      </c>
      <c r="E829" t="s">
        <v>32</v>
      </c>
      <c r="F829" t="s">
        <v>33</v>
      </c>
      <c r="AJ829">
        <f>SUM(Post[[#This Row],[47]:[75]])</f>
        <v>0</v>
      </c>
    </row>
    <row r="830" spans="1:36" x14ac:dyDescent="0.2">
      <c r="A830" t="s">
        <v>7</v>
      </c>
      <c r="B830" t="s">
        <v>6</v>
      </c>
      <c r="C830">
        <v>3337</v>
      </c>
      <c r="D830" t="s">
        <v>7</v>
      </c>
      <c r="E830" t="s">
        <v>14</v>
      </c>
      <c r="F830" t="s">
        <v>19</v>
      </c>
      <c r="V830">
        <v>1</v>
      </c>
      <c r="AJ830">
        <f>SUM(Post[[#This Row],[47]:[75]])</f>
        <v>1</v>
      </c>
    </row>
    <row r="831" spans="1:36" x14ac:dyDescent="0.2">
      <c r="A831" t="s">
        <v>7</v>
      </c>
      <c r="B831" t="s">
        <v>6</v>
      </c>
      <c r="C831">
        <v>4541</v>
      </c>
      <c r="D831" t="s">
        <v>7</v>
      </c>
      <c r="E831" t="s">
        <v>8</v>
      </c>
      <c r="F831" t="s">
        <v>29</v>
      </c>
      <c r="L831">
        <v>1</v>
      </c>
      <c r="S831">
        <v>1</v>
      </c>
      <c r="AF831">
        <v>1</v>
      </c>
      <c r="AJ831">
        <f>SUM(Post[[#This Row],[47]:[75]])</f>
        <v>3</v>
      </c>
    </row>
    <row r="832" spans="1:36" x14ac:dyDescent="0.2">
      <c r="A832" t="s">
        <v>7</v>
      </c>
      <c r="B832" t="s">
        <v>6</v>
      </c>
      <c r="C832">
        <v>6266</v>
      </c>
      <c r="D832" t="s">
        <v>7</v>
      </c>
      <c r="E832" t="s">
        <v>8</v>
      </c>
      <c r="F832" t="s">
        <v>29</v>
      </c>
      <c r="H832">
        <v>1</v>
      </c>
      <c r="K832">
        <v>1</v>
      </c>
      <c r="T832">
        <v>1</v>
      </c>
      <c r="V832">
        <v>1</v>
      </c>
      <c r="Z832">
        <v>1</v>
      </c>
      <c r="AD832">
        <v>1</v>
      </c>
      <c r="AH832">
        <v>1</v>
      </c>
      <c r="AJ832">
        <f>SUM(Post[[#This Row],[47]:[75]])</f>
        <v>7</v>
      </c>
    </row>
    <row r="833" spans="1:36" x14ac:dyDescent="0.2">
      <c r="A833" t="s">
        <v>7</v>
      </c>
      <c r="B833" t="s">
        <v>6</v>
      </c>
      <c r="C833">
        <v>6457</v>
      </c>
      <c r="D833" t="s">
        <v>7</v>
      </c>
      <c r="E833" t="s">
        <v>14</v>
      </c>
      <c r="F833" t="s">
        <v>20</v>
      </c>
      <c r="AB833">
        <v>1</v>
      </c>
      <c r="AJ833">
        <f>SUM(Post[[#This Row],[47]:[75]])</f>
        <v>1</v>
      </c>
    </row>
    <row r="834" spans="1:36" x14ac:dyDescent="0.2">
      <c r="A834" t="s">
        <v>7</v>
      </c>
      <c r="B834" t="s">
        <v>6</v>
      </c>
      <c r="C834">
        <v>7192</v>
      </c>
      <c r="D834" t="s">
        <v>7</v>
      </c>
      <c r="E834" t="s">
        <v>32</v>
      </c>
      <c r="F834" t="s">
        <v>33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J834">
        <f>SUM(Post[[#This Row],[47]:[75]])</f>
        <v>27</v>
      </c>
    </row>
    <row r="835" spans="1:36" x14ac:dyDescent="0.2">
      <c r="A835" t="s">
        <v>7</v>
      </c>
      <c r="B835" t="s">
        <v>6</v>
      </c>
      <c r="C835">
        <v>7192</v>
      </c>
      <c r="D835" t="s">
        <v>7</v>
      </c>
      <c r="E835" t="s">
        <v>14</v>
      </c>
      <c r="F835" t="s">
        <v>20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J835">
        <f>SUM(Post[[#This Row],[47]:[75]])</f>
        <v>27</v>
      </c>
    </row>
    <row r="836" spans="1:36" x14ac:dyDescent="0.2">
      <c r="A836" t="s">
        <v>7</v>
      </c>
      <c r="B836" t="s">
        <v>6</v>
      </c>
      <c r="C836">
        <v>7318</v>
      </c>
      <c r="D836" t="s">
        <v>7</v>
      </c>
      <c r="E836" t="s">
        <v>14</v>
      </c>
      <c r="F836" t="s">
        <v>20</v>
      </c>
      <c r="Q836">
        <v>1</v>
      </c>
      <c r="AD836">
        <v>1</v>
      </c>
      <c r="AJ836">
        <f>SUM(Post[[#This Row],[47]:[75]])</f>
        <v>2</v>
      </c>
    </row>
    <row r="837" spans="1:36" x14ac:dyDescent="0.2">
      <c r="A837" t="s">
        <v>7</v>
      </c>
      <c r="B837" t="s">
        <v>6</v>
      </c>
      <c r="C837">
        <v>7478</v>
      </c>
      <c r="D837" t="s">
        <v>7</v>
      </c>
      <c r="E837" t="s">
        <v>8</v>
      </c>
      <c r="F837" t="s">
        <v>9</v>
      </c>
      <c r="AJ837">
        <f>SUM(Post[[#This Row],[47]:[75]])</f>
        <v>0</v>
      </c>
    </row>
    <row r="838" spans="1:36" x14ac:dyDescent="0.2">
      <c r="A838" t="s">
        <v>7</v>
      </c>
      <c r="B838" t="s">
        <v>6</v>
      </c>
      <c r="C838">
        <v>8539</v>
      </c>
      <c r="D838" t="s">
        <v>7</v>
      </c>
      <c r="E838" t="s">
        <v>14</v>
      </c>
      <c r="F838" t="s">
        <v>20</v>
      </c>
      <c r="I838">
        <v>1</v>
      </c>
      <c r="Z838">
        <v>1</v>
      </c>
      <c r="AJ838">
        <f>SUM(Post[[#This Row],[47]:[75]])</f>
        <v>2</v>
      </c>
    </row>
    <row r="839" spans="1:36" x14ac:dyDescent="0.2">
      <c r="A839" t="s">
        <v>7</v>
      </c>
      <c r="B839" t="s">
        <v>6</v>
      </c>
      <c r="C839">
        <v>8850</v>
      </c>
      <c r="D839" t="s">
        <v>7</v>
      </c>
      <c r="E839" t="s">
        <v>10</v>
      </c>
      <c r="F839" t="s">
        <v>11</v>
      </c>
      <c r="R839">
        <v>1</v>
      </c>
      <c r="AA839">
        <v>1</v>
      </c>
      <c r="AJ839">
        <f>SUM(Post[[#This Row],[47]:[75]])</f>
        <v>2</v>
      </c>
    </row>
    <row r="840" spans="1:36" x14ac:dyDescent="0.2">
      <c r="A840" t="s">
        <v>7</v>
      </c>
      <c r="B840" t="s">
        <v>6</v>
      </c>
      <c r="C840">
        <v>8850</v>
      </c>
      <c r="D840" t="s">
        <v>7</v>
      </c>
      <c r="E840" t="s">
        <v>14</v>
      </c>
      <c r="F840" t="s">
        <v>35</v>
      </c>
      <c r="AJ840">
        <f>SUM(Post[[#This Row],[47]:[75]])</f>
        <v>0</v>
      </c>
    </row>
    <row r="841" spans="1:36" x14ac:dyDescent="0.2">
      <c r="A841" t="s">
        <v>7</v>
      </c>
      <c r="B841" t="s">
        <v>6</v>
      </c>
      <c r="C841">
        <v>9211</v>
      </c>
      <c r="D841" t="s">
        <v>7</v>
      </c>
      <c r="E841" t="s">
        <v>8</v>
      </c>
      <c r="F841" t="s">
        <v>23</v>
      </c>
      <c r="J841">
        <v>1</v>
      </c>
      <c r="Z841">
        <v>1</v>
      </c>
      <c r="AJ841">
        <f>SUM(Post[[#This Row],[47]:[75]])</f>
        <v>2</v>
      </c>
    </row>
    <row r="842" spans="1:36" x14ac:dyDescent="0.2">
      <c r="A842" t="s">
        <v>7</v>
      </c>
      <c r="B842" t="s">
        <v>6</v>
      </c>
      <c r="C842">
        <v>9211</v>
      </c>
      <c r="D842" t="s">
        <v>7</v>
      </c>
      <c r="E842" t="s">
        <v>17</v>
      </c>
      <c r="F842" t="s">
        <v>18</v>
      </c>
      <c r="AJ842">
        <f>SUM(Post[[#This Row],[47]:[75]])</f>
        <v>0</v>
      </c>
    </row>
    <row r="843" spans="1:36" x14ac:dyDescent="0.2">
      <c r="A843" t="s">
        <v>7</v>
      </c>
      <c r="B843" t="s">
        <v>6</v>
      </c>
      <c r="C843">
        <v>9211</v>
      </c>
      <c r="D843" t="s">
        <v>7</v>
      </c>
      <c r="E843" t="s">
        <v>14</v>
      </c>
      <c r="F843" t="s">
        <v>20</v>
      </c>
      <c r="AJ843">
        <f>SUM(Post[[#This Row],[47]:[75]])</f>
        <v>0</v>
      </c>
    </row>
    <row r="844" spans="1:36" x14ac:dyDescent="0.2">
      <c r="A844" t="s">
        <v>7</v>
      </c>
      <c r="B844" t="s">
        <v>6</v>
      </c>
      <c r="C844">
        <v>9759</v>
      </c>
      <c r="D844" t="s">
        <v>7</v>
      </c>
      <c r="E844" t="s">
        <v>14</v>
      </c>
      <c r="F844" t="s">
        <v>20</v>
      </c>
      <c r="N844">
        <v>1</v>
      </c>
      <c r="AE844">
        <v>1</v>
      </c>
      <c r="AJ844">
        <f>SUM(Post[[#This Row],[47]:[75]])</f>
        <v>2</v>
      </c>
    </row>
    <row r="845" spans="1:36" x14ac:dyDescent="0.2">
      <c r="A845" t="s">
        <v>7</v>
      </c>
      <c r="B845" t="s">
        <v>6</v>
      </c>
      <c r="C845">
        <v>9942</v>
      </c>
      <c r="D845" t="s">
        <v>7</v>
      </c>
      <c r="E845" t="s">
        <v>14</v>
      </c>
      <c r="F845" t="s">
        <v>20</v>
      </c>
      <c r="AJ845">
        <f>SUM(Post[[#This Row],[47]:[75]])</f>
        <v>0</v>
      </c>
    </row>
    <row r="846" spans="1:36" x14ac:dyDescent="0.2">
      <c r="A846" t="s">
        <v>7</v>
      </c>
      <c r="B846" t="s">
        <v>6</v>
      </c>
      <c r="C846">
        <v>10121</v>
      </c>
      <c r="D846" t="s">
        <v>7</v>
      </c>
      <c r="E846" t="s">
        <v>8</v>
      </c>
      <c r="F846" t="s">
        <v>23</v>
      </c>
      <c r="K846">
        <v>1</v>
      </c>
      <c r="Y846">
        <v>1</v>
      </c>
      <c r="AJ846">
        <f>SUM(Post[[#This Row],[47]:[75]])</f>
        <v>2</v>
      </c>
    </row>
    <row r="847" spans="1:36" x14ac:dyDescent="0.2">
      <c r="A847" t="s">
        <v>7</v>
      </c>
      <c r="B847" t="s">
        <v>6</v>
      </c>
      <c r="C847">
        <v>10182</v>
      </c>
      <c r="D847" t="s">
        <v>7</v>
      </c>
      <c r="E847" t="s">
        <v>14</v>
      </c>
      <c r="F847" t="s">
        <v>20</v>
      </c>
      <c r="G847">
        <v>1</v>
      </c>
      <c r="U847">
        <v>1</v>
      </c>
      <c r="AG847">
        <v>1</v>
      </c>
      <c r="AJ847">
        <f>SUM(Post[[#This Row],[47]:[75]])</f>
        <v>3</v>
      </c>
    </row>
    <row r="848" spans="1:36" x14ac:dyDescent="0.2">
      <c r="A848" t="s">
        <v>7</v>
      </c>
      <c r="B848" t="s">
        <v>6</v>
      </c>
      <c r="C848">
        <v>10715</v>
      </c>
      <c r="D848" t="s">
        <v>7</v>
      </c>
      <c r="E848" t="s">
        <v>14</v>
      </c>
      <c r="F848" t="s">
        <v>20</v>
      </c>
      <c r="L848">
        <v>1</v>
      </c>
      <c r="Z848">
        <v>1</v>
      </c>
      <c r="AJ848">
        <f>SUM(Post[[#This Row],[47]:[75]])</f>
        <v>2</v>
      </c>
    </row>
    <row r="849" spans="1:36" x14ac:dyDescent="0.2">
      <c r="A849" t="s">
        <v>7</v>
      </c>
      <c r="B849" t="s">
        <v>6</v>
      </c>
      <c r="C849">
        <v>12156</v>
      </c>
      <c r="D849" t="s">
        <v>7</v>
      </c>
      <c r="E849" t="s">
        <v>14</v>
      </c>
      <c r="F849" t="s">
        <v>31</v>
      </c>
      <c r="O849">
        <v>1</v>
      </c>
      <c r="AA849">
        <v>1</v>
      </c>
      <c r="AJ849">
        <f>SUM(Post[[#This Row],[47]:[75]])</f>
        <v>2</v>
      </c>
    </row>
    <row r="850" spans="1:36" x14ac:dyDescent="0.2">
      <c r="A850" t="s">
        <v>7</v>
      </c>
      <c r="B850" t="s">
        <v>6</v>
      </c>
      <c r="C850">
        <v>12241</v>
      </c>
      <c r="D850" t="s">
        <v>7</v>
      </c>
      <c r="E850" t="s">
        <v>14</v>
      </c>
      <c r="F850" t="s">
        <v>28</v>
      </c>
      <c r="S850">
        <v>1</v>
      </c>
      <c r="AE850">
        <v>1</v>
      </c>
      <c r="AJ850">
        <f>SUM(Post[[#This Row],[47]:[75]])</f>
        <v>2</v>
      </c>
    </row>
    <row r="851" spans="1:36" x14ac:dyDescent="0.2">
      <c r="A851" t="s">
        <v>7</v>
      </c>
      <c r="B851" t="s">
        <v>6</v>
      </c>
      <c r="C851">
        <v>13252</v>
      </c>
      <c r="D851" t="s">
        <v>7</v>
      </c>
      <c r="E851" t="s">
        <v>14</v>
      </c>
      <c r="F851" t="s">
        <v>35</v>
      </c>
      <c r="J851">
        <v>1</v>
      </c>
      <c r="Q851">
        <v>2</v>
      </c>
      <c r="U851">
        <v>1</v>
      </c>
      <c r="Z851">
        <v>1</v>
      </c>
      <c r="AD851">
        <v>1</v>
      </c>
      <c r="AH851">
        <v>1</v>
      </c>
      <c r="AJ851">
        <f>SUM(Post[[#This Row],[47]:[75]])</f>
        <v>7</v>
      </c>
    </row>
    <row r="852" spans="1:36" x14ac:dyDescent="0.2">
      <c r="A852" t="s">
        <v>7</v>
      </c>
      <c r="B852" t="s">
        <v>6</v>
      </c>
      <c r="C852">
        <v>13252</v>
      </c>
      <c r="D852" t="s">
        <v>7</v>
      </c>
      <c r="E852" t="s">
        <v>14</v>
      </c>
      <c r="F852" t="s">
        <v>31</v>
      </c>
      <c r="AJ852">
        <f>SUM(Post[[#This Row],[47]:[75]])</f>
        <v>0</v>
      </c>
    </row>
    <row r="853" spans="1:36" x14ac:dyDescent="0.2">
      <c r="A853" t="s">
        <v>7</v>
      </c>
      <c r="B853" t="s">
        <v>6</v>
      </c>
      <c r="C853">
        <v>13477</v>
      </c>
      <c r="D853" t="s">
        <v>7</v>
      </c>
      <c r="E853" t="s">
        <v>17</v>
      </c>
      <c r="F853" t="s">
        <v>18</v>
      </c>
      <c r="U853">
        <v>1</v>
      </c>
      <c r="AG853">
        <v>3</v>
      </c>
      <c r="AJ853">
        <f>SUM(Post[[#This Row],[47]:[75]])</f>
        <v>4</v>
      </c>
    </row>
    <row r="854" spans="1:36" x14ac:dyDescent="0.2">
      <c r="A854" t="s">
        <v>7</v>
      </c>
      <c r="B854" t="s">
        <v>6</v>
      </c>
      <c r="C854">
        <v>13477</v>
      </c>
      <c r="D854" t="s">
        <v>7</v>
      </c>
      <c r="E854" t="s">
        <v>14</v>
      </c>
      <c r="F854" t="s">
        <v>20</v>
      </c>
      <c r="AJ854">
        <f>SUM(Post[[#This Row],[47]:[75]])</f>
        <v>0</v>
      </c>
    </row>
    <row r="855" spans="1:36" x14ac:dyDescent="0.2">
      <c r="A855" t="s">
        <v>7</v>
      </c>
      <c r="B855" t="s">
        <v>6</v>
      </c>
      <c r="C855">
        <v>14066</v>
      </c>
      <c r="D855" t="s">
        <v>7</v>
      </c>
      <c r="E855" t="s">
        <v>10</v>
      </c>
      <c r="F855" t="s">
        <v>11</v>
      </c>
      <c r="S855">
        <v>1</v>
      </c>
      <c r="AJ855">
        <f>SUM(Post[[#This Row],[47]:[75]])</f>
        <v>1</v>
      </c>
    </row>
    <row r="856" spans="1:36" x14ac:dyDescent="0.2">
      <c r="A856" t="s">
        <v>7</v>
      </c>
      <c r="B856" t="s">
        <v>6</v>
      </c>
      <c r="C856">
        <v>14066</v>
      </c>
      <c r="D856" t="s">
        <v>7</v>
      </c>
      <c r="E856" t="s">
        <v>14</v>
      </c>
      <c r="F856" t="s">
        <v>20</v>
      </c>
      <c r="I856">
        <v>1</v>
      </c>
      <c r="V856">
        <v>1</v>
      </c>
      <c r="AI856">
        <v>1</v>
      </c>
      <c r="AJ856">
        <f>SUM(Post[[#This Row],[47]:[75]])</f>
        <v>3</v>
      </c>
    </row>
    <row r="857" spans="1:36" x14ac:dyDescent="0.2">
      <c r="A857" t="s">
        <v>7</v>
      </c>
      <c r="B857" t="s">
        <v>6</v>
      </c>
      <c r="C857">
        <v>14988</v>
      </c>
      <c r="D857" t="s">
        <v>7</v>
      </c>
      <c r="E857" t="s">
        <v>14</v>
      </c>
      <c r="F857" t="s">
        <v>20</v>
      </c>
      <c r="I857">
        <v>1</v>
      </c>
      <c r="W857">
        <v>1</v>
      </c>
      <c r="AJ857">
        <f>SUM(Post[[#This Row],[47]:[75]])</f>
        <v>2</v>
      </c>
    </row>
    <row r="858" spans="1:36" x14ac:dyDescent="0.2">
      <c r="A858" t="s">
        <v>7</v>
      </c>
      <c r="B858" t="s">
        <v>6</v>
      </c>
      <c r="C858">
        <v>18482</v>
      </c>
      <c r="D858" t="s">
        <v>7</v>
      </c>
      <c r="E858" t="s">
        <v>14</v>
      </c>
      <c r="F858" t="s">
        <v>20</v>
      </c>
      <c r="AJ858">
        <f>SUM(Post[[#This Row],[47]:[75]])</f>
        <v>0</v>
      </c>
    </row>
    <row r="859" spans="1:36" x14ac:dyDescent="0.2">
      <c r="A859" t="s">
        <v>7</v>
      </c>
      <c r="B859" t="s">
        <v>6</v>
      </c>
      <c r="C859">
        <v>18855</v>
      </c>
      <c r="D859" t="s">
        <v>7</v>
      </c>
      <c r="E859" t="s">
        <v>14</v>
      </c>
      <c r="F859" t="s">
        <v>35</v>
      </c>
      <c r="U859">
        <v>1</v>
      </c>
      <c r="AJ859">
        <f>SUM(Post[[#This Row],[47]:[75]])</f>
        <v>1</v>
      </c>
    </row>
    <row r="860" spans="1:36" x14ac:dyDescent="0.2">
      <c r="A860" t="s">
        <v>7</v>
      </c>
      <c r="B860" t="s">
        <v>6</v>
      </c>
      <c r="C860">
        <v>18963</v>
      </c>
      <c r="D860" t="s">
        <v>7</v>
      </c>
      <c r="E860" t="s">
        <v>14</v>
      </c>
      <c r="F860" t="s">
        <v>31</v>
      </c>
      <c r="AJ860">
        <f>SUM(Post[[#This Row],[47]:[75]])</f>
        <v>0</v>
      </c>
    </row>
    <row r="861" spans="1:36" x14ac:dyDescent="0.2">
      <c r="A861" t="s">
        <v>7</v>
      </c>
      <c r="B861" t="s">
        <v>6</v>
      </c>
      <c r="C861">
        <v>19370</v>
      </c>
      <c r="D861" t="s">
        <v>7</v>
      </c>
      <c r="E861" t="s">
        <v>14</v>
      </c>
      <c r="F861" t="s">
        <v>20</v>
      </c>
      <c r="W861">
        <v>1</v>
      </c>
      <c r="AJ861">
        <f>SUM(Post[[#This Row],[47]:[75]])</f>
        <v>1</v>
      </c>
    </row>
    <row r="862" spans="1:36" x14ac:dyDescent="0.2">
      <c r="A862" t="s">
        <v>7</v>
      </c>
      <c r="B862" t="s">
        <v>6</v>
      </c>
      <c r="C862">
        <v>21530</v>
      </c>
      <c r="D862" t="s">
        <v>7</v>
      </c>
      <c r="E862" t="s">
        <v>10</v>
      </c>
      <c r="F862" t="s">
        <v>11</v>
      </c>
      <c r="AJ862">
        <f>SUM(Post[[#This Row],[47]:[75]])</f>
        <v>0</v>
      </c>
    </row>
    <row r="863" spans="1:36" x14ac:dyDescent="0.2">
      <c r="A863" t="s">
        <v>7</v>
      </c>
      <c r="B863" t="s">
        <v>6</v>
      </c>
      <c r="C863">
        <v>33718</v>
      </c>
      <c r="D863" t="s">
        <v>7</v>
      </c>
      <c r="E863" t="s">
        <v>32</v>
      </c>
      <c r="F863" t="s">
        <v>33</v>
      </c>
      <c r="AJ863">
        <f>SUM(Post[[#This Row],[47]:[75]])</f>
        <v>0</v>
      </c>
    </row>
    <row r="864" spans="1:36" x14ac:dyDescent="0.2">
      <c r="A864" t="s">
        <v>7</v>
      </c>
      <c r="B864" t="s">
        <v>6</v>
      </c>
      <c r="C864">
        <v>33718</v>
      </c>
      <c r="D864" t="s">
        <v>7</v>
      </c>
      <c r="E864" t="s">
        <v>14</v>
      </c>
      <c r="F864" t="s">
        <v>20</v>
      </c>
      <c r="R864">
        <v>1</v>
      </c>
      <c r="AJ864">
        <f>SUM(Post[[#This Row],[47]:[75]])</f>
        <v>1</v>
      </c>
    </row>
    <row r="865" spans="1:36" x14ac:dyDescent="0.2">
      <c r="A865" t="s">
        <v>7</v>
      </c>
      <c r="B865" t="s">
        <v>6</v>
      </c>
      <c r="C865">
        <v>743</v>
      </c>
      <c r="D865" t="s">
        <v>22</v>
      </c>
      <c r="E865" t="s">
        <v>8</v>
      </c>
      <c r="F865" t="s">
        <v>34</v>
      </c>
      <c r="S865">
        <v>1</v>
      </c>
      <c r="AJ865">
        <f>SUM(Post[[#This Row],[47]:[75]])</f>
        <v>1</v>
      </c>
    </row>
    <row r="866" spans="1:36" x14ac:dyDescent="0.2">
      <c r="A866" t="s">
        <v>7</v>
      </c>
      <c r="B866" t="s">
        <v>6</v>
      </c>
      <c r="C866">
        <v>743</v>
      </c>
      <c r="D866" t="s">
        <v>22</v>
      </c>
      <c r="E866" t="s">
        <v>8</v>
      </c>
      <c r="F866" t="s">
        <v>29</v>
      </c>
      <c r="AG866">
        <v>2</v>
      </c>
      <c r="AH866">
        <v>1</v>
      </c>
      <c r="AJ866">
        <f>SUM(Post[[#This Row],[47]:[75]])</f>
        <v>3</v>
      </c>
    </row>
    <row r="867" spans="1:36" x14ac:dyDescent="0.2">
      <c r="A867" t="s">
        <v>7</v>
      </c>
      <c r="B867" t="s">
        <v>6</v>
      </c>
      <c r="C867">
        <v>972</v>
      </c>
      <c r="D867" t="s">
        <v>22</v>
      </c>
      <c r="E867" t="s">
        <v>8</v>
      </c>
      <c r="F867" t="s">
        <v>29</v>
      </c>
      <c r="Q867">
        <v>1</v>
      </c>
      <c r="AC867">
        <v>1</v>
      </c>
      <c r="AJ867">
        <f>SUM(Post[[#This Row],[47]:[75]])</f>
        <v>2</v>
      </c>
    </row>
    <row r="868" spans="1:36" x14ac:dyDescent="0.2">
      <c r="A868" t="s">
        <v>7</v>
      </c>
      <c r="B868" t="s">
        <v>6</v>
      </c>
      <c r="C868">
        <v>1699</v>
      </c>
      <c r="D868" t="s">
        <v>22</v>
      </c>
      <c r="E868" t="s">
        <v>10</v>
      </c>
      <c r="F868" t="s">
        <v>11</v>
      </c>
      <c r="Q868">
        <v>1</v>
      </c>
      <c r="AJ868">
        <f>SUM(Post[[#This Row],[47]:[75]])</f>
        <v>1</v>
      </c>
    </row>
    <row r="869" spans="1:36" x14ac:dyDescent="0.2">
      <c r="A869" t="s">
        <v>7</v>
      </c>
      <c r="B869" t="s">
        <v>6</v>
      </c>
      <c r="C869">
        <v>1699</v>
      </c>
      <c r="D869" t="s">
        <v>22</v>
      </c>
      <c r="E869" t="s">
        <v>8</v>
      </c>
      <c r="F869" t="s">
        <v>23</v>
      </c>
      <c r="P869">
        <v>1</v>
      </c>
      <c r="Q869">
        <v>2</v>
      </c>
      <c r="AG869">
        <v>1</v>
      </c>
      <c r="AJ869">
        <f>SUM(Post[[#This Row],[47]:[75]])</f>
        <v>4</v>
      </c>
    </row>
    <row r="870" spans="1:36" x14ac:dyDescent="0.2">
      <c r="A870" t="s">
        <v>7</v>
      </c>
      <c r="B870" t="s">
        <v>6</v>
      </c>
      <c r="C870">
        <v>1699</v>
      </c>
      <c r="D870" t="s">
        <v>22</v>
      </c>
      <c r="E870" t="s">
        <v>14</v>
      </c>
      <c r="F870" t="s">
        <v>20</v>
      </c>
      <c r="T870">
        <v>1</v>
      </c>
      <c r="AG870">
        <v>1</v>
      </c>
      <c r="AJ870">
        <f>SUM(Post[[#This Row],[47]:[75]])</f>
        <v>2</v>
      </c>
    </row>
    <row r="871" spans="1:36" x14ac:dyDescent="0.2">
      <c r="A871" t="s">
        <v>7</v>
      </c>
      <c r="B871" t="s">
        <v>6</v>
      </c>
      <c r="C871">
        <v>2022</v>
      </c>
      <c r="D871" t="s">
        <v>22</v>
      </c>
      <c r="E871" t="s">
        <v>8</v>
      </c>
      <c r="F871" t="s">
        <v>29</v>
      </c>
      <c r="Y871">
        <v>1</v>
      </c>
      <c r="AB871">
        <v>1</v>
      </c>
      <c r="AJ871">
        <f>SUM(Post[[#This Row],[47]:[75]])</f>
        <v>2</v>
      </c>
    </row>
    <row r="872" spans="1:36" x14ac:dyDescent="0.2">
      <c r="A872" t="s">
        <v>7</v>
      </c>
      <c r="B872" t="s">
        <v>6</v>
      </c>
      <c r="C872">
        <v>2069</v>
      </c>
      <c r="D872" t="s">
        <v>22</v>
      </c>
      <c r="E872" t="s">
        <v>10</v>
      </c>
      <c r="F872" t="s">
        <v>11</v>
      </c>
      <c r="G872">
        <v>1</v>
      </c>
      <c r="J872">
        <v>1</v>
      </c>
      <c r="O872">
        <v>1</v>
      </c>
      <c r="S872">
        <v>1</v>
      </c>
      <c r="V872">
        <v>1</v>
      </c>
      <c r="Y872">
        <v>1</v>
      </c>
      <c r="AE872">
        <v>1</v>
      </c>
      <c r="AI872">
        <v>2</v>
      </c>
      <c r="AJ872">
        <f>SUM(Post[[#This Row],[47]:[75]])</f>
        <v>9</v>
      </c>
    </row>
    <row r="873" spans="1:36" x14ac:dyDescent="0.2">
      <c r="A873" t="s">
        <v>7</v>
      </c>
      <c r="B873" t="s">
        <v>6</v>
      </c>
      <c r="C873">
        <v>2191</v>
      </c>
      <c r="D873" t="s">
        <v>22</v>
      </c>
      <c r="E873" t="s">
        <v>8</v>
      </c>
      <c r="F873" t="s">
        <v>29</v>
      </c>
      <c r="J873">
        <v>1</v>
      </c>
      <c r="AJ873">
        <f>SUM(Post[[#This Row],[47]:[75]])</f>
        <v>1</v>
      </c>
    </row>
    <row r="874" spans="1:36" x14ac:dyDescent="0.2">
      <c r="A874" t="s">
        <v>7</v>
      </c>
      <c r="B874" t="s">
        <v>6</v>
      </c>
      <c r="C874">
        <v>2877</v>
      </c>
      <c r="D874" t="s">
        <v>22</v>
      </c>
      <c r="E874" t="s">
        <v>14</v>
      </c>
      <c r="F874" t="s">
        <v>20</v>
      </c>
      <c r="I874">
        <v>2</v>
      </c>
      <c r="O874">
        <v>1</v>
      </c>
      <c r="S874">
        <v>1</v>
      </c>
      <c r="W874">
        <v>1</v>
      </c>
      <c r="AA874">
        <v>1</v>
      </c>
      <c r="AE874">
        <v>1</v>
      </c>
      <c r="AI874">
        <v>1</v>
      </c>
      <c r="AJ874">
        <f>SUM(Post[[#This Row],[47]:[75]])</f>
        <v>8</v>
      </c>
    </row>
    <row r="875" spans="1:36" x14ac:dyDescent="0.2">
      <c r="A875" t="s">
        <v>7</v>
      </c>
      <c r="B875" t="s">
        <v>6</v>
      </c>
      <c r="C875">
        <v>3871</v>
      </c>
      <c r="D875" t="s">
        <v>22</v>
      </c>
      <c r="E875" t="s">
        <v>8</v>
      </c>
      <c r="F875" t="s">
        <v>29</v>
      </c>
      <c r="L875">
        <v>1</v>
      </c>
      <c r="R875">
        <v>1</v>
      </c>
      <c r="W875">
        <v>1</v>
      </c>
      <c r="AB875">
        <v>2</v>
      </c>
      <c r="AE875">
        <v>1</v>
      </c>
      <c r="AJ875">
        <f>SUM(Post[[#This Row],[47]:[75]])</f>
        <v>6</v>
      </c>
    </row>
    <row r="876" spans="1:36" x14ac:dyDescent="0.2">
      <c r="A876" t="s">
        <v>7</v>
      </c>
      <c r="B876" t="s">
        <v>6</v>
      </c>
      <c r="C876">
        <v>5082</v>
      </c>
      <c r="D876" t="s">
        <v>22</v>
      </c>
      <c r="E876" t="s">
        <v>14</v>
      </c>
      <c r="F876" t="s">
        <v>21</v>
      </c>
      <c r="K876">
        <v>1</v>
      </c>
      <c r="Y876">
        <v>1</v>
      </c>
      <c r="AJ876">
        <f>SUM(Post[[#This Row],[47]:[75]])</f>
        <v>2</v>
      </c>
    </row>
    <row r="877" spans="1:36" x14ac:dyDescent="0.2">
      <c r="A877" t="s">
        <v>7</v>
      </c>
      <c r="B877" t="s">
        <v>6</v>
      </c>
      <c r="C877">
        <v>5177</v>
      </c>
      <c r="D877" t="s">
        <v>22</v>
      </c>
      <c r="E877" t="s">
        <v>8</v>
      </c>
      <c r="F877" t="s">
        <v>23</v>
      </c>
      <c r="R877">
        <v>1</v>
      </c>
      <c r="AE877">
        <v>1</v>
      </c>
      <c r="AJ877">
        <f>SUM(Post[[#This Row],[47]:[75]])</f>
        <v>2</v>
      </c>
    </row>
    <row r="878" spans="1:36" x14ac:dyDescent="0.2">
      <c r="A878" t="s">
        <v>7</v>
      </c>
      <c r="B878" t="s">
        <v>6</v>
      </c>
      <c r="C878">
        <v>7839</v>
      </c>
      <c r="D878" t="s">
        <v>22</v>
      </c>
      <c r="E878" t="s">
        <v>14</v>
      </c>
      <c r="F878" t="s">
        <v>21</v>
      </c>
      <c r="H878">
        <v>1</v>
      </c>
      <c r="Q878">
        <v>1</v>
      </c>
      <c r="AJ878">
        <f>SUM(Post[[#This Row],[47]:[75]])</f>
        <v>2</v>
      </c>
    </row>
    <row r="879" spans="1:36" x14ac:dyDescent="0.2">
      <c r="A879" t="s">
        <v>7</v>
      </c>
      <c r="B879" t="s">
        <v>6</v>
      </c>
      <c r="C879">
        <v>7855</v>
      </c>
      <c r="D879" t="s">
        <v>22</v>
      </c>
      <c r="E879" t="s">
        <v>8</v>
      </c>
      <c r="F879" t="s">
        <v>9</v>
      </c>
      <c r="I879">
        <v>1</v>
      </c>
      <c r="L879">
        <v>1</v>
      </c>
      <c r="Q879">
        <v>1</v>
      </c>
      <c r="V879">
        <v>1</v>
      </c>
      <c r="Z879">
        <v>1</v>
      </c>
      <c r="AJ879">
        <f>SUM(Post[[#This Row],[47]:[75]])</f>
        <v>5</v>
      </c>
    </row>
    <row r="880" spans="1:36" x14ac:dyDescent="0.2">
      <c r="A880" t="s">
        <v>7</v>
      </c>
      <c r="B880" t="s">
        <v>6</v>
      </c>
      <c r="C880">
        <v>8195</v>
      </c>
      <c r="D880" t="s">
        <v>22</v>
      </c>
      <c r="E880" t="s">
        <v>40</v>
      </c>
      <c r="F880" t="s">
        <v>44</v>
      </c>
      <c r="AJ880">
        <f>SUM(Post[[#This Row],[47]:[75]])</f>
        <v>0</v>
      </c>
    </row>
    <row r="881" spans="1:36" x14ac:dyDescent="0.2">
      <c r="A881" t="s">
        <v>7</v>
      </c>
      <c r="B881" t="s">
        <v>6</v>
      </c>
      <c r="C881">
        <v>8195</v>
      </c>
      <c r="D881" t="s">
        <v>22</v>
      </c>
      <c r="E881" t="s">
        <v>40</v>
      </c>
      <c r="F881" t="s">
        <v>41</v>
      </c>
      <c r="I881">
        <v>1</v>
      </c>
      <c r="O881">
        <v>2</v>
      </c>
      <c r="X881">
        <v>1</v>
      </c>
      <c r="AG881">
        <v>1</v>
      </c>
      <c r="AJ881">
        <f>SUM(Post[[#This Row],[47]:[75]])</f>
        <v>5</v>
      </c>
    </row>
    <row r="882" spans="1:36" x14ac:dyDescent="0.2">
      <c r="A882" t="s">
        <v>7</v>
      </c>
      <c r="B882" t="s">
        <v>6</v>
      </c>
      <c r="C882">
        <v>8195</v>
      </c>
      <c r="D882" t="s">
        <v>22</v>
      </c>
      <c r="E882" t="s">
        <v>8</v>
      </c>
      <c r="F882" t="s">
        <v>9</v>
      </c>
      <c r="AJ882">
        <f>SUM(Post[[#This Row],[47]:[75]])</f>
        <v>0</v>
      </c>
    </row>
    <row r="883" spans="1:36" x14ac:dyDescent="0.2">
      <c r="A883" t="s">
        <v>7</v>
      </c>
      <c r="B883" t="s">
        <v>6</v>
      </c>
      <c r="C883">
        <v>8195</v>
      </c>
      <c r="D883" t="s">
        <v>22</v>
      </c>
      <c r="E883" t="s">
        <v>8</v>
      </c>
      <c r="F883" t="s">
        <v>29</v>
      </c>
      <c r="AJ883">
        <f>SUM(Post[[#This Row],[47]:[75]])</f>
        <v>0</v>
      </c>
    </row>
    <row r="884" spans="1:36" x14ac:dyDescent="0.2">
      <c r="A884" t="s">
        <v>7</v>
      </c>
      <c r="B884" t="s">
        <v>6</v>
      </c>
      <c r="C884">
        <v>8195</v>
      </c>
      <c r="D884" t="s">
        <v>22</v>
      </c>
      <c r="E884" t="s">
        <v>24</v>
      </c>
      <c r="F884" t="s">
        <v>25</v>
      </c>
      <c r="AJ884">
        <f>SUM(Post[[#This Row],[47]:[75]])</f>
        <v>0</v>
      </c>
    </row>
    <row r="885" spans="1:36" x14ac:dyDescent="0.2">
      <c r="A885" t="s">
        <v>7</v>
      </c>
      <c r="B885" t="s">
        <v>6</v>
      </c>
      <c r="C885">
        <v>11094</v>
      </c>
      <c r="D885" t="s">
        <v>22</v>
      </c>
      <c r="E885" t="s">
        <v>14</v>
      </c>
      <c r="F885" t="s">
        <v>20</v>
      </c>
      <c r="AJ885">
        <f>SUM(Post[[#This Row],[47]:[75]])</f>
        <v>0</v>
      </c>
    </row>
    <row r="886" spans="1:36" x14ac:dyDescent="0.2">
      <c r="A886" t="s">
        <v>7</v>
      </c>
      <c r="B886" t="s">
        <v>6</v>
      </c>
      <c r="C886">
        <v>11434</v>
      </c>
      <c r="D886" t="s">
        <v>22</v>
      </c>
      <c r="E886" t="s">
        <v>14</v>
      </c>
      <c r="F886" t="s">
        <v>35</v>
      </c>
      <c r="I886">
        <v>1</v>
      </c>
      <c r="X886">
        <v>1</v>
      </c>
      <c r="AJ886">
        <f>SUM(Post[[#This Row],[47]:[75]])</f>
        <v>2</v>
      </c>
    </row>
    <row r="887" spans="1:36" x14ac:dyDescent="0.2">
      <c r="A887" t="s">
        <v>7</v>
      </c>
      <c r="B887" t="s">
        <v>6</v>
      </c>
      <c r="C887">
        <v>11516</v>
      </c>
      <c r="D887" t="s">
        <v>22</v>
      </c>
      <c r="E887" t="s">
        <v>14</v>
      </c>
      <c r="F887" t="s">
        <v>20</v>
      </c>
      <c r="Q887">
        <v>1</v>
      </c>
      <c r="AJ887">
        <f>SUM(Post[[#This Row],[47]:[75]])</f>
        <v>1</v>
      </c>
    </row>
    <row r="888" spans="1:36" x14ac:dyDescent="0.2">
      <c r="A888" t="s">
        <v>7</v>
      </c>
      <c r="B888" t="s">
        <v>6</v>
      </c>
      <c r="C888">
        <v>11736</v>
      </c>
      <c r="D888" t="s">
        <v>22</v>
      </c>
      <c r="E888" t="s">
        <v>8</v>
      </c>
      <c r="F888" t="s">
        <v>34</v>
      </c>
      <c r="K888">
        <v>1</v>
      </c>
      <c r="X888">
        <v>1</v>
      </c>
      <c r="AJ888">
        <f>SUM(Post[[#This Row],[47]:[75]])</f>
        <v>2</v>
      </c>
    </row>
    <row r="889" spans="1:36" x14ac:dyDescent="0.2">
      <c r="A889" t="s">
        <v>7</v>
      </c>
      <c r="B889" t="s">
        <v>6</v>
      </c>
      <c r="C889">
        <v>11736</v>
      </c>
      <c r="D889" t="s">
        <v>22</v>
      </c>
      <c r="E889" t="s">
        <v>14</v>
      </c>
      <c r="F889" t="s">
        <v>31</v>
      </c>
      <c r="K889">
        <v>1</v>
      </c>
      <c r="X889">
        <v>2</v>
      </c>
      <c r="AJ889">
        <f>SUM(Post[[#This Row],[47]:[75]])</f>
        <v>3</v>
      </c>
    </row>
    <row r="890" spans="1:36" x14ac:dyDescent="0.2">
      <c r="A890" t="s">
        <v>7</v>
      </c>
      <c r="B890" t="s">
        <v>6</v>
      </c>
      <c r="C890">
        <v>11829</v>
      </c>
      <c r="D890" t="s">
        <v>22</v>
      </c>
      <c r="E890" t="s">
        <v>14</v>
      </c>
      <c r="F890" t="s">
        <v>35</v>
      </c>
      <c r="G890">
        <v>1</v>
      </c>
      <c r="U890">
        <v>1</v>
      </c>
      <c r="AF890">
        <v>1</v>
      </c>
      <c r="AJ890">
        <f>SUM(Post[[#This Row],[47]:[75]])</f>
        <v>3</v>
      </c>
    </row>
    <row r="891" spans="1:36" x14ac:dyDescent="0.2">
      <c r="A891" t="s">
        <v>7</v>
      </c>
      <c r="B891" t="s">
        <v>6</v>
      </c>
      <c r="C891">
        <v>11880</v>
      </c>
      <c r="D891" t="s">
        <v>22</v>
      </c>
      <c r="E891" t="s">
        <v>37</v>
      </c>
      <c r="F891" t="s">
        <v>49</v>
      </c>
      <c r="U891">
        <v>1</v>
      </c>
      <c r="AJ891">
        <f>SUM(Post[[#This Row],[47]:[75]])</f>
        <v>1</v>
      </c>
    </row>
    <row r="892" spans="1:36" x14ac:dyDescent="0.2">
      <c r="A892" t="s">
        <v>7</v>
      </c>
      <c r="B892" t="s">
        <v>6</v>
      </c>
      <c r="C892">
        <v>11880</v>
      </c>
      <c r="D892" t="s">
        <v>22</v>
      </c>
      <c r="E892" t="s">
        <v>10</v>
      </c>
      <c r="F892" t="s">
        <v>11</v>
      </c>
      <c r="Y892">
        <v>1</v>
      </c>
      <c r="AE892">
        <v>1</v>
      </c>
      <c r="AJ892">
        <f>SUM(Post[[#This Row],[47]:[75]])</f>
        <v>2</v>
      </c>
    </row>
    <row r="893" spans="1:36" x14ac:dyDescent="0.2">
      <c r="A893" t="s">
        <v>7</v>
      </c>
      <c r="B893" t="s">
        <v>6</v>
      </c>
      <c r="C893">
        <v>11880</v>
      </c>
      <c r="D893" t="s">
        <v>22</v>
      </c>
      <c r="E893" t="s">
        <v>14</v>
      </c>
      <c r="F893" t="s">
        <v>20</v>
      </c>
      <c r="U893">
        <v>1</v>
      </c>
      <c r="AJ893">
        <f>SUM(Post[[#This Row],[47]:[75]])</f>
        <v>1</v>
      </c>
    </row>
    <row r="894" spans="1:36" x14ac:dyDescent="0.2">
      <c r="A894" t="s">
        <v>7</v>
      </c>
      <c r="B894" t="s">
        <v>6</v>
      </c>
      <c r="C894">
        <v>14102</v>
      </c>
      <c r="D894" t="s">
        <v>22</v>
      </c>
      <c r="E894" t="s">
        <v>8</v>
      </c>
      <c r="F894" t="s">
        <v>29</v>
      </c>
      <c r="O894">
        <v>1</v>
      </c>
      <c r="AB894">
        <v>1</v>
      </c>
      <c r="AJ894">
        <f>SUM(Post[[#This Row],[47]:[75]])</f>
        <v>2</v>
      </c>
    </row>
    <row r="895" spans="1:36" x14ac:dyDescent="0.2">
      <c r="A895" t="s">
        <v>7</v>
      </c>
      <c r="B895" t="s">
        <v>6</v>
      </c>
      <c r="C895">
        <v>14163</v>
      </c>
      <c r="D895" t="s">
        <v>22</v>
      </c>
      <c r="E895" t="s">
        <v>14</v>
      </c>
      <c r="F895" t="s">
        <v>20</v>
      </c>
      <c r="AJ895">
        <f>SUM(Post[[#This Row],[47]:[75]])</f>
        <v>0</v>
      </c>
    </row>
    <row r="896" spans="1:36" x14ac:dyDescent="0.2">
      <c r="A896" t="s">
        <v>7</v>
      </c>
      <c r="B896" t="s">
        <v>6</v>
      </c>
      <c r="C896">
        <v>14281</v>
      </c>
      <c r="D896" t="s">
        <v>22</v>
      </c>
      <c r="E896" t="s">
        <v>14</v>
      </c>
      <c r="F896" t="s">
        <v>35</v>
      </c>
      <c r="AJ896">
        <f>SUM(Post[[#This Row],[47]:[75]])</f>
        <v>0</v>
      </c>
    </row>
    <row r="897" spans="1:36" x14ac:dyDescent="0.2">
      <c r="A897" t="s">
        <v>7</v>
      </c>
      <c r="B897" t="s">
        <v>6</v>
      </c>
      <c r="C897">
        <v>14281</v>
      </c>
      <c r="D897" t="s">
        <v>22</v>
      </c>
      <c r="E897" t="s">
        <v>14</v>
      </c>
      <c r="F897" t="s">
        <v>20</v>
      </c>
      <c r="AJ897">
        <f>SUM(Post[[#This Row],[47]:[75]])</f>
        <v>0</v>
      </c>
    </row>
    <row r="898" spans="1:36" x14ac:dyDescent="0.2">
      <c r="A898" t="s">
        <v>7</v>
      </c>
      <c r="B898" t="s">
        <v>6</v>
      </c>
      <c r="C898">
        <v>14292</v>
      </c>
      <c r="D898" t="s">
        <v>22</v>
      </c>
      <c r="E898" t="s">
        <v>14</v>
      </c>
      <c r="F898" t="s">
        <v>19</v>
      </c>
      <c r="AJ898">
        <f>SUM(Post[[#This Row],[47]:[75]])</f>
        <v>0</v>
      </c>
    </row>
    <row r="899" spans="1:36" x14ac:dyDescent="0.2">
      <c r="A899" t="s">
        <v>7</v>
      </c>
      <c r="B899" t="s">
        <v>6</v>
      </c>
      <c r="C899">
        <v>14292</v>
      </c>
      <c r="D899" t="s">
        <v>22</v>
      </c>
      <c r="E899" t="s">
        <v>14</v>
      </c>
      <c r="F899" t="s">
        <v>21</v>
      </c>
      <c r="P899">
        <v>1</v>
      </c>
      <c r="AC899">
        <v>1</v>
      </c>
      <c r="AJ899">
        <f>SUM(Post[[#This Row],[47]:[75]])</f>
        <v>2</v>
      </c>
    </row>
    <row r="900" spans="1:36" x14ac:dyDescent="0.2">
      <c r="A900" t="s">
        <v>7</v>
      </c>
      <c r="B900" t="s">
        <v>6</v>
      </c>
      <c r="C900">
        <v>14576</v>
      </c>
      <c r="D900" t="s">
        <v>22</v>
      </c>
      <c r="E900" t="s">
        <v>14</v>
      </c>
      <c r="F900" t="s">
        <v>20</v>
      </c>
      <c r="N900">
        <v>1</v>
      </c>
      <c r="AB900">
        <v>1</v>
      </c>
      <c r="AJ900">
        <f>SUM(Post[[#This Row],[47]:[75]])</f>
        <v>2</v>
      </c>
    </row>
    <row r="901" spans="1:36" x14ac:dyDescent="0.2">
      <c r="A901" t="s">
        <v>7</v>
      </c>
      <c r="B901" t="s">
        <v>6</v>
      </c>
      <c r="C901">
        <v>14957</v>
      </c>
      <c r="D901" t="s">
        <v>22</v>
      </c>
      <c r="E901" t="s">
        <v>14</v>
      </c>
      <c r="F901" t="s">
        <v>20</v>
      </c>
      <c r="AH901">
        <v>3</v>
      </c>
      <c r="AJ901">
        <f>SUM(Post[[#This Row],[47]:[75]])</f>
        <v>3</v>
      </c>
    </row>
    <row r="902" spans="1:36" x14ac:dyDescent="0.2">
      <c r="A902" t="s">
        <v>7</v>
      </c>
      <c r="B902" t="s">
        <v>6</v>
      </c>
      <c r="C902">
        <v>15087</v>
      </c>
      <c r="D902" t="s">
        <v>22</v>
      </c>
      <c r="E902" t="s">
        <v>8</v>
      </c>
      <c r="F902" t="s">
        <v>23</v>
      </c>
      <c r="H902">
        <v>1</v>
      </c>
      <c r="I902">
        <v>1</v>
      </c>
      <c r="AJ902">
        <f>SUM(Post[[#This Row],[47]:[75]])</f>
        <v>2</v>
      </c>
    </row>
    <row r="903" spans="1:36" x14ac:dyDescent="0.2">
      <c r="A903" t="s">
        <v>7</v>
      </c>
      <c r="B903" t="s">
        <v>6</v>
      </c>
      <c r="C903">
        <v>15482</v>
      </c>
      <c r="D903" t="s">
        <v>22</v>
      </c>
      <c r="E903" t="s">
        <v>14</v>
      </c>
      <c r="F903" t="s">
        <v>20</v>
      </c>
      <c r="R903">
        <v>1</v>
      </c>
      <c r="AE903">
        <v>1</v>
      </c>
      <c r="AJ903">
        <f>SUM(Post[[#This Row],[47]:[75]])</f>
        <v>2</v>
      </c>
    </row>
    <row r="904" spans="1:36" x14ac:dyDescent="0.2">
      <c r="A904" t="s">
        <v>7</v>
      </c>
      <c r="B904" t="s">
        <v>6</v>
      </c>
      <c r="C904">
        <v>15653</v>
      </c>
      <c r="D904" t="s">
        <v>22</v>
      </c>
      <c r="E904" t="s">
        <v>8</v>
      </c>
      <c r="F904" t="s">
        <v>23</v>
      </c>
      <c r="H904">
        <v>1</v>
      </c>
      <c r="L904">
        <v>1</v>
      </c>
      <c r="Q904">
        <v>1</v>
      </c>
      <c r="U904">
        <v>1</v>
      </c>
      <c r="Y904">
        <v>1</v>
      </c>
      <c r="AC904">
        <v>1</v>
      </c>
      <c r="AH904">
        <v>1</v>
      </c>
      <c r="AJ904">
        <f>SUM(Post[[#This Row],[47]:[75]])</f>
        <v>7</v>
      </c>
    </row>
    <row r="905" spans="1:36" x14ac:dyDescent="0.2">
      <c r="A905" t="s">
        <v>7</v>
      </c>
      <c r="B905" t="s">
        <v>6</v>
      </c>
      <c r="C905">
        <v>16753</v>
      </c>
      <c r="D905" t="s">
        <v>22</v>
      </c>
      <c r="E905" t="s">
        <v>8</v>
      </c>
      <c r="F905" t="s">
        <v>23</v>
      </c>
      <c r="H905">
        <v>1</v>
      </c>
      <c r="Y905">
        <v>1</v>
      </c>
      <c r="AJ905">
        <f>SUM(Post[[#This Row],[47]:[75]])</f>
        <v>2</v>
      </c>
    </row>
    <row r="906" spans="1:36" x14ac:dyDescent="0.2">
      <c r="A906" t="s">
        <v>7</v>
      </c>
      <c r="B906" t="s">
        <v>6</v>
      </c>
      <c r="C906">
        <v>18196</v>
      </c>
      <c r="D906" t="s">
        <v>22</v>
      </c>
      <c r="E906" t="s">
        <v>14</v>
      </c>
      <c r="F906" t="s">
        <v>31</v>
      </c>
      <c r="G906">
        <v>1</v>
      </c>
      <c r="K906">
        <v>1</v>
      </c>
      <c r="P906">
        <v>1</v>
      </c>
      <c r="T906">
        <v>1</v>
      </c>
      <c r="X906">
        <v>1</v>
      </c>
      <c r="AB906">
        <v>1</v>
      </c>
      <c r="AF906">
        <v>1</v>
      </c>
      <c r="AJ906">
        <f>SUM(Post[[#This Row],[47]:[75]])</f>
        <v>7</v>
      </c>
    </row>
    <row r="907" spans="1:36" x14ac:dyDescent="0.2">
      <c r="A907" t="s">
        <v>7</v>
      </c>
      <c r="B907" t="s">
        <v>6</v>
      </c>
      <c r="C907">
        <v>20429</v>
      </c>
      <c r="D907" t="s">
        <v>22</v>
      </c>
      <c r="E907" t="s">
        <v>8</v>
      </c>
      <c r="F907" t="s">
        <v>29</v>
      </c>
      <c r="S907">
        <v>2</v>
      </c>
      <c r="AF907">
        <v>1</v>
      </c>
      <c r="AJ907">
        <f>SUM(Post[[#This Row],[47]:[75]])</f>
        <v>3</v>
      </c>
    </row>
    <row r="908" spans="1:36" x14ac:dyDescent="0.2">
      <c r="A908" t="s">
        <v>7</v>
      </c>
      <c r="B908" t="s">
        <v>6</v>
      </c>
      <c r="C908">
        <v>21484</v>
      </c>
      <c r="D908" t="s">
        <v>22</v>
      </c>
      <c r="E908" t="s">
        <v>14</v>
      </c>
      <c r="F908" t="s">
        <v>20</v>
      </c>
      <c r="J908">
        <v>1</v>
      </c>
      <c r="AA908">
        <v>1</v>
      </c>
      <c r="AJ908">
        <f>SUM(Post[[#This Row],[47]:[75]])</f>
        <v>2</v>
      </c>
    </row>
    <row r="909" spans="1:36" x14ac:dyDescent="0.2">
      <c r="A909" t="s">
        <v>7</v>
      </c>
      <c r="B909" t="s">
        <v>6</v>
      </c>
      <c r="C909">
        <v>22969</v>
      </c>
      <c r="D909" t="s">
        <v>22</v>
      </c>
      <c r="E909" t="s">
        <v>14</v>
      </c>
      <c r="F909" t="s">
        <v>20</v>
      </c>
      <c r="AJ909">
        <f>SUM(Post[[#This Row],[47]:[75]])</f>
        <v>0</v>
      </c>
    </row>
    <row r="910" spans="1:36" x14ac:dyDescent="0.2">
      <c r="A910" t="s">
        <v>7</v>
      </c>
      <c r="B910" t="s">
        <v>6</v>
      </c>
      <c r="C910">
        <v>23780</v>
      </c>
      <c r="D910" t="s">
        <v>22</v>
      </c>
      <c r="E910" t="s">
        <v>14</v>
      </c>
      <c r="F910" t="s">
        <v>35</v>
      </c>
      <c r="AJ910">
        <f>SUM(Post[[#This Row],[47]:[75]])</f>
        <v>0</v>
      </c>
    </row>
    <row r="911" spans="1:36" x14ac:dyDescent="0.2">
      <c r="A911" t="s">
        <v>7</v>
      </c>
      <c r="B911" t="s">
        <v>6</v>
      </c>
      <c r="C911">
        <v>23780</v>
      </c>
      <c r="D911" t="s">
        <v>22</v>
      </c>
      <c r="E911" t="s">
        <v>14</v>
      </c>
      <c r="F911" t="s">
        <v>20</v>
      </c>
      <c r="AJ911">
        <f>SUM(Post[[#This Row],[47]:[75]])</f>
        <v>0</v>
      </c>
    </row>
    <row r="912" spans="1:36" x14ac:dyDescent="0.2">
      <c r="A912" t="s">
        <v>7</v>
      </c>
      <c r="B912" t="s">
        <v>6</v>
      </c>
      <c r="C912">
        <v>32319</v>
      </c>
      <c r="D912" t="s">
        <v>22</v>
      </c>
      <c r="E912" t="s">
        <v>14</v>
      </c>
      <c r="F912" t="s">
        <v>15</v>
      </c>
      <c r="AJ912">
        <f>SUM(Post[[#This Row],[47]:[75]])</f>
        <v>0</v>
      </c>
    </row>
    <row r="913" spans="1:36" x14ac:dyDescent="0.2">
      <c r="A913" t="s">
        <v>7</v>
      </c>
      <c r="B913" t="s">
        <v>6</v>
      </c>
      <c r="C913">
        <v>5178</v>
      </c>
      <c r="D913" t="s">
        <v>7</v>
      </c>
      <c r="E913" t="s">
        <v>14</v>
      </c>
      <c r="F913" t="s">
        <v>21</v>
      </c>
      <c r="O913">
        <v>1</v>
      </c>
      <c r="AD913">
        <v>1</v>
      </c>
      <c r="AJ913">
        <f>SUM(Post[[#This Row],[47]:[75]])</f>
        <v>2</v>
      </c>
    </row>
    <row r="914" spans="1:36" x14ac:dyDescent="0.2">
      <c r="A914" t="s">
        <v>7</v>
      </c>
      <c r="B914" t="s">
        <v>6</v>
      </c>
      <c r="C914">
        <v>744</v>
      </c>
      <c r="D914" t="s">
        <v>7</v>
      </c>
      <c r="E914" t="s">
        <v>14</v>
      </c>
      <c r="F914" t="s">
        <v>31</v>
      </c>
      <c r="O914">
        <v>1</v>
      </c>
      <c r="U914">
        <v>1</v>
      </c>
      <c r="AJ914">
        <f>SUM(Post[[#This Row],[47]:[75]])</f>
        <v>2</v>
      </c>
    </row>
    <row r="915" spans="1:36" x14ac:dyDescent="0.2">
      <c r="A915" t="s">
        <v>7</v>
      </c>
      <c r="B915" t="s">
        <v>6</v>
      </c>
      <c r="C915">
        <v>9198</v>
      </c>
      <c r="D915" t="s">
        <v>7</v>
      </c>
      <c r="E915" t="s">
        <v>10</v>
      </c>
      <c r="F915" t="s">
        <v>11</v>
      </c>
      <c r="R915">
        <v>1</v>
      </c>
      <c r="U915">
        <v>1</v>
      </c>
      <c r="W915">
        <v>1</v>
      </c>
      <c r="X915">
        <v>1</v>
      </c>
      <c r="AB915">
        <v>1</v>
      </c>
      <c r="AF915">
        <v>1</v>
      </c>
      <c r="AJ915">
        <f>SUM(Post[[#This Row],[47]:[75]])</f>
        <v>6</v>
      </c>
    </row>
    <row r="916" spans="1:36" x14ac:dyDescent="0.2">
      <c r="A916" t="s">
        <v>7</v>
      </c>
      <c r="B916" t="s">
        <v>6</v>
      </c>
      <c r="C916">
        <v>9198</v>
      </c>
      <c r="D916" t="s">
        <v>7</v>
      </c>
      <c r="E916" t="s">
        <v>14</v>
      </c>
      <c r="F916" t="s">
        <v>35</v>
      </c>
      <c r="G916">
        <v>1</v>
      </c>
      <c r="AJ916">
        <f>SUM(Post[[#This Row],[47]:[75]])</f>
        <v>1</v>
      </c>
    </row>
    <row r="917" spans="1:36" x14ac:dyDescent="0.2">
      <c r="A917" t="s">
        <v>7</v>
      </c>
      <c r="B917" t="s">
        <v>6</v>
      </c>
      <c r="C917">
        <v>9602</v>
      </c>
      <c r="D917" t="s">
        <v>7</v>
      </c>
      <c r="E917" t="s">
        <v>14</v>
      </c>
      <c r="F917" t="s">
        <v>31</v>
      </c>
      <c r="Q917">
        <v>1</v>
      </c>
      <c r="AE917">
        <v>1</v>
      </c>
      <c r="AJ917">
        <f>SUM(Post[[#This Row],[47]:[75]])</f>
        <v>2</v>
      </c>
    </row>
    <row r="918" spans="1:36" x14ac:dyDescent="0.2">
      <c r="A918" t="s">
        <v>7</v>
      </c>
      <c r="B918" t="s">
        <v>6</v>
      </c>
      <c r="C918">
        <v>10121</v>
      </c>
      <c r="D918" t="s">
        <v>7</v>
      </c>
      <c r="E918" t="s">
        <v>14</v>
      </c>
      <c r="F918" t="s">
        <v>20</v>
      </c>
      <c r="K918">
        <v>1</v>
      </c>
      <c r="Y918">
        <v>2</v>
      </c>
      <c r="AG918">
        <v>1</v>
      </c>
      <c r="AJ918">
        <f>SUM(Post[[#This Row],[47]:[75]])</f>
        <v>4</v>
      </c>
    </row>
    <row r="919" spans="1:36" x14ac:dyDescent="0.2">
      <c r="A919" t="s">
        <v>7</v>
      </c>
      <c r="B919" t="s">
        <v>6</v>
      </c>
      <c r="C919">
        <v>10512</v>
      </c>
      <c r="D919" t="s">
        <v>7</v>
      </c>
      <c r="E919" t="s">
        <v>14</v>
      </c>
      <c r="F919" t="s">
        <v>31</v>
      </c>
      <c r="R919">
        <v>1</v>
      </c>
      <c r="AJ919">
        <f>SUM(Post[[#This Row],[47]:[75]])</f>
        <v>1</v>
      </c>
    </row>
    <row r="920" spans="1:36" x14ac:dyDescent="0.2">
      <c r="A920" t="s">
        <v>7</v>
      </c>
      <c r="B920" t="s">
        <v>6</v>
      </c>
      <c r="C920">
        <v>12339</v>
      </c>
      <c r="D920" t="s">
        <v>7</v>
      </c>
      <c r="E920" t="s">
        <v>14</v>
      </c>
      <c r="F920" t="s">
        <v>31</v>
      </c>
      <c r="K920">
        <v>1</v>
      </c>
      <c r="Y920">
        <v>1</v>
      </c>
      <c r="AJ920">
        <f>SUM(Post[[#This Row],[47]:[75]])</f>
        <v>2</v>
      </c>
    </row>
    <row r="921" spans="1:36" x14ac:dyDescent="0.2">
      <c r="A921" t="s">
        <v>7</v>
      </c>
      <c r="B921" t="s">
        <v>6</v>
      </c>
      <c r="C921">
        <v>14553</v>
      </c>
      <c r="D921" t="s">
        <v>7</v>
      </c>
      <c r="E921" t="s">
        <v>14</v>
      </c>
      <c r="F921" t="s">
        <v>20</v>
      </c>
      <c r="W921">
        <v>1</v>
      </c>
      <c r="AA921">
        <v>3</v>
      </c>
      <c r="AJ921">
        <f>SUM(Post[[#This Row],[47]:[75]])</f>
        <v>4</v>
      </c>
    </row>
    <row r="922" spans="1:36" x14ac:dyDescent="0.2">
      <c r="A922" t="s">
        <v>7</v>
      </c>
      <c r="B922" t="s">
        <v>6</v>
      </c>
      <c r="C922">
        <v>17847</v>
      </c>
      <c r="D922" t="s">
        <v>7</v>
      </c>
      <c r="E922" t="s">
        <v>14</v>
      </c>
      <c r="F922" t="s">
        <v>20</v>
      </c>
      <c r="Q922">
        <v>1</v>
      </c>
      <c r="AJ922">
        <f>SUM(Post[[#This Row],[47]:[75]])</f>
        <v>1</v>
      </c>
    </row>
    <row r="923" spans="1:36" x14ac:dyDescent="0.2">
      <c r="A923" t="s">
        <v>7</v>
      </c>
      <c r="B923" t="s">
        <v>6</v>
      </c>
      <c r="C923">
        <v>2191</v>
      </c>
      <c r="D923" t="s">
        <v>22</v>
      </c>
      <c r="E923" t="s">
        <v>14</v>
      </c>
      <c r="F923" t="s">
        <v>20</v>
      </c>
      <c r="N923">
        <v>1</v>
      </c>
      <c r="U923">
        <v>1</v>
      </c>
      <c r="W923">
        <v>1</v>
      </c>
      <c r="X923">
        <v>1</v>
      </c>
      <c r="AJ923">
        <f>SUM(Post[[#This Row],[47]:[75]])</f>
        <v>4</v>
      </c>
    </row>
    <row r="924" spans="1:36" x14ac:dyDescent="0.2">
      <c r="A924" t="s">
        <v>7</v>
      </c>
      <c r="B924" t="s">
        <v>6</v>
      </c>
      <c r="C924">
        <v>2334</v>
      </c>
      <c r="D924" t="s">
        <v>22</v>
      </c>
      <c r="E924" t="s">
        <v>14</v>
      </c>
      <c r="F924" t="s">
        <v>20</v>
      </c>
      <c r="O924">
        <v>1</v>
      </c>
      <c r="AE924">
        <v>1</v>
      </c>
      <c r="AJ924">
        <f>SUM(Post[[#This Row],[47]:[75]])</f>
        <v>2</v>
      </c>
    </row>
    <row r="925" spans="1:36" x14ac:dyDescent="0.2">
      <c r="A925" t="s">
        <v>7</v>
      </c>
      <c r="B925" t="s">
        <v>6</v>
      </c>
      <c r="C925">
        <v>7855</v>
      </c>
      <c r="D925" t="s">
        <v>22</v>
      </c>
      <c r="E925" t="s">
        <v>14</v>
      </c>
      <c r="F925" t="s">
        <v>20</v>
      </c>
      <c r="AJ925">
        <f>SUM(Post[[#This Row],[47]:[75]])</f>
        <v>0</v>
      </c>
    </row>
    <row r="926" spans="1:36" x14ac:dyDescent="0.2">
      <c r="A926" t="s">
        <v>7</v>
      </c>
      <c r="B926" t="s">
        <v>6</v>
      </c>
      <c r="C926">
        <v>9175</v>
      </c>
      <c r="D926" t="s">
        <v>22</v>
      </c>
      <c r="E926" t="s">
        <v>14</v>
      </c>
      <c r="F926" t="s">
        <v>20</v>
      </c>
      <c r="T926">
        <v>1</v>
      </c>
      <c r="AG926">
        <v>1</v>
      </c>
      <c r="AJ926">
        <f>SUM(Post[[#This Row],[47]:[75]])</f>
        <v>2</v>
      </c>
    </row>
    <row r="927" spans="1:36" x14ac:dyDescent="0.2">
      <c r="A927" t="s">
        <v>7</v>
      </c>
      <c r="B927" t="s">
        <v>6</v>
      </c>
      <c r="C927">
        <v>9494</v>
      </c>
      <c r="D927" t="s">
        <v>22</v>
      </c>
      <c r="E927" t="s">
        <v>10</v>
      </c>
      <c r="F927" t="s">
        <v>16</v>
      </c>
      <c r="Y927">
        <v>1</v>
      </c>
      <c r="AJ927">
        <f>SUM(Post[[#This Row],[47]:[75]])</f>
        <v>1</v>
      </c>
    </row>
    <row r="928" spans="1:36" x14ac:dyDescent="0.2">
      <c r="A928" t="s">
        <v>7</v>
      </c>
      <c r="B928" t="s">
        <v>6</v>
      </c>
      <c r="C928">
        <v>12298</v>
      </c>
      <c r="D928" t="s">
        <v>22</v>
      </c>
      <c r="E928" t="s">
        <v>14</v>
      </c>
      <c r="F928" t="s">
        <v>21</v>
      </c>
      <c r="L928">
        <v>1</v>
      </c>
      <c r="AA928">
        <v>1</v>
      </c>
      <c r="AJ928">
        <f>SUM(Post[[#This Row],[47]:[75]])</f>
        <v>2</v>
      </c>
    </row>
    <row r="929" spans="1:36" x14ac:dyDescent="0.2">
      <c r="A929" t="s">
        <v>7</v>
      </c>
      <c r="B929" t="s">
        <v>6</v>
      </c>
      <c r="C929">
        <v>13475</v>
      </c>
      <c r="D929" t="s">
        <v>22</v>
      </c>
      <c r="E929" t="s">
        <v>14</v>
      </c>
      <c r="F929" t="s">
        <v>20</v>
      </c>
      <c r="R929">
        <v>1</v>
      </c>
      <c r="AJ929">
        <f>SUM(Post[[#This Row],[47]:[75]])</f>
        <v>1</v>
      </c>
    </row>
    <row r="930" spans="1:36" x14ac:dyDescent="0.2">
      <c r="A930" t="s">
        <v>7</v>
      </c>
      <c r="B930" t="s">
        <v>6</v>
      </c>
      <c r="C930">
        <v>14098</v>
      </c>
      <c r="D930" t="s">
        <v>22</v>
      </c>
      <c r="E930" t="s">
        <v>10</v>
      </c>
      <c r="F930" t="s">
        <v>11</v>
      </c>
      <c r="T930">
        <v>1</v>
      </c>
      <c r="AH930">
        <v>1</v>
      </c>
      <c r="AJ930">
        <f>SUM(Post[[#This Row],[47]:[75]])</f>
        <v>2</v>
      </c>
    </row>
    <row r="931" spans="1:36" x14ac:dyDescent="0.2">
      <c r="A931" t="s">
        <v>7</v>
      </c>
      <c r="B931" t="s">
        <v>6</v>
      </c>
      <c r="C931">
        <v>11457</v>
      </c>
      <c r="D931" t="s">
        <v>22</v>
      </c>
      <c r="E931" t="s">
        <v>14</v>
      </c>
      <c r="F931" t="s">
        <v>21</v>
      </c>
      <c r="G931">
        <v>1</v>
      </c>
      <c r="L931">
        <v>1</v>
      </c>
      <c r="Y931">
        <v>1</v>
      </c>
      <c r="AF931">
        <v>1</v>
      </c>
      <c r="AJ931">
        <f>SUM(Post[[#This Row],[47]:[75]])</f>
        <v>4</v>
      </c>
    </row>
    <row r="932" spans="1:36" x14ac:dyDescent="0.2">
      <c r="A932" t="s">
        <v>7</v>
      </c>
      <c r="B932" t="s">
        <v>6</v>
      </c>
      <c r="C932">
        <v>3200</v>
      </c>
      <c r="D932" t="s">
        <v>7</v>
      </c>
      <c r="E932" t="s">
        <v>14</v>
      </c>
      <c r="F932" t="s">
        <v>20</v>
      </c>
      <c r="I932">
        <v>1</v>
      </c>
      <c r="N932">
        <v>1</v>
      </c>
      <c r="R932">
        <v>1</v>
      </c>
      <c r="AE932">
        <v>1</v>
      </c>
      <c r="AJ932">
        <f>SUM(Post[[#This Row],[47]:[75]])</f>
        <v>4</v>
      </c>
    </row>
    <row r="933" spans="1:36" x14ac:dyDescent="0.2">
      <c r="A933" t="s">
        <v>7</v>
      </c>
      <c r="B933" t="s">
        <v>6</v>
      </c>
      <c r="C933">
        <v>4209</v>
      </c>
      <c r="D933" t="s">
        <v>7</v>
      </c>
      <c r="E933" t="s">
        <v>14</v>
      </c>
      <c r="F933" t="s">
        <v>20</v>
      </c>
      <c r="G933">
        <v>1</v>
      </c>
      <c r="H933">
        <v>1</v>
      </c>
      <c r="I933">
        <v>1</v>
      </c>
      <c r="J933">
        <v>2</v>
      </c>
      <c r="N933">
        <v>1</v>
      </c>
      <c r="O933">
        <v>1</v>
      </c>
      <c r="P933">
        <v>1</v>
      </c>
      <c r="R933">
        <v>2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2</v>
      </c>
      <c r="AD933">
        <v>1</v>
      </c>
      <c r="AE933">
        <v>1</v>
      </c>
      <c r="AF933">
        <v>1</v>
      </c>
      <c r="AG933">
        <v>1</v>
      </c>
      <c r="AH933">
        <v>1</v>
      </c>
      <c r="AJ933">
        <f>SUM(Post[[#This Row],[47]:[75]])</f>
        <v>27</v>
      </c>
    </row>
    <row r="934" spans="1:36" x14ac:dyDescent="0.2">
      <c r="A934" t="s">
        <v>7</v>
      </c>
      <c r="B934" t="s">
        <v>6</v>
      </c>
      <c r="C934">
        <v>6266</v>
      </c>
      <c r="D934" t="s">
        <v>7</v>
      </c>
      <c r="E934" t="s">
        <v>14</v>
      </c>
      <c r="F934" t="s">
        <v>20</v>
      </c>
      <c r="H934">
        <v>1</v>
      </c>
      <c r="J934">
        <v>1</v>
      </c>
      <c r="K934">
        <v>1</v>
      </c>
      <c r="T934">
        <v>1</v>
      </c>
      <c r="V934">
        <v>1</v>
      </c>
      <c r="Z934">
        <v>1</v>
      </c>
      <c r="AD934">
        <v>1</v>
      </c>
      <c r="AH934">
        <v>1</v>
      </c>
      <c r="AJ934">
        <f>SUM(Post[[#This Row],[47]:[75]])</f>
        <v>8</v>
      </c>
    </row>
    <row r="935" spans="1:36" x14ac:dyDescent="0.2">
      <c r="A935" t="s">
        <v>7</v>
      </c>
      <c r="B935" t="s">
        <v>6</v>
      </c>
      <c r="C935">
        <v>972</v>
      </c>
      <c r="D935" t="s">
        <v>22</v>
      </c>
      <c r="E935" t="s">
        <v>14</v>
      </c>
      <c r="F935" t="s">
        <v>21</v>
      </c>
      <c r="AJ935">
        <f>SUM(Post[[#This Row],[47]:[75]])</f>
        <v>0</v>
      </c>
    </row>
    <row r="936" spans="1:36" x14ac:dyDescent="0.2">
      <c r="A936" t="s">
        <v>7</v>
      </c>
      <c r="B936" t="s">
        <v>6</v>
      </c>
      <c r="C936">
        <v>2022</v>
      </c>
      <c r="D936" t="s">
        <v>22</v>
      </c>
      <c r="E936" t="s">
        <v>14</v>
      </c>
      <c r="F936" t="s">
        <v>21</v>
      </c>
      <c r="K936">
        <v>1</v>
      </c>
      <c r="Y936">
        <v>1</v>
      </c>
      <c r="AJ936">
        <f>SUM(Post[[#This Row],[47]:[75]])</f>
        <v>2</v>
      </c>
    </row>
    <row r="937" spans="1:36" x14ac:dyDescent="0.2">
      <c r="A937" t="s">
        <v>7</v>
      </c>
      <c r="B937" t="s">
        <v>6</v>
      </c>
      <c r="C937">
        <v>14102</v>
      </c>
      <c r="D937" t="s">
        <v>22</v>
      </c>
      <c r="E937" t="s">
        <v>14</v>
      </c>
      <c r="F937" t="s">
        <v>20</v>
      </c>
      <c r="AJ937">
        <f>SUM(Post[[#This Row],[47]:[75]])</f>
        <v>0</v>
      </c>
    </row>
    <row r="938" spans="1:36" x14ac:dyDescent="0.2">
      <c r="A938" t="s">
        <v>7</v>
      </c>
      <c r="B938" t="s">
        <v>6</v>
      </c>
      <c r="C938">
        <v>20429</v>
      </c>
      <c r="D938" t="s">
        <v>22</v>
      </c>
      <c r="E938" t="s">
        <v>10</v>
      </c>
      <c r="F938" t="s">
        <v>11</v>
      </c>
      <c r="K938">
        <v>1</v>
      </c>
      <c r="AJ938">
        <f>SUM(Post[[#This Row],[47]:[75]])</f>
        <v>1</v>
      </c>
    </row>
    <row r="939" spans="1:36" x14ac:dyDescent="0.2">
      <c r="A939" t="s">
        <v>7</v>
      </c>
      <c r="B939" t="s">
        <v>6</v>
      </c>
      <c r="C939">
        <v>20429</v>
      </c>
      <c r="D939" t="s">
        <v>22</v>
      </c>
      <c r="E939" t="s">
        <v>14</v>
      </c>
      <c r="F939" t="s">
        <v>20</v>
      </c>
      <c r="AJ939">
        <f>SUM(Post[[#This Row],[47]:[75]])</f>
        <v>0</v>
      </c>
    </row>
    <row r="940" spans="1:36" x14ac:dyDescent="0.2">
      <c r="A940" t="s">
        <v>7</v>
      </c>
      <c r="B940" t="s">
        <v>6</v>
      </c>
      <c r="C940">
        <v>973</v>
      </c>
      <c r="D940" t="s">
        <v>7</v>
      </c>
      <c r="E940" t="s">
        <v>12</v>
      </c>
      <c r="F940" t="s">
        <v>13</v>
      </c>
      <c r="Q940">
        <v>1</v>
      </c>
      <c r="AJ940">
        <f>SUM(Post[[#This Row],[47]:[75]])</f>
        <v>1</v>
      </c>
    </row>
    <row r="941" spans="1:36" x14ac:dyDescent="0.2">
      <c r="A941" t="s">
        <v>7</v>
      </c>
      <c r="B941" t="s">
        <v>6</v>
      </c>
      <c r="C941">
        <v>973</v>
      </c>
      <c r="D941" t="s">
        <v>7</v>
      </c>
      <c r="E941" t="s">
        <v>14</v>
      </c>
      <c r="F941" t="s">
        <v>35</v>
      </c>
      <c r="T941">
        <v>1</v>
      </c>
      <c r="AJ941">
        <f>SUM(Post[[#This Row],[47]:[75]])</f>
        <v>1</v>
      </c>
    </row>
    <row r="942" spans="1:36" x14ac:dyDescent="0.2">
      <c r="A942" t="s">
        <v>7</v>
      </c>
      <c r="B942" t="s">
        <v>6</v>
      </c>
      <c r="C942">
        <v>2097</v>
      </c>
      <c r="D942" t="s">
        <v>7</v>
      </c>
      <c r="E942" t="s">
        <v>14</v>
      </c>
      <c r="F942" t="s">
        <v>20</v>
      </c>
      <c r="G942">
        <v>3</v>
      </c>
      <c r="H942">
        <v>2</v>
      </c>
      <c r="I942">
        <v>2</v>
      </c>
      <c r="J942">
        <v>2</v>
      </c>
      <c r="K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3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f>SUM(Post[[#This Row],[47]:[75]])</f>
        <v>33</v>
      </c>
    </row>
    <row r="943" spans="1:36" x14ac:dyDescent="0.2">
      <c r="A943" t="s">
        <v>7</v>
      </c>
      <c r="B943" t="s">
        <v>6</v>
      </c>
      <c r="C943">
        <v>3012</v>
      </c>
      <c r="D943" t="s">
        <v>7</v>
      </c>
      <c r="E943" t="s">
        <v>17</v>
      </c>
      <c r="F943" t="s">
        <v>18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N943">
        <v>1</v>
      </c>
      <c r="O943">
        <v>2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J943">
        <f>SUM(Post[[#This Row],[47]:[75]])</f>
        <v>28</v>
      </c>
    </row>
    <row r="944" spans="1:36" x14ac:dyDescent="0.2">
      <c r="A944" t="s">
        <v>7</v>
      </c>
      <c r="B944" t="s">
        <v>6</v>
      </c>
      <c r="C944">
        <v>3012</v>
      </c>
      <c r="D944" t="s">
        <v>7</v>
      </c>
      <c r="E944" t="s">
        <v>14</v>
      </c>
      <c r="F944" t="s">
        <v>20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J944">
        <f>SUM(Post[[#This Row],[47]:[75]])</f>
        <v>27</v>
      </c>
    </row>
    <row r="945" spans="1:36" x14ac:dyDescent="0.2">
      <c r="A945" t="s">
        <v>7</v>
      </c>
      <c r="B945" t="s">
        <v>6</v>
      </c>
      <c r="C945">
        <v>9601</v>
      </c>
      <c r="D945" t="s">
        <v>22</v>
      </c>
      <c r="E945" t="s">
        <v>14</v>
      </c>
      <c r="F945" t="s">
        <v>20</v>
      </c>
      <c r="K945">
        <v>1</v>
      </c>
      <c r="W945">
        <v>2</v>
      </c>
      <c r="AJ945">
        <f>SUM(Post[[#This Row],[47]:[75]])</f>
        <v>3</v>
      </c>
    </row>
    <row r="946" spans="1:36" x14ac:dyDescent="0.2">
      <c r="A946" t="s">
        <v>7</v>
      </c>
      <c r="B946" t="s">
        <v>6</v>
      </c>
      <c r="C946">
        <v>16753</v>
      </c>
      <c r="D946" t="s">
        <v>22</v>
      </c>
      <c r="E946" t="s">
        <v>14</v>
      </c>
      <c r="F946" t="s">
        <v>35</v>
      </c>
      <c r="AJ946">
        <f>SUM(Post[[#This Row],[47]:[75]])</f>
        <v>0</v>
      </c>
    </row>
    <row r="947" spans="1:36" x14ac:dyDescent="0.2">
      <c r="A947" t="s">
        <v>7</v>
      </c>
      <c r="B947" t="s">
        <v>6</v>
      </c>
      <c r="C947">
        <v>11095</v>
      </c>
      <c r="D947" t="s">
        <v>7</v>
      </c>
      <c r="E947" t="s">
        <v>8</v>
      </c>
      <c r="F947" t="s">
        <v>23</v>
      </c>
      <c r="W947">
        <v>1</v>
      </c>
      <c r="AC947">
        <v>1</v>
      </c>
      <c r="AJ947">
        <f>SUM(Post[[#This Row],[47]:[75]])</f>
        <v>2</v>
      </c>
    </row>
    <row r="948" spans="1:36" x14ac:dyDescent="0.2">
      <c r="A948" t="s">
        <v>7</v>
      </c>
      <c r="B948" t="s">
        <v>6</v>
      </c>
      <c r="C948">
        <v>11792</v>
      </c>
      <c r="D948" t="s">
        <v>7</v>
      </c>
      <c r="E948" t="s">
        <v>37</v>
      </c>
      <c r="F948" t="s">
        <v>49</v>
      </c>
      <c r="Z948">
        <v>1</v>
      </c>
      <c r="AJ948">
        <f>SUM(Post[[#This Row],[47]:[75]])</f>
        <v>1</v>
      </c>
    </row>
    <row r="949" spans="1:36" x14ac:dyDescent="0.2">
      <c r="A949" t="s">
        <v>7</v>
      </c>
      <c r="B949" t="s">
        <v>6</v>
      </c>
      <c r="C949">
        <v>16082</v>
      </c>
      <c r="D949" t="s">
        <v>7</v>
      </c>
      <c r="E949" t="s">
        <v>8</v>
      </c>
      <c r="F949" t="s">
        <v>9</v>
      </c>
      <c r="G949">
        <v>1</v>
      </c>
      <c r="N949">
        <v>1</v>
      </c>
      <c r="U949">
        <v>1</v>
      </c>
      <c r="AA949">
        <v>1</v>
      </c>
      <c r="AG949">
        <v>1</v>
      </c>
      <c r="AJ949">
        <f>SUM(Post[[#This Row],[47]:[75]])</f>
        <v>5</v>
      </c>
    </row>
    <row r="950" spans="1:36" x14ac:dyDescent="0.2">
      <c r="A950" t="s">
        <v>7</v>
      </c>
      <c r="B950" t="s">
        <v>6</v>
      </c>
      <c r="C950">
        <v>958</v>
      </c>
      <c r="D950" t="s">
        <v>22</v>
      </c>
      <c r="E950" t="s">
        <v>37</v>
      </c>
      <c r="F950" t="s">
        <v>49</v>
      </c>
      <c r="G950">
        <v>2</v>
      </c>
      <c r="U950">
        <v>1</v>
      </c>
      <c r="AH950">
        <v>1</v>
      </c>
      <c r="AJ950">
        <f>SUM(Post[[#This Row],[47]:[75]])</f>
        <v>4</v>
      </c>
    </row>
    <row r="951" spans="1:36" x14ac:dyDescent="0.2">
      <c r="A951" t="s">
        <v>7</v>
      </c>
      <c r="B951" t="s">
        <v>6</v>
      </c>
      <c r="C951">
        <v>1858</v>
      </c>
      <c r="D951" t="s">
        <v>22</v>
      </c>
      <c r="E951" t="s">
        <v>8</v>
      </c>
      <c r="F951" t="s">
        <v>29</v>
      </c>
      <c r="K951">
        <v>1</v>
      </c>
      <c r="AJ951">
        <f>SUM(Post[[#This Row],[47]:[75]])</f>
        <v>1</v>
      </c>
    </row>
    <row r="952" spans="1:36" x14ac:dyDescent="0.2">
      <c r="A952" t="s">
        <v>7</v>
      </c>
      <c r="B952" t="s">
        <v>6</v>
      </c>
      <c r="C952">
        <v>4379</v>
      </c>
      <c r="D952" t="s">
        <v>22</v>
      </c>
      <c r="E952" t="s">
        <v>8</v>
      </c>
      <c r="F952" t="s">
        <v>23</v>
      </c>
      <c r="I952">
        <v>1</v>
      </c>
      <c r="V952">
        <v>1</v>
      </c>
      <c r="AJ952">
        <f>SUM(Post[[#This Row],[47]:[75]])</f>
        <v>2</v>
      </c>
    </row>
    <row r="953" spans="1:36" x14ac:dyDescent="0.2">
      <c r="A953" t="s">
        <v>7</v>
      </c>
      <c r="B953" t="s">
        <v>6</v>
      </c>
      <c r="C953">
        <v>9185</v>
      </c>
      <c r="D953" t="s">
        <v>22</v>
      </c>
      <c r="E953" t="s">
        <v>8</v>
      </c>
      <c r="F953" t="s">
        <v>34</v>
      </c>
      <c r="L953">
        <v>2</v>
      </c>
      <c r="R953">
        <v>1</v>
      </c>
      <c r="AF953">
        <v>1</v>
      </c>
      <c r="AJ953">
        <f>SUM(Post[[#This Row],[47]:[75]])</f>
        <v>4</v>
      </c>
    </row>
    <row r="954" spans="1:36" x14ac:dyDescent="0.2">
      <c r="A954" t="s">
        <v>7</v>
      </c>
      <c r="B954" t="s">
        <v>6</v>
      </c>
      <c r="C954">
        <v>9810</v>
      </c>
      <c r="D954" t="s">
        <v>22</v>
      </c>
      <c r="E954" t="s">
        <v>8</v>
      </c>
      <c r="F954" t="s">
        <v>23</v>
      </c>
      <c r="H954">
        <v>1</v>
      </c>
      <c r="W954">
        <v>1</v>
      </c>
      <c r="AJ954">
        <f>SUM(Post[[#This Row],[47]:[75]])</f>
        <v>2</v>
      </c>
    </row>
    <row r="955" spans="1:36" x14ac:dyDescent="0.2">
      <c r="A955" t="s">
        <v>7</v>
      </c>
      <c r="B955" t="s">
        <v>6</v>
      </c>
      <c r="C955">
        <v>11508</v>
      </c>
      <c r="D955" t="s">
        <v>22</v>
      </c>
      <c r="E955" t="s">
        <v>8</v>
      </c>
      <c r="F955" t="s">
        <v>34</v>
      </c>
      <c r="R955">
        <v>1</v>
      </c>
      <c r="AD955">
        <v>1</v>
      </c>
      <c r="AJ955">
        <f>SUM(Post[[#This Row],[47]:[75]])</f>
        <v>2</v>
      </c>
    </row>
    <row r="956" spans="1:36" x14ac:dyDescent="0.2">
      <c r="A956" t="s">
        <v>7</v>
      </c>
      <c r="B956" t="s">
        <v>6</v>
      </c>
      <c r="C956">
        <v>12155</v>
      </c>
      <c r="D956" t="s">
        <v>22</v>
      </c>
      <c r="E956" t="s">
        <v>8</v>
      </c>
      <c r="F956" t="s">
        <v>23</v>
      </c>
      <c r="O956">
        <v>1</v>
      </c>
      <c r="AA956">
        <v>1</v>
      </c>
      <c r="AJ956">
        <f>SUM(Post[[#This Row],[47]:[75]])</f>
        <v>2</v>
      </c>
    </row>
    <row r="957" spans="1:36" x14ac:dyDescent="0.2">
      <c r="A957" t="s">
        <v>7</v>
      </c>
      <c r="B957" t="s">
        <v>6</v>
      </c>
      <c r="C957">
        <v>13702</v>
      </c>
      <c r="D957" t="s">
        <v>22</v>
      </c>
      <c r="E957" t="s">
        <v>8</v>
      </c>
      <c r="F957" t="s">
        <v>23</v>
      </c>
      <c r="V957">
        <v>1</v>
      </c>
      <c r="AJ957">
        <f>SUM(Post[[#This Row],[47]:[75]])</f>
        <v>1</v>
      </c>
    </row>
    <row r="958" spans="1:36" x14ac:dyDescent="0.2">
      <c r="A958" t="s">
        <v>7</v>
      </c>
      <c r="B958" t="s">
        <v>6</v>
      </c>
      <c r="C958">
        <v>14168</v>
      </c>
      <c r="D958" t="s">
        <v>22</v>
      </c>
      <c r="E958" t="s">
        <v>37</v>
      </c>
      <c r="F958" t="s">
        <v>49</v>
      </c>
      <c r="L958">
        <v>1</v>
      </c>
      <c r="W958">
        <v>1</v>
      </c>
      <c r="AJ958">
        <f>SUM(Post[[#This Row],[47]:[75]])</f>
        <v>2</v>
      </c>
    </row>
    <row r="959" spans="1:36" x14ac:dyDescent="0.2">
      <c r="A959" t="s">
        <v>7</v>
      </c>
      <c r="B959" t="s">
        <v>6</v>
      </c>
      <c r="C959">
        <v>14349</v>
      </c>
      <c r="D959" t="s">
        <v>22</v>
      </c>
      <c r="E959" t="s">
        <v>8</v>
      </c>
      <c r="F959" t="s">
        <v>23</v>
      </c>
      <c r="J959">
        <v>1</v>
      </c>
      <c r="AA959">
        <v>1</v>
      </c>
      <c r="AJ959">
        <f>SUM(Post[[#This Row],[47]:[75]])</f>
        <v>2</v>
      </c>
    </row>
    <row r="960" spans="1:36" x14ac:dyDescent="0.2">
      <c r="A960" t="s">
        <v>7</v>
      </c>
      <c r="B960" t="s">
        <v>6</v>
      </c>
      <c r="C960">
        <v>14539</v>
      </c>
      <c r="D960" t="s">
        <v>22</v>
      </c>
      <c r="E960" t="s">
        <v>8</v>
      </c>
      <c r="F960" t="s">
        <v>23</v>
      </c>
      <c r="P960">
        <v>1</v>
      </c>
      <c r="AA960">
        <v>1</v>
      </c>
      <c r="AE960">
        <v>1</v>
      </c>
      <c r="AJ960">
        <f>SUM(Post[[#This Row],[47]:[75]])</f>
        <v>3</v>
      </c>
    </row>
    <row r="961" spans="1:36" x14ac:dyDescent="0.2">
      <c r="A961" t="s">
        <v>7</v>
      </c>
      <c r="B961" t="s">
        <v>6</v>
      </c>
      <c r="C961">
        <v>17932</v>
      </c>
      <c r="D961" t="s">
        <v>22</v>
      </c>
      <c r="E961" t="s">
        <v>8</v>
      </c>
      <c r="F961" t="s">
        <v>23</v>
      </c>
      <c r="Y961">
        <v>1</v>
      </c>
      <c r="AJ961">
        <f>SUM(Post[[#This Row],[47]:[75]])</f>
        <v>1</v>
      </c>
    </row>
    <row r="962" spans="1:36" x14ac:dyDescent="0.2">
      <c r="A962" t="s">
        <v>7</v>
      </c>
      <c r="B962" t="s">
        <v>6</v>
      </c>
      <c r="C962">
        <v>744</v>
      </c>
      <c r="D962" t="s">
        <v>7</v>
      </c>
      <c r="E962" t="s">
        <v>8</v>
      </c>
      <c r="F962" t="s">
        <v>34</v>
      </c>
      <c r="U962">
        <v>1</v>
      </c>
      <c r="AJ962">
        <f>SUM(Post[[#This Row],[47]:[75]])</f>
        <v>1</v>
      </c>
    </row>
    <row r="963" spans="1:36" x14ac:dyDescent="0.2">
      <c r="A963" t="s">
        <v>7</v>
      </c>
      <c r="B963" t="s">
        <v>6</v>
      </c>
      <c r="C963">
        <v>11828</v>
      </c>
      <c r="D963" t="s">
        <v>7</v>
      </c>
      <c r="E963" t="s">
        <v>8</v>
      </c>
      <c r="F963" t="s">
        <v>9</v>
      </c>
      <c r="N963">
        <v>1</v>
      </c>
      <c r="AJ963">
        <f>SUM(Post[[#This Row],[47]:[75]])</f>
        <v>1</v>
      </c>
    </row>
    <row r="964" spans="1:36" x14ac:dyDescent="0.2">
      <c r="A964" t="s">
        <v>7</v>
      </c>
      <c r="B964" t="s">
        <v>6</v>
      </c>
      <c r="C964">
        <v>12241</v>
      </c>
      <c r="D964" t="s">
        <v>7</v>
      </c>
      <c r="E964" t="s">
        <v>8</v>
      </c>
      <c r="F964" t="s">
        <v>29</v>
      </c>
      <c r="G964">
        <v>1</v>
      </c>
      <c r="AJ964">
        <f>SUM(Post[[#This Row],[47]:[75]])</f>
        <v>1</v>
      </c>
    </row>
    <row r="965" spans="1:36" x14ac:dyDescent="0.2">
      <c r="A965" t="s">
        <v>7</v>
      </c>
      <c r="B965" t="s">
        <v>6</v>
      </c>
      <c r="C965">
        <v>14341</v>
      </c>
      <c r="D965" t="s">
        <v>7</v>
      </c>
      <c r="E965" t="s">
        <v>8</v>
      </c>
      <c r="F965" t="s">
        <v>30</v>
      </c>
      <c r="G965">
        <v>2</v>
      </c>
      <c r="AJ965">
        <f>SUM(Post[[#This Row],[47]:[75]])</f>
        <v>2</v>
      </c>
    </row>
    <row r="966" spans="1:36" x14ac:dyDescent="0.2">
      <c r="A966" t="s">
        <v>7</v>
      </c>
      <c r="B966" t="s">
        <v>6</v>
      </c>
      <c r="C966">
        <v>14553</v>
      </c>
      <c r="D966" t="s">
        <v>7</v>
      </c>
      <c r="E966" t="s">
        <v>8</v>
      </c>
      <c r="F966" t="s">
        <v>29</v>
      </c>
      <c r="W966">
        <v>2</v>
      </c>
      <c r="AA966">
        <v>3</v>
      </c>
      <c r="AJ966">
        <f>SUM(Post[[#This Row],[47]:[75]])</f>
        <v>5</v>
      </c>
    </row>
    <row r="967" spans="1:36" x14ac:dyDescent="0.2">
      <c r="A967" t="s">
        <v>7</v>
      </c>
      <c r="B967" t="s">
        <v>6</v>
      </c>
      <c r="C967">
        <v>15690</v>
      </c>
      <c r="D967" t="s">
        <v>7</v>
      </c>
      <c r="E967" t="s">
        <v>8</v>
      </c>
      <c r="F967" t="s">
        <v>9</v>
      </c>
      <c r="J967">
        <v>1</v>
      </c>
      <c r="T967">
        <v>1</v>
      </c>
      <c r="X967">
        <v>1</v>
      </c>
      <c r="AF967">
        <v>1</v>
      </c>
      <c r="AJ967">
        <f>SUM(Post[[#This Row],[47]:[75]])</f>
        <v>4</v>
      </c>
    </row>
    <row r="968" spans="1:36" x14ac:dyDescent="0.2">
      <c r="A968" t="s">
        <v>7</v>
      </c>
      <c r="B968" t="s">
        <v>6</v>
      </c>
      <c r="C968">
        <v>138</v>
      </c>
      <c r="D968" t="s">
        <v>22</v>
      </c>
      <c r="E968" t="s">
        <v>37</v>
      </c>
      <c r="F968" t="s">
        <v>49</v>
      </c>
      <c r="J968">
        <v>1</v>
      </c>
      <c r="X968">
        <v>1</v>
      </c>
      <c r="AJ968">
        <f>SUM(Post[[#This Row],[47]:[75]])</f>
        <v>2</v>
      </c>
    </row>
    <row r="969" spans="1:36" x14ac:dyDescent="0.2">
      <c r="A969" t="s">
        <v>7</v>
      </c>
      <c r="B969" t="s">
        <v>6</v>
      </c>
      <c r="C969">
        <v>138</v>
      </c>
      <c r="D969" t="s">
        <v>22</v>
      </c>
      <c r="E969" t="s">
        <v>8</v>
      </c>
      <c r="F969" t="s">
        <v>23</v>
      </c>
      <c r="Q969">
        <v>1</v>
      </c>
      <c r="AE969">
        <v>1</v>
      </c>
      <c r="AJ969">
        <f>SUM(Post[[#This Row],[47]:[75]])</f>
        <v>2</v>
      </c>
    </row>
    <row r="970" spans="1:36" x14ac:dyDescent="0.2">
      <c r="A970" t="s">
        <v>7</v>
      </c>
      <c r="B970" t="s">
        <v>6</v>
      </c>
      <c r="C970">
        <v>399</v>
      </c>
      <c r="D970" t="s">
        <v>22</v>
      </c>
      <c r="E970" t="s">
        <v>8</v>
      </c>
      <c r="F970" t="s">
        <v>29</v>
      </c>
      <c r="J970">
        <v>1</v>
      </c>
      <c r="V970">
        <v>1</v>
      </c>
      <c r="AB970">
        <v>1</v>
      </c>
      <c r="AG970">
        <v>1</v>
      </c>
      <c r="AI970">
        <v>1</v>
      </c>
      <c r="AJ970">
        <f>SUM(Post[[#This Row],[47]:[75]])</f>
        <v>5</v>
      </c>
    </row>
    <row r="971" spans="1:36" x14ac:dyDescent="0.2">
      <c r="A971" t="s">
        <v>7</v>
      </c>
      <c r="B971" t="s">
        <v>6</v>
      </c>
      <c r="C971">
        <v>2069</v>
      </c>
      <c r="D971" t="s">
        <v>22</v>
      </c>
      <c r="E971" t="s">
        <v>8</v>
      </c>
      <c r="F971" t="s">
        <v>9</v>
      </c>
      <c r="G971">
        <v>1</v>
      </c>
      <c r="J971">
        <v>1</v>
      </c>
      <c r="O971">
        <v>1</v>
      </c>
      <c r="S971">
        <v>1</v>
      </c>
      <c r="V971">
        <v>1</v>
      </c>
      <c r="Y971">
        <v>1</v>
      </c>
      <c r="AE971">
        <v>1</v>
      </c>
      <c r="AI971">
        <v>1</v>
      </c>
      <c r="AJ971">
        <f>SUM(Post[[#This Row],[47]:[75]])</f>
        <v>8</v>
      </c>
    </row>
    <row r="972" spans="1:36" x14ac:dyDescent="0.2">
      <c r="A972" t="s">
        <v>7</v>
      </c>
      <c r="B972" t="s">
        <v>6</v>
      </c>
      <c r="C972">
        <v>5082</v>
      </c>
      <c r="D972" t="s">
        <v>22</v>
      </c>
      <c r="E972" t="s">
        <v>8</v>
      </c>
      <c r="F972" t="s">
        <v>29</v>
      </c>
      <c r="K972">
        <v>1</v>
      </c>
      <c r="Y972">
        <v>1</v>
      </c>
      <c r="Z972">
        <v>2</v>
      </c>
      <c r="AJ972">
        <f>SUM(Post[[#This Row],[47]:[75]])</f>
        <v>4</v>
      </c>
    </row>
    <row r="973" spans="1:36" x14ac:dyDescent="0.2">
      <c r="A973" t="s">
        <v>7</v>
      </c>
      <c r="B973" t="s">
        <v>6</v>
      </c>
      <c r="C973">
        <v>13475</v>
      </c>
      <c r="D973" t="s">
        <v>22</v>
      </c>
      <c r="E973" t="s">
        <v>8</v>
      </c>
      <c r="F973" t="s">
        <v>29</v>
      </c>
      <c r="R973">
        <v>4</v>
      </c>
      <c r="S973">
        <v>2</v>
      </c>
      <c r="T973">
        <v>1</v>
      </c>
      <c r="AE973">
        <v>1</v>
      </c>
      <c r="AJ973">
        <f>SUM(Post[[#This Row],[47]:[75]])</f>
        <v>8</v>
      </c>
    </row>
    <row r="974" spans="1:36" x14ac:dyDescent="0.2">
      <c r="A974" t="s">
        <v>7</v>
      </c>
      <c r="B974" t="s">
        <v>6</v>
      </c>
      <c r="C974">
        <v>14098</v>
      </c>
      <c r="D974" t="s">
        <v>22</v>
      </c>
      <c r="E974" t="s">
        <v>8</v>
      </c>
      <c r="F974" t="s">
        <v>23</v>
      </c>
      <c r="T974">
        <v>1</v>
      </c>
      <c r="AD974">
        <v>1</v>
      </c>
      <c r="AJ974">
        <f>SUM(Post[[#This Row],[47]:[75]])</f>
        <v>2</v>
      </c>
    </row>
    <row r="975" spans="1:36" x14ac:dyDescent="0.2">
      <c r="A975" t="s">
        <v>7</v>
      </c>
      <c r="B975" t="s">
        <v>6</v>
      </c>
      <c r="C975">
        <v>14281</v>
      </c>
      <c r="D975" t="s">
        <v>22</v>
      </c>
      <c r="E975" t="s">
        <v>8</v>
      </c>
      <c r="F975" t="s">
        <v>29</v>
      </c>
      <c r="J975">
        <v>1</v>
      </c>
      <c r="X975">
        <v>1</v>
      </c>
      <c r="AJ975">
        <f>SUM(Post[[#This Row],[47]:[75]])</f>
        <v>2</v>
      </c>
    </row>
    <row r="976" spans="1:36" x14ac:dyDescent="0.2">
      <c r="A976" t="s">
        <v>7</v>
      </c>
      <c r="B976" t="s">
        <v>6</v>
      </c>
      <c r="C976">
        <v>14601</v>
      </c>
      <c r="D976" t="s">
        <v>22</v>
      </c>
      <c r="E976" t="s">
        <v>8</v>
      </c>
      <c r="F976" t="s">
        <v>23</v>
      </c>
      <c r="AJ976">
        <f>SUM(Post[[#This Row],[47]:[75]])</f>
        <v>0</v>
      </c>
    </row>
    <row r="977" spans="1:36" x14ac:dyDescent="0.2">
      <c r="A977" t="s">
        <v>7</v>
      </c>
      <c r="B977" t="s">
        <v>6</v>
      </c>
      <c r="C977">
        <v>14992</v>
      </c>
      <c r="D977" t="s">
        <v>22</v>
      </c>
      <c r="E977" t="s">
        <v>8</v>
      </c>
      <c r="F977" t="s">
        <v>29</v>
      </c>
      <c r="H977">
        <v>1</v>
      </c>
      <c r="I977">
        <v>1</v>
      </c>
      <c r="Z977">
        <v>1</v>
      </c>
      <c r="AJ977">
        <f>SUM(Post[[#This Row],[47]:[75]])</f>
        <v>3</v>
      </c>
    </row>
    <row r="978" spans="1:36" x14ac:dyDescent="0.2">
      <c r="A978" t="s">
        <v>50</v>
      </c>
      <c r="B978" t="s">
        <v>6</v>
      </c>
      <c r="C978">
        <v>494</v>
      </c>
      <c r="D978" t="s">
        <v>7</v>
      </c>
      <c r="E978" t="s">
        <v>12</v>
      </c>
      <c r="F978" t="s">
        <v>13</v>
      </c>
      <c r="AB978">
        <v>1</v>
      </c>
      <c r="AJ978">
        <f>SUM(Post[[#This Row],[47]:[75]])</f>
        <v>1</v>
      </c>
    </row>
    <row r="979" spans="1:36" x14ac:dyDescent="0.2">
      <c r="A979" t="s">
        <v>50</v>
      </c>
      <c r="B979" t="s">
        <v>6</v>
      </c>
      <c r="C979">
        <v>1862</v>
      </c>
      <c r="D979" t="s">
        <v>7</v>
      </c>
      <c r="E979" t="s">
        <v>10</v>
      </c>
      <c r="F979" t="s">
        <v>11</v>
      </c>
      <c r="AJ979">
        <f>SUM(Post[[#This Row],[47]:[75]])</f>
        <v>0</v>
      </c>
    </row>
    <row r="980" spans="1:36" x14ac:dyDescent="0.2">
      <c r="A980" t="s">
        <v>50</v>
      </c>
      <c r="B980" t="s">
        <v>6</v>
      </c>
      <c r="C980">
        <v>1862</v>
      </c>
      <c r="D980" t="s">
        <v>7</v>
      </c>
      <c r="E980" t="s">
        <v>14</v>
      </c>
      <c r="F980" t="s">
        <v>35</v>
      </c>
      <c r="AJ980">
        <f>SUM(Post[[#This Row],[47]:[75]])</f>
        <v>0</v>
      </c>
    </row>
    <row r="981" spans="1:36" x14ac:dyDescent="0.2">
      <c r="A981" t="s">
        <v>50</v>
      </c>
      <c r="B981" t="s">
        <v>6</v>
      </c>
      <c r="C981">
        <v>3241</v>
      </c>
      <c r="D981" t="s">
        <v>7</v>
      </c>
      <c r="E981" t="s">
        <v>8</v>
      </c>
      <c r="F981" t="s">
        <v>23</v>
      </c>
      <c r="H981">
        <v>1</v>
      </c>
      <c r="L981">
        <v>1</v>
      </c>
      <c r="AB981">
        <v>1</v>
      </c>
      <c r="AJ981">
        <f>SUM(Post[[#This Row],[47]:[75]])</f>
        <v>3</v>
      </c>
    </row>
    <row r="982" spans="1:36" x14ac:dyDescent="0.2">
      <c r="A982" t="s">
        <v>50</v>
      </c>
      <c r="B982" t="s">
        <v>6</v>
      </c>
      <c r="C982">
        <v>3241</v>
      </c>
      <c r="D982" t="s">
        <v>7</v>
      </c>
      <c r="E982" t="s">
        <v>14</v>
      </c>
      <c r="F982" t="s">
        <v>20</v>
      </c>
      <c r="Y982">
        <v>1</v>
      </c>
      <c r="AJ982">
        <f>SUM(Post[[#This Row],[47]:[75]])</f>
        <v>1</v>
      </c>
    </row>
    <row r="983" spans="1:36" x14ac:dyDescent="0.2">
      <c r="A983" t="s">
        <v>50</v>
      </c>
      <c r="B983" t="s">
        <v>6</v>
      </c>
      <c r="C983">
        <v>11376</v>
      </c>
      <c r="D983" t="s">
        <v>7</v>
      </c>
      <c r="E983" t="s">
        <v>14</v>
      </c>
      <c r="F983" t="s">
        <v>35</v>
      </c>
      <c r="Z983">
        <v>1</v>
      </c>
      <c r="AJ983">
        <f>SUM(Post[[#This Row],[47]:[75]])</f>
        <v>1</v>
      </c>
    </row>
    <row r="984" spans="1:36" x14ac:dyDescent="0.2">
      <c r="A984" t="s">
        <v>50</v>
      </c>
      <c r="B984" t="s">
        <v>6</v>
      </c>
      <c r="C984">
        <v>13668</v>
      </c>
      <c r="D984" t="s">
        <v>7</v>
      </c>
      <c r="E984" t="s">
        <v>14</v>
      </c>
      <c r="F984" t="s">
        <v>19</v>
      </c>
      <c r="AJ984">
        <f>SUM(Post[[#This Row],[47]:[75]])</f>
        <v>0</v>
      </c>
    </row>
    <row r="985" spans="1:36" x14ac:dyDescent="0.2">
      <c r="A985" t="s">
        <v>50</v>
      </c>
      <c r="B985" t="s">
        <v>6</v>
      </c>
      <c r="C985">
        <v>17155</v>
      </c>
      <c r="D985" t="s">
        <v>7</v>
      </c>
      <c r="E985" t="s">
        <v>12</v>
      </c>
      <c r="F985" t="s">
        <v>13</v>
      </c>
      <c r="AJ985">
        <f>SUM(Post[[#This Row],[47]:[75]])</f>
        <v>0</v>
      </c>
    </row>
    <row r="986" spans="1:36" x14ac:dyDescent="0.2">
      <c r="A986" t="s">
        <v>50</v>
      </c>
      <c r="B986" t="s">
        <v>6</v>
      </c>
      <c r="C986">
        <v>21477</v>
      </c>
      <c r="D986" t="s">
        <v>7</v>
      </c>
      <c r="E986" t="s">
        <v>12</v>
      </c>
      <c r="F986" t="s">
        <v>13</v>
      </c>
      <c r="AJ986">
        <f>SUM(Post[[#This Row],[47]:[75]])</f>
        <v>0</v>
      </c>
    </row>
    <row r="987" spans="1:36" x14ac:dyDescent="0.2">
      <c r="A987" t="s">
        <v>50</v>
      </c>
      <c r="B987" t="s">
        <v>6</v>
      </c>
      <c r="C987">
        <v>21995</v>
      </c>
      <c r="D987" t="s">
        <v>7</v>
      </c>
      <c r="E987" t="s">
        <v>14</v>
      </c>
      <c r="F987" t="s">
        <v>21</v>
      </c>
      <c r="I987">
        <v>1</v>
      </c>
      <c r="N987">
        <v>1</v>
      </c>
      <c r="AJ987">
        <f>SUM(Post[[#This Row],[47]:[75]])</f>
        <v>2</v>
      </c>
    </row>
    <row r="988" spans="1:36" x14ac:dyDescent="0.2">
      <c r="A988" t="s">
        <v>50</v>
      </c>
      <c r="B988" t="s">
        <v>6</v>
      </c>
      <c r="C988">
        <v>22317</v>
      </c>
      <c r="D988" t="s">
        <v>7</v>
      </c>
      <c r="E988" t="s">
        <v>8</v>
      </c>
      <c r="F988" t="s">
        <v>23</v>
      </c>
      <c r="K988">
        <v>1</v>
      </c>
      <c r="AD988">
        <v>1</v>
      </c>
      <c r="AJ988">
        <f>SUM(Post[[#This Row],[47]:[75]])</f>
        <v>2</v>
      </c>
    </row>
    <row r="989" spans="1:36" x14ac:dyDescent="0.2">
      <c r="A989" t="s">
        <v>50</v>
      </c>
      <c r="B989" t="s">
        <v>6</v>
      </c>
      <c r="C989">
        <v>22770</v>
      </c>
      <c r="D989" t="s">
        <v>7</v>
      </c>
      <c r="E989" t="s">
        <v>10</v>
      </c>
      <c r="F989" t="s">
        <v>11</v>
      </c>
      <c r="W989">
        <v>1</v>
      </c>
      <c r="AJ989">
        <f>SUM(Post[[#This Row],[47]:[75]])</f>
        <v>1</v>
      </c>
    </row>
    <row r="990" spans="1:36" x14ac:dyDescent="0.2">
      <c r="A990" t="s">
        <v>50</v>
      </c>
      <c r="B990" t="s">
        <v>6</v>
      </c>
      <c r="C990">
        <v>22851</v>
      </c>
      <c r="D990" t="s">
        <v>7</v>
      </c>
      <c r="E990" t="s">
        <v>14</v>
      </c>
      <c r="F990" t="s">
        <v>21</v>
      </c>
      <c r="G990">
        <v>1</v>
      </c>
      <c r="S990">
        <v>3</v>
      </c>
      <c r="AJ990">
        <f>SUM(Post[[#This Row],[47]:[75]])</f>
        <v>4</v>
      </c>
    </row>
    <row r="991" spans="1:36" x14ac:dyDescent="0.2">
      <c r="A991" t="s">
        <v>50</v>
      </c>
      <c r="B991" t="s">
        <v>6</v>
      </c>
      <c r="C991">
        <v>31096</v>
      </c>
      <c r="D991" t="s">
        <v>7</v>
      </c>
      <c r="E991" t="s">
        <v>8</v>
      </c>
      <c r="F991" t="s">
        <v>23</v>
      </c>
      <c r="AJ991">
        <f>SUM(Post[[#This Row],[47]:[75]])</f>
        <v>0</v>
      </c>
    </row>
    <row r="992" spans="1:36" x14ac:dyDescent="0.2">
      <c r="A992" t="s">
        <v>50</v>
      </c>
      <c r="B992" t="s">
        <v>6</v>
      </c>
      <c r="C992">
        <v>8031</v>
      </c>
      <c r="D992" t="s">
        <v>22</v>
      </c>
      <c r="E992" t="s">
        <v>14</v>
      </c>
      <c r="F992" t="s">
        <v>21</v>
      </c>
      <c r="AJ992">
        <f>SUM(Post[[#This Row],[47]:[75]])</f>
        <v>0</v>
      </c>
    </row>
    <row r="993" spans="1:36" x14ac:dyDescent="0.2">
      <c r="A993" t="s">
        <v>50</v>
      </c>
      <c r="B993" t="s">
        <v>6</v>
      </c>
      <c r="C993">
        <v>9059</v>
      </c>
      <c r="D993" t="s">
        <v>22</v>
      </c>
      <c r="E993" t="s">
        <v>8</v>
      </c>
      <c r="F993" t="s">
        <v>29</v>
      </c>
      <c r="O993">
        <v>1</v>
      </c>
      <c r="AA993">
        <v>1</v>
      </c>
      <c r="AJ993">
        <f>SUM(Post[[#This Row],[47]:[75]])</f>
        <v>2</v>
      </c>
    </row>
    <row r="994" spans="1:36" x14ac:dyDescent="0.2">
      <c r="A994" t="s">
        <v>50</v>
      </c>
      <c r="B994" t="s">
        <v>6</v>
      </c>
      <c r="C994">
        <v>22262</v>
      </c>
      <c r="D994" t="s">
        <v>22</v>
      </c>
      <c r="E994" t="s">
        <v>8</v>
      </c>
      <c r="F994" t="s">
        <v>23</v>
      </c>
      <c r="J994">
        <v>1</v>
      </c>
      <c r="P994">
        <v>2</v>
      </c>
      <c r="T994">
        <v>1</v>
      </c>
      <c r="X994">
        <v>1</v>
      </c>
      <c r="AC994">
        <v>1</v>
      </c>
      <c r="AG994">
        <v>1</v>
      </c>
      <c r="AJ994">
        <f>SUM(Post[[#This Row],[47]:[75]])</f>
        <v>7</v>
      </c>
    </row>
    <row r="995" spans="1:36" x14ac:dyDescent="0.2">
      <c r="A995" t="s">
        <v>50</v>
      </c>
      <c r="B995" t="s">
        <v>6</v>
      </c>
      <c r="C995">
        <v>26683</v>
      </c>
      <c r="D995" t="s">
        <v>22</v>
      </c>
      <c r="E995" t="s">
        <v>10</v>
      </c>
      <c r="F995" t="s">
        <v>11</v>
      </c>
      <c r="AJ995">
        <f>SUM(Post[[#This Row],[47]:[75]])</f>
        <v>0</v>
      </c>
    </row>
    <row r="996" spans="1:36" x14ac:dyDescent="0.2">
      <c r="A996" t="s">
        <v>50</v>
      </c>
      <c r="B996" t="s">
        <v>6</v>
      </c>
      <c r="C996">
        <v>29602</v>
      </c>
      <c r="D996" t="s">
        <v>22</v>
      </c>
      <c r="E996" t="s">
        <v>8</v>
      </c>
      <c r="F996" t="s">
        <v>23</v>
      </c>
      <c r="AE996">
        <v>1</v>
      </c>
      <c r="AJ996">
        <f>SUM(Post[[#This Row],[47]:[75]])</f>
        <v>1</v>
      </c>
    </row>
    <row r="997" spans="1:36" x14ac:dyDescent="0.2">
      <c r="A997" t="s">
        <v>50</v>
      </c>
      <c r="B997" t="s">
        <v>6</v>
      </c>
      <c r="C997">
        <v>3132</v>
      </c>
      <c r="D997" t="s">
        <v>7</v>
      </c>
      <c r="E997" t="s">
        <v>8</v>
      </c>
      <c r="F997" t="s">
        <v>29</v>
      </c>
      <c r="R997">
        <v>1</v>
      </c>
      <c r="AD997">
        <v>1</v>
      </c>
      <c r="AJ997">
        <f>SUM(Post[[#This Row],[47]:[75]])</f>
        <v>2</v>
      </c>
    </row>
    <row r="998" spans="1:36" x14ac:dyDescent="0.2">
      <c r="A998" t="s">
        <v>50</v>
      </c>
      <c r="B998" t="s">
        <v>6</v>
      </c>
      <c r="C998">
        <v>4164</v>
      </c>
      <c r="D998" t="s">
        <v>7</v>
      </c>
      <c r="E998" t="s">
        <v>14</v>
      </c>
      <c r="F998" t="s">
        <v>31</v>
      </c>
      <c r="AJ998">
        <f>SUM(Post[[#This Row],[47]:[75]])</f>
        <v>0</v>
      </c>
    </row>
    <row r="999" spans="1:36" x14ac:dyDescent="0.2">
      <c r="A999" t="s">
        <v>50</v>
      </c>
      <c r="B999" t="s">
        <v>6</v>
      </c>
      <c r="C999">
        <v>4164</v>
      </c>
      <c r="D999" t="s">
        <v>7</v>
      </c>
      <c r="E999" t="s">
        <v>14</v>
      </c>
      <c r="F999" t="s">
        <v>20</v>
      </c>
      <c r="AJ999">
        <f>SUM(Post[[#This Row],[47]:[75]])</f>
        <v>0</v>
      </c>
    </row>
    <row r="1000" spans="1:36" x14ac:dyDescent="0.2">
      <c r="A1000" t="s">
        <v>50</v>
      </c>
      <c r="B1000" t="s">
        <v>6</v>
      </c>
      <c r="C1000">
        <v>5304</v>
      </c>
      <c r="D1000" t="s">
        <v>7</v>
      </c>
      <c r="E1000" t="s">
        <v>14</v>
      </c>
      <c r="F1000" t="s">
        <v>35</v>
      </c>
      <c r="I1000">
        <v>1</v>
      </c>
      <c r="AJ1000">
        <f>SUM(Post[[#This Row],[47]:[75]])</f>
        <v>1</v>
      </c>
    </row>
    <row r="1001" spans="1:36" x14ac:dyDescent="0.2">
      <c r="A1001" t="s">
        <v>50</v>
      </c>
      <c r="B1001" t="s">
        <v>6</v>
      </c>
      <c r="C1001">
        <v>5628</v>
      </c>
      <c r="D1001" t="s">
        <v>7</v>
      </c>
      <c r="E1001" t="s">
        <v>8</v>
      </c>
      <c r="F1001" t="s">
        <v>23</v>
      </c>
      <c r="H1001">
        <v>1</v>
      </c>
      <c r="L1001">
        <v>1</v>
      </c>
      <c r="Q1001">
        <v>3</v>
      </c>
      <c r="X1001">
        <v>1</v>
      </c>
      <c r="AJ1001">
        <f>SUM(Post[[#This Row],[47]:[75]])</f>
        <v>6</v>
      </c>
    </row>
    <row r="1002" spans="1:36" x14ac:dyDescent="0.2">
      <c r="A1002" t="s">
        <v>50</v>
      </c>
      <c r="B1002" t="s">
        <v>6</v>
      </c>
      <c r="C1002">
        <v>5705</v>
      </c>
      <c r="D1002" t="s">
        <v>7</v>
      </c>
      <c r="E1002" t="s">
        <v>14</v>
      </c>
      <c r="F1002" t="s">
        <v>20</v>
      </c>
      <c r="K1002">
        <v>1</v>
      </c>
      <c r="Q1002">
        <v>1</v>
      </c>
      <c r="AC1002">
        <v>1</v>
      </c>
      <c r="AJ1002">
        <f>SUM(Post[[#This Row],[47]:[75]])</f>
        <v>3</v>
      </c>
    </row>
    <row r="1003" spans="1:36" x14ac:dyDescent="0.2">
      <c r="A1003" t="s">
        <v>50</v>
      </c>
      <c r="B1003" t="s">
        <v>6</v>
      </c>
      <c r="C1003">
        <v>5743</v>
      </c>
      <c r="D1003" t="s">
        <v>7</v>
      </c>
      <c r="E1003" t="s">
        <v>14</v>
      </c>
      <c r="F1003" t="s">
        <v>21</v>
      </c>
      <c r="G1003">
        <v>1</v>
      </c>
      <c r="O1003">
        <v>2</v>
      </c>
      <c r="AJ1003">
        <f>SUM(Post[[#This Row],[47]:[75]])</f>
        <v>3</v>
      </c>
    </row>
    <row r="1004" spans="1:36" x14ac:dyDescent="0.2">
      <c r="A1004" t="s">
        <v>50</v>
      </c>
      <c r="B1004" t="s">
        <v>6</v>
      </c>
      <c r="C1004">
        <v>6261</v>
      </c>
      <c r="D1004" t="s">
        <v>7</v>
      </c>
      <c r="E1004" t="s">
        <v>10</v>
      </c>
      <c r="F1004" t="s">
        <v>11</v>
      </c>
      <c r="J1004">
        <v>1</v>
      </c>
      <c r="Z1004">
        <v>1</v>
      </c>
      <c r="AJ1004">
        <f>SUM(Post[[#This Row],[47]:[75]])</f>
        <v>2</v>
      </c>
    </row>
    <row r="1005" spans="1:36" x14ac:dyDescent="0.2">
      <c r="A1005" t="s">
        <v>50</v>
      </c>
      <c r="B1005" t="s">
        <v>6</v>
      </c>
      <c r="C1005">
        <v>7954</v>
      </c>
      <c r="D1005" t="s">
        <v>7</v>
      </c>
      <c r="E1005" t="s">
        <v>10</v>
      </c>
      <c r="F1005" t="s">
        <v>11</v>
      </c>
      <c r="L1005">
        <v>1</v>
      </c>
      <c r="AJ1005">
        <f>SUM(Post[[#This Row],[47]:[75]])</f>
        <v>1</v>
      </c>
    </row>
    <row r="1006" spans="1:36" x14ac:dyDescent="0.2">
      <c r="A1006" t="s">
        <v>50</v>
      </c>
      <c r="B1006" t="s">
        <v>6</v>
      </c>
      <c r="C1006">
        <v>11121</v>
      </c>
      <c r="D1006" t="s">
        <v>7</v>
      </c>
      <c r="E1006" t="s">
        <v>8</v>
      </c>
      <c r="F1006" t="s">
        <v>29</v>
      </c>
      <c r="Q1006">
        <v>1</v>
      </c>
      <c r="V1006">
        <v>2</v>
      </c>
      <c r="AH1006">
        <v>7</v>
      </c>
      <c r="AJ1006">
        <f>SUM(Post[[#This Row],[47]:[75]])</f>
        <v>10</v>
      </c>
    </row>
    <row r="1007" spans="1:36" x14ac:dyDescent="0.2">
      <c r="A1007" t="s">
        <v>50</v>
      </c>
      <c r="B1007" t="s">
        <v>6</v>
      </c>
      <c r="C1007">
        <v>20484</v>
      </c>
      <c r="D1007" t="s">
        <v>7</v>
      </c>
      <c r="E1007" t="s">
        <v>8</v>
      </c>
      <c r="F1007" t="s">
        <v>23</v>
      </c>
      <c r="P1007">
        <v>1</v>
      </c>
      <c r="AF1007">
        <v>1</v>
      </c>
      <c r="AJ1007">
        <f>SUM(Post[[#This Row],[47]:[75]])</f>
        <v>2</v>
      </c>
    </row>
    <row r="1008" spans="1:36" x14ac:dyDescent="0.2">
      <c r="A1008" t="s">
        <v>50</v>
      </c>
      <c r="B1008" t="s">
        <v>6</v>
      </c>
      <c r="C1008">
        <v>31884</v>
      </c>
      <c r="D1008" t="s">
        <v>7</v>
      </c>
      <c r="E1008" t="s">
        <v>14</v>
      </c>
      <c r="F1008" t="s">
        <v>19</v>
      </c>
      <c r="O1008">
        <v>1</v>
      </c>
      <c r="AC1008">
        <v>1</v>
      </c>
      <c r="AJ1008">
        <f>SUM(Post[[#This Row],[47]:[75]])</f>
        <v>2</v>
      </c>
    </row>
    <row r="1009" spans="1:36" x14ac:dyDescent="0.2">
      <c r="A1009" t="s">
        <v>50</v>
      </c>
      <c r="B1009" t="s">
        <v>6</v>
      </c>
      <c r="C1009">
        <v>31884</v>
      </c>
      <c r="D1009" t="s">
        <v>7</v>
      </c>
      <c r="E1009" t="s">
        <v>14</v>
      </c>
      <c r="F1009" t="s">
        <v>21</v>
      </c>
      <c r="AJ1009">
        <f>SUM(Post[[#This Row],[47]:[75]])</f>
        <v>0</v>
      </c>
    </row>
    <row r="1010" spans="1:36" x14ac:dyDescent="0.2">
      <c r="A1010" t="s">
        <v>50</v>
      </c>
      <c r="B1010" t="s">
        <v>6</v>
      </c>
      <c r="C1010">
        <v>6162</v>
      </c>
      <c r="D1010" t="s">
        <v>22</v>
      </c>
      <c r="E1010" t="s">
        <v>40</v>
      </c>
      <c r="F1010" t="s">
        <v>41</v>
      </c>
      <c r="AJ1010">
        <f>SUM(Post[[#This Row],[47]:[75]])</f>
        <v>0</v>
      </c>
    </row>
    <row r="1011" spans="1:36" x14ac:dyDescent="0.2">
      <c r="A1011" t="s">
        <v>50</v>
      </c>
      <c r="B1011" t="s">
        <v>6</v>
      </c>
      <c r="C1011">
        <v>6162</v>
      </c>
      <c r="D1011" t="s">
        <v>22</v>
      </c>
      <c r="E1011" t="s">
        <v>8</v>
      </c>
      <c r="F1011" t="s">
        <v>29</v>
      </c>
      <c r="G1011">
        <v>1</v>
      </c>
      <c r="AG1011">
        <v>1</v>
      </c>
      <c r="AJ1011">
        <f>SUM(Post[[#This Row],[47]:[75]])</f>
        <v>2</v>
      </c>
    </row>
    <row r="1012" spans="1:36" x14ac:dyDescent="0.2">
      <c r="A1012" t="s">
        <v>50</v>
      </c>
      <c r="B1012" t="s">
        <v>6</v>
      </c>
      <c r="C1012">
        <v>20999</v>
      </c>
      <c r="D1012" t="s">
        <v>22</v>
      </c>
      <c r="E1012" t="s">
        <v>8</v>
      </c>
      <c r="F1012" t="s">
        <v>29</v>
      </c>
      <c r="H1012">
        <v>1</v>
      </c>
      <c r="N1012">
        <v>1</v>
      </c>
      <c r="S1012">
        <v>1</v>
      </c>
      <c r="X1012">
        <v>1</v>
      </c>
      <c r="AC1012">
        <v>1</v>
      </c>
      <c r="AH1012">
        <v>1</v>
      </c>
      <c r="AJ1012">
        <f>SUM(Post[[#This Row],[47]:[75]])</f>
        <v>6</v>
      </c>
    </row>
    <row r="1013" spans="1:36" x14ac:dyDescent="0.2">
      <c r="A1013" t="s">
        <v>50</v>
      </c>
      <c r="B1013" t="s">
        <v>6</v>
      </c>
      <c r="C1013">
        <v>5843</v>
      </c>
      <c r="D1013" t="s">
        <v>7</v>
      </c>
      <c r="E1013" t="s">
        <v>14</v>
      </c>
      <c r="F1013" t="s">
        <v>35</v>
      </c>
      <c r="L1013">
        <v>1</v>
      </c>
      <c r="S1013">
        <v>1</v>
      </c>
      <c r="AJ1013">
        <f>SUM(Post[[#This Row],[47]:[75]])</f>
        <v>2</v>
      </c>
    </row>
    <row r="1014" spans="1:36" x14ac:dyDescent="0.2">
      <c r="A1014" t="s">
        <v>50</v>
      </c>
      <c r="B1014" t="s">
        <v>6</v>
      </c>
      <c r="C1014">
        <v>8032</v>
      </c>
      <c r="D1014" t="s">
        <v>7</v>
      </c>
      <c r="E1014" t="s">
        <v>14</v>
      </c>
      <c r="F1014" t="s">
        <v>21</v>
      </c>
      <c r="N1014">
        <v>1</v>
      </c>
      <c r="AJ1014">
        <f>SUM(Post[[#This Row],[47]:[75]])</f>
        <v>1</v>
      </c>
    </row>
    <row r="1015" spans="1:36" x14ac:dyDescent="0.2">
      <c r="A1015" t="s">
        <v>50</v>
      </c>
      <c r="B1015" t="s">
        <v>6</v>
      </c>
      <c r="C1015">
        <v>22889</v>
      </c>
      <c r="D1015" t="s">
        <v>7</v>
      </c>
      <c r="E1015" t="s">
        <v>14</v>
      </c>
      <c r="F1015" t="s">
        <v>21</v>
      </c>
      <c r="H1015">
        <v>1</v>
      </c>
      <c r="L1015">
        <v>1</v>
      </c>
      <c r="Q1015">
        <v>1</v>
      </c>
      <c r="V1015">
        <v>1</v>
      </c>
      <c r="Z1015">
        <v>1</v>
      </c>
      <c r="AD1015">
        <v>1</v>
      </c>
      <c r="AG1015">
        <v>1</v>
      </c>
      <c r="AJ1015">
        <f>SUM(Post[[#This Row],[47]:[75]])</f>
        <v>7</v>
      </c>
    </row>
    <row r="1016" spans="1:36" x14ac:dyDescent="0.2">
      <c r="A1016" t="s">
        <v>50</v>
      </c>
      <c r="B1016" t="s">
        <v>6</v>
      </c>
      <c r="C1016">
        <v>3132</v>
      </c>
      <c r="D1016" t="s">
        <v>7</v>
      </c>
      <c r="E1016" t="s">
        <v>10</v>
      </c>
      <c r="F1016" t="s">
        <v>11</v>
      </c>
      <c r="R1016">
        <v>1</v>
      </c>
      <c r="AD1016">
        <v>1</v>
      </c>
      <c r="AJ1016">
        <f>SUM(Post[[#This Row],[47]:[75]])</f>
        <v>2</v>
      </c>
    </row>
    <row r="1017" spans="1:36" x14ac:dyDescent="0.2">
      <c r="A1017" t="s">
        <v>50</v>
      </c>
      <c r="B1017" t="s">
        <v>6</v>
      </c>
      <c r="C1017">
        <v>2782</v>
      </c>
      <c r="D1017" t="s">
        <v>7</v>
      </c>
      <c r="E1017" t="s">
        <v>8</v>
      </c>
      <c r="F1017" t="s">
        <v>30</v>
      </c>
      <c r="L1017">
        <v>1</v>
      </c>
      <c r="Y1017">
        <v>1</v>
      </c>
      <c r="AJ1017">
        <f>SUM(Post[[#This Row],[47]:[75]])</f>
        <v>2</v>
      </c>
    </row>
    <row r="1018" spans="1:36" x14ac:dyDescent="0.2">
      <c r="A1018" t="s">
        <v>50</v>
      </c>
      <c r="B1018" t="s">
        <v>6</v>
      </c>
      <c r="C1018">
        <v>5314</v>
      </c>
      <c r="D1018" t="s">
        <v>7</v>
      </c>
      <c r="E1018" t="s">
        <v>8</v>
      </c>
      <c r="F1018" t="s">
        <v>23</v>
      </c>
      <c r="N1018">
        <v>1</v>
      </c>
      <c r="AF1018">
        <v>1</v>
      </c>
      <c r="AJ1018">
        <f>SUM(Post[[#This Row],[47]:[75]])</f>
        <v>2</v>
      </c>
    </row>
    <row r="1019" spans="1:36" x14ac:dyDescent="0.2">
      <c r="A1019" t="s">
        <v>50</v>
      </c>
      <c r="B1019" t="s">
        <v>6</v>
      </c>
      <c r="C1019">
        <v>6920</v>
      </c>
      <c r="D1019" t="s">
        <v>7</v>
      </c>
      <c r="E1019" t="s">
        <v>8</v>
      </c>
      <c r="F1019" t="s">
        <v>23</v>
      </c>
      <c r="H1019">
        <v>2</v>
      </c>
      <c r="K1019">
        <v>2</v>
      </c>
      <c r="R1019">
        <v>2</v>
      </c>
      <c r="W1019">
        <v>1</v>
      </c>
      <c r="AA1019">
        <v>1</v>
      </c>
      <c r="AC1019">
        <v>3</v>
      </c>
      <c r="AJ1019">
        <f>SUM(Post[[#This Row],[47]:[75]])</f>
        <v>11</v>
      </c>
    </row>
    <row r="1020" spans="1:36" x14ac:dyDescent="0.2">
      <c r="A1020" t="s">
        <v>50</v>
      </c>
      <c r="B1020" t="s">
        <v>6</v>
      </c>
      <c r="C1020">
        <v>28328</v>
      </c>
      <c r="D1020" t="s">
        <v>7</v>
      </c>
      <c r="E1020" t="s">
        <v>8</v>
      </c>
      <c r="F1020" t="s">
        <v>23</v>
      </c>
      <c r="AJ1020">
        <f>SUM(Post[[#This Row],[47]:[75]])</f>
        <v>0</v>
      </c>
    </row>
    <row r="1021" spans="1:36" x14ac:dyDescent="0.2">
      <c r="A1021" t="s">
        <v>50</v>
      </c>
      <c r="B1021" t="s">
        <v>6</v>
      </c>
      <c r="C1021">
        <v>5588</v>
      </c>
      <c r="D1021" t="s">
        <v>22</v>
      </c>
      <c r="E1021" t="s">
        <v>8</v>
      </c>
      <c r="F1021" t="s">
        <v>23</v>
      </c>
      <c r="O1021">
        <v>1</v>
      </c>
      <c r="S1021">
        <v>1</v>
      </c>
      <c r="X1021">
        <v>1</v>
      </c>
      <c r="AB1021">
        <v>1</v>
      </c>
      <c r="AJ1021">
        <f>SUM(Post[[#This Row],[47]:[75]])</f>
        <v>4</v>
      </c>
    </row>
    <row r="1022" spans="1:36" x14ac:dyDescent="0.2">
      <c r="A1022" t="s">
        <v>50</v>
      </c>
      <c r="B1022" t="s">
        <v>6</v>
      </c>
      <c r="C1022">
        <v>20320</v>
      </c>
      <c r="D1022" t="s">
        <v>22</v>
      </c>
      <c r="E1022" t="s">
        <v>8</v>
      </c>
      <c r="F1022" t="s">
        <v>23</v>
      </c>
      <c r="AJ1022">
        <f>SUM(Post[[#This Row],[47]:[75]])</f>
        <v>0</v>
      </c>
    </row>
    <row r="1023" spans="1:36" x14ac:dyDescent="0.2">
      <c r="A1023" t="s">
        <v>50</v>
      </c>
      <c r="B1023" t="s">
        <v>6</v>
      </c>
      <c r="C1023">
        <v>2408</v>
      </c>
      <c r="D1023" t="s">
        <v>7</v>
      </c>
      <c r="E1023" t="s">
        <v>8</v>
      </c>
      <c r="F1023" t="s">
        <v>23</v>
      </c>
      <c r="N1023">
        <v>1</v>
      </c>
      <c r="Z1023">
        <v>1</v>
      </c>
      <c r="AJ1023">
        <f>SUM(Post[[#This Row],[47]:[75]])</f>
        <v>2</v>
      </c>
    </row>
    <row r="1024" spans="1:36" x14ac:dyDescent="0.2">
      <c r="A1024" t="s">
        <v>50</v>
      </c>
      <c r="B1024" t="s">
        <v>6</v>
      </c>
      <c r="C1024">
        <v>5705</v>
      </c>
      <c r="D1024" t="s">
        <v>7</v>
      </c>
      <c r="E1024" t="s">
        <v>8</v>
      </c>
      <c r="F1024" t="s">
        <v>23</v>
      </c>
      <c r="Q1024">
        <v>1</v>
      </c>
      <c r="AC1024">
        <v>1</v>
      </c>
      <c r="AJ1024">
        <f>SUM(Post[[#This Row],[47]:[75]])</f>
        <v>2</v>
      </c>
    </row>
    <row r="1025" spans="1:36" x14ac:dyDescent="0.2">
      <c r="A1025" t="s">
        <v>50</v>
      </c>
      <c r="B1025" t="s">
        <v>6</v>
      </c>
      <c r="C1025">
        <v>7954</v>
      </c>
      <c r="D1025" t="s">
        <v>7</v>
      </c>
      <c r="E1025" t="s">
        <v>8</v>
      </c>
      <c r="F1025" t="s">
        <v>23</v>
      </c>
      <c r="L1025">
        <v>1</v>
      </c>
      <c r="AD1025">
        <v>1</v>
      </c>
      <c r="AJ1025">
        <f>SUM(Post[[#This Row],[47]:[75]])</f>
        <v>2</v>
      </c>
    </row>
    <row r="1026" spans="1:36" x14ac:dyDescent="0.2">
      <c r="A1026" t="s">
        <v>50</v>
      </c>
      <c r="B1026" t="s">
        <v>6</v>
      </c>
      <c r="C1026">
        <v>31884</v>
      </c>
      <c r="D1026" t="s">
        <v>7</v>
      </c>
      <c r="E1026" t="s">
        <v>8</v>
      </c>
      <c r="F1026" t="s">
        <v>29</v>
      </c>
      <c r="L1026">
        <v>1</v>
      </c>
      <c r="S1026">
        <v>1</v>
      </c>
      <c r="T1026">
        <v>1</v>
      </c>
      <c r="AF1026">
        <v>1</v>
      </c>
      <c r="AJ1026">
        <f>SUM(Post[[#This Row],[47]:[75]])</f>
        <v>4</v>
      </c>
    </row>
    <row r="1027" spans="1:36" x14ac:dyDescent="0.2">
      <c r="A1027" t="s">
        <v>51</v>
      </c>
      <c r="B1027" t="s">
        <v>6</v>
      </c>
      <c r="C1027">
        <v>39</v>
      </c>
      <c r="D1027" t="s">
        <v>7</v>
      </c>
      <c r="E1027" t="s">
        <v>10</v>
      </c>
      <c r="F1027" t="s">
        <v>11</v>
      </c>
      <c r="Z1027">
        <v>1</v>
      </c>
      <c r="AJ1027">
        <f>SUM(Post[[#This Row],[47]:[75]])</f>
        <v>1</v>
      </c>
    </row>
    <row r="1028" spans="1:36" x14ac:dyDescent="0.2">
      <c r="A1028" t="s">
        <v>51</v>
      </c>
      <c r="B1028" t="s">
        <v>6</v>
      </c>
      <c r="C1028">
        <v>356</v>
      </c>
      <c r="D1028" t="s">
        <v>7</v>
      </c>
      <c r="E1028" t="s">
        <v>8</v>
      </c>
      <c r="F1028" t="s">
        <v>23</v>
      </c>
      <c r="J1028">
        <v>1</v>
      </c>
      <c r="O1028">
        <v>1</v>
      </c>
      <c r="V1028">
        <v>1</v>
      </c>
      <c r="X1028">
        <v>3</v>
      </c>
      <c r="AA1028">
        <v>1</v>
      </c>
      <c r="AE1028">
        <v>1</v>
      </c>
      <c r="AJ1028">
        <f>SUM(Post[[#This Row],[47]:[75]])</f>
        <v>8</v>
      </c>
    </row>
    <row r="1029" spans="1:36" x14ac:dyDescent="0.2">
      <c r="A1029" t="s">
        <v>51</v>
      </c>
      <c r="B1029" t="s">
        <v>6</v>
      </c>
      <c r="C1029">
        <v>762</v>
      </c>
      <c r="D1029" t="s">
        <v>7</v>
      </c>
      <c r="E1029" t="s">
        <v>37</v>
      </c>
      <c r="F1029" t="s">
        <v>38</v>
      </c>
      <c r="J1029">
        <v>1</v>
      </c>
      <c r="X1029">
        <v>1</v>
      </c>
      <c r="AJ1029">
        <f>SUM(Post[[#This Row],[47]:[75]])</f>
        <v>2</v>
      </c>
    </row>
    <row r="1030" spans="1:36" x14ac:dyDescent="0.2">
      <c r="A1030" t="s">
        <v>51</v>
      </c>
      <c r="B1030" t="s">
        <v>6</v>
      </c>
      <c r="C1030">
        <v>1242</v>
      </c>
      <c r="D1030" t="s">
        <v>7</v>
      </c>
      <c r="E1030" t="s">
        <v>8</v>
      </c>
      <c r="F1030" t="s">
        <v>23</v>
      </c>
      <c r="AJ1030">
        <f>SUM(Post[[#This Row],[47]:[75]])</f>
        <v>0</v>
      </c>
    </row>
    <row r="1031" spans="1:36" x14ac:dyDescent="0.2">
      <c r="A1031" t="s">
        <v>51</v>
      </c>
      <c r="B1031" t="s">
        <v>6</v>
      </c>
      <c r="C1031">
        <v>1357</v>
      </c>
      <c r="D1031" t="s">
        <v>7</v>
      </c>
      <c r="E1031" t="s">
        <v>14</v>
      </c>
      <c r="F1031" t="s">
        <v>19</v>
      </c>
      <c r="P1031">
        <v>1</v>
      </c>
      <c r="T1031">
        <v>1</v>
      </c>
      <c r="X1031">
        <v>1</v>
      </c>
      <c r="AB1031">
        <v>1</v>
      </c>
      <c r="AF1031">
        <v>1</v>
      </c>
      <c r="AJ1031">
        <f>SUM(Post[[#This Row],[47]:[75]])</f>
        <v>5</v>
      </c>
    </row>
    <row r="1032" spans="1:36" x14ac:dyDescent="0.2">
      <c r="A1032" t="s">
        <v>51</v>
      </c>
      <c r="B1032" t="s">
        <v>6</v>
      </c>
      <c r="C1032">
        <v>2354</v>
      </c>
      <c r="D1032" t="s">
        <v>7</v>
      </c>
      <c r="E1032" t="s">
        <v>14</v>
      </c>
      <c r="F1032" t="s">
        <v>21</v>
      </c>
      <c r="L1032">
        <v>1</v>
      </c>
      <c r="AJ1032">
        <f>SUM(Post[[#This Row],[47]:[75]])</f>
        <v>1</v>
      </c>
    </row>
    <row r="1033" spans="1:36" x14ac:dyDescent="0.2">
      <c r="A1033" t="s">
        <v>51</v>
      </c>
      <c r="B1033" t="s">
        <v>6</v>
      </c>
      <c r="C1033">
        <v>3758</v>
      </c>
      <c r="D1033" t="s">
        <v>7</v>
      </c>
      <c r="E1033" t="s">
        <v>8</v>
      </c>
      <c r="F1033" t="s">
        <v>23</v>
      </c>
      <c r="R1033">
        <v>1</v>
      </c>
      <c r="AG1033">
        <v>1</v>
      </c>
      <c r="AJ1033">
        <f>SUM(Post[[#This Row],[47]:[75]])</f>
        <v>2</v>
      </c>
    </row>
    <row r="1034" spans="1:36" x14ac:dyDescent="0.2">
      <c r="A1034" t="s">
        <v>51</v>
      </c>
      <c r="B1034" t="s">
        <v>6</v>
      </c>
      <c r="C1034">
        <v>4116</v>
      </c>
      <c r="D1034" t="s">
        <v>7</v>
      </c>
      <c r="E1034" t="s">
        <v>10</v>
      </c>
      <c r="F1034" t="s">
        <v>16</v>
      </c>
      <c r="G1034">
        <v>1</v>
      </c>
      <c r="U1034">
        <v>1</v>
      </c>
      <c r="AJ1034">
        <f>SUM(Post[[#This Row],[47]:[75]])</f>
        <v>2</v>
      </c>
    </row>
    <row r="1035" spans="1:36" x14ac:dyDescent="0.2">
      <c r="A1035" t="s">
        <v>51</v>
      </c>
      <c r="B1035" t="s">
        <v>6</v>
      </c>
      <c r="C1035">
        <v>5213</v>
      </c>
      <c r="D1035" t="s">
        <v>7</v>
      </c>
      <c r="E1035" t="s">
        <v>8</v>
      </c>
      <c r="F1035" t="s">
        <v>9</v>
      </c>
      <c r="J1035">
        <v>1</v>
      </c>
      <c r="Y1035">
        <v>1</v>
      </c>
      <c r="AJ1035">
        <f>SUM(Post[[#This Row],[47]:[75]])</f>
        <v>2</v>
      </c>
    </row>
    <row r="1036" spans="1:36" x14ac:dyDescent="0.2">
      <c r="A1036" t="s">
        <v>51</v>
      </c>
      <c r="B1036" t="s">
        <v>6</v>
      </c>
      <c r="C1036">
        <v>5967</v>
      </c>
      <c r="D1036" t="s">
        <v>7</v>
      </c>
      <c r="E1036" t="s">
        <v>14</v>
      </c>
      <c r="F1036" t="s">
        <v>20</v>
      </c>
      <c r="S1036">
        <v>1</v>
      </c>
      <c r="AJ1036">
        <f>SUM(Post[[#This Row],[47]:[75]])</f>
        <v>1</v>
      </c>
    </row>
    <row r="1037" spans="1:36" x14ac:dyDescent="0.2">
      <c r="A1037" t="s">
        <v>51</v>
      </c>
      <c r="B1037" t="s">
        <v>6</v>
      </c>
      <c r="C1037">
        <v>8317</v>
      </c>
      <c r="D1037" t="s">
        <v>7</v>
      </c>
      <c r="E1037" t="s">
        <v>8</v>
      </c>
      <c r="F1037" t="s">
        <v>30</v>
      </c>
      <c r="I1037">
        <v>1</v>
      </c>
      <c r="N1037">
        <v>1</v>
      </c>
      <c r="R1037">
        <v>1</v>
      </c>
      <c r="U1037">
        <v>1</v>
      </c>
      <c r="Y1037">
        <v>1</v>
      </c>
      <c r="AC1037">
        <v>1</v>
      </c>
      <c r="AG1037">
        <v>1</v>
      </c>
      <c r="AJ1037">
        <f>SUM(Post[[#This Row],[47]:[75]])</f>
        <v>7</v>
      </c>
    </row>
    <row r="1038" spans="1:36" x14ac:dyDescent="0.2">
      <c r="A1038" t="s">
        <v>51</v>
      </c>
      <c r="B1038" t="s">
        <v>6</v>
      </c>
      <c r="C1038">
        <v>8533</v>
      </c>
      <c r="D1038" t="s">
        <v>7</v>
      </c>
      <c r="E1038" t="s">
        <v>14</v>
      </c>
      <c r="F1038" t="s">
        <v>20</v>
      </c>
      <c r="G1038">
        <v>1</v>
      </c>
      <c r="K1038">
        <v>1</v>
      </c>
      <c r="P1038">
        <v>1</v>
      </c>
      <c r="T1038">
        <v>1</v>
      </c>
      <c r="X1038">
        <v>1</v>
      </c>
      <c r="AB1038">
        <v>1</v>
      </c>
      <c r="AF1038">
        <v>1</v>
      </c>
      <c r="AJ1038">
        <f>SUM(Post[[#This Row],[47]:[75]])</f>
        <v>7</v>
      </c>
    </row>
    <row r="1039" spans="1:36" x14ac:dyDescent="0.2">
      <c r="A1039" t="s">
        <v>51</v>
      </c>
      <c r="B1039" t="s">
        <v>6</v>
      </c>
      <c r="C1039">
        <v>8654</v>
      </c>
      <c r="D1039" t="s">
        <v>7</v>
      </c>
      <c r="E1039" t="s">
        <v>8</v>
      </c>
      <c r="F1039" t="s">
        <v>9</v>
      </c>
      <c r="H1039">
        <v>1</v>
      </c>
      <c r="W1039">
        <v>1</v>
      </c>
      <c r="AJ1039">
        <f>SUM(Post[[#This Row],[47]:[75]])</f>
        <v>2</v>
      </c>
    </row>
    <row r="1040" spans="1:36" x14ac:dyDescent="0.2">
      <c r="A1040" t="s">
        <v>51</v>
      </c>
      <c r="B1040" t="s">
        <v>6</v>
      </c>
      <c r="C1040">
        <v>10401</v>
      </c>
      <c r="D1040" t="s">
        <v>7</v>
      </c>
      <c r="E1040" t="s">
        <v>14</v>
      </c>
      <c r="F1040" t="s">
        <v>19</v>
      </c>
      <c r="K1040">
        <v>1</v>
      </c>
      <c r="AJ1040">
        <f>SUM(Post[[#This Row],[47]:[75]])</f>
        <v>1</v>
      </c>
    </row>
    <row r="1041" spans="1:36" x14ac:dyDescent="0.2">
      <c r="A1041" t="s">
        <v>51</v>
      </c>
      <c r="B1041" t="s">
        <v>6</v>
      </c>
      <c r="C1041">
        <v>16768</v>
      </c>
      <c r="D1041" t="s">
        <v>7</v>
      </c>
      <c r="E1041" t="s">
        <v>14</v>
      </c>
      <c r="F1041" t="s">
        <v>20</v>
      </c>
      <c r="AJ1041">
        <f>SUM(Post[[#This Row],[47]:[75]])</f>
        <v>0</v>
      </c>
    </row>
    <row r="1042" spans="1:36" x14ac:dyDescent="0.2">
      <c r="A1042" t="s">
        <v>51</v>
      </c>
      <c r="B1042" t="s">
        <v>6</v>
      </c>
      <c r="C1042">
        <v>19123</v>
      </c>
      <c r="D1042" t="s">
        <v>7</v>
      </c>
      <c r="E1042" t="s">
        <v>10</v>
      </c>
      <c r="F1042" t="s">
        <v>11</v>
      </c>
      <c r="AC1042">
        <v>1</v>
      </c>
      <c r="AJ1042">
        <f>SUM(Post[[#This Row],[47]:[75]])</f>
        <v>1</v>
      </c>
    </row>
    <row r="1043" spans="1:36" x14ac:dyDescent="0.2">
      <c r="A1043" t="s">
        <v>51</v>
      </c>
      <c r="B1043" t="s">
        <v>6</v>
      </c>
      <c r="C1043">
        <v>19666</v>
      </c>
      <c r="D1043" t="s">
        <v>7</v>
      </c>
      <c r="E1043" t="s">
        <v>8</v>
      </c>
      <c r="F1043" t="s">
        <v>23</v>
      </c>
      <c r="K1043">
        <v>2</v>
      </c>
      <c r="AJ1043">
        <f>SUM(Post[[#This Row],[47]:[75]])</f>
        <v>2</v>
      </c>
    </row>
    <row r="1044" spans="1:36" x14ac:dyDescent="0.2">
      <c r="A1044" t="s">
        <v>51</v>
      </c>
      <c r="B1044" t="s">
        <v>6</v>
      </c>
      <c r="C1044">
        <v>20842</v>
      </c>
      <c r="D1044" t="s">
        <v>7</v>
      </c>
      <c r="E1044" t="s">
        <v>8</v>
      </c>
      <c r="F1044" t="s">
        <v>9</v>
      </c>
      <c r="N1044">
        <v>1</v>
      </c>
      <c r="AB1044">
        <v>1</v>
      </c>
      <c r="AJ1044">
        <f>SUM(Post[[#This Row],[47]:[75]])</f>
        <v>2</v>
      </c>
    </row>
    <row r="1045" spans="1:36" x14ac:dyDescent="0.2">
      <c r="A1045" t="s">
        <v>51</v>
      </c>
      <c r="B1045" t="s">
        <v>6</v>
      </c>
      <c r="C1045">
        <v>23057</v>
      </c>
      <c r="D1045" t="s">
        <v>7</v>
      </c>
      <c r="E1045" t="s">
        <v>8</v>
      </c>
      <c r="F1045" t="s">
        <v>34</v>
      </c>
      <c r="AJ1045">
        <f>SUM(Post[[#This Row],[47]:[75]])</f>
        <v>0</v>
      </c>
    </row>
    <row r="1046" spans="1:36" x14ac:dyDescent="0.2">
      <c r="A1046" t="s">
        <v>51</v>
      </c>
      <c r="B1046" t="s">
        <v>6</v>
      </c>
      <c r="C1046">
        <v>26149</v>
      </c>
      <c r="D1046" t="s">
        <v>7</v>
      </c>
      <c r="E1046" t="s">
        <v>8</v>
      </c>
      <c r="F1046" t="s">
        <v>9</v>
      </c>
      <c r="J1046">
        <v>1</v>
      </c>
      <c r="AJ1046">
        <f>SUM(Post[[#This Row],[47]:[75]])</f>
        <v>1</v>
      </c>
    </row>
    <row r="1047" spans="1:36" x14ac:dyDescent="0.2">
      <c r="A1047" t="s">
        <v>51</v>
      </c>
      <c r="B1047" t="s">
        <v>6</v>
      </c>
      <c r="C1047">
        <v>30317</v>
      </c>
      <c r="D1047" t="s">
        <v>7</v>
      </c>
      <c r="E1047" t="s">
        <v>10</v>
      </c>
      <c r="F1047" t="s">
        <v>11</v>
      </c>
      <c r="AJ1047">
        <f>SUM(Post[[#This Row],[47]:[75]])</f>
        <v>0</v>
      </c>
    </row>
    <row r="1048" spans="1:36" x14ac:dyDescent="0.2">
      <c r="A1048" t="s">
        <v>51</v>
      </c>
      <c r="B1048" t="s">
        <v>6</v>
      </c>
      <c r="C1048">
        <v>30426</v>
      </c>
      <c r="D1048" t="s">
        <v>7</v>
      </c>
      <c r="E1048" t="s">
        <v>10</v>
      </c>
      <c r="F1048" t="s">
        <v>11</v>
      </c>
      <c r="W1048">
        <v>1</v>
      </c>
      <c r="AF1048">
        <v>1</v>
      </c>
      <c r="AJ1048">
        <f>SUM(Post[[#This Row],[47]:[75]])</f>
        <v>2</v>
      </c>
    </row>
    <row r="1049" spans="1:36" x14ac:dyDescent="0.2">
      <c r="A1049" t="s">
        <v>51</v>
      </c>
      <c r="B1049" t="s">
        <v>6</v>
      </c>
      <c r="C1049">
        <v>30426</v>
      </c>
      <c r="D1049" t="s">
        <v>7</v>
      </c>
      <c r="E1049" t="s">
        <v>8</v>
      </c>
      <c r="F1049" t="s">
        <v>23</v>
      </c>
      <c r="Q1049">
        <v>1</v>
      </c>
      <c r="T1049">
        <v>1</v>
      </c>
      <c r="AF1049">
        <v>1</v>
      </c>
      <c r="AJ1049">
        <f>SUM(Post[[#This Row],[47]:[75]])</f>
        <v>3</v>
      </c>
    </row>
    <row r="1050" spans="1:36" x14ac:dyDescent="0.2">
      <c r="A1050" t="s">
        <v>51</v>
      </c>
      <c r="B1050" t="s">
        <v>6</v>
      </c>
      <c r="C1050">
        <v>32204</v>
      </c>
      <c r="D1050" t="s">
        <v>7</v>
      </c>
      <c r="E1050" t="s">
        <v>14</v>
      </c>
      <c r="F1050" t="s">
        <v>20</v>
      </c>
      <c r="X1050">
        <v>1</v>
      </c>
      <c r="AF1050">
        <v>2</v>
      </c>
      <c r="AJ1050">
        <f>SUM(Post[[#This Row],[47]:[75]])</f>
        <v>3</v>
      </c>
    </row>
    <row r="1051" spans="1:36" x14ac:dyDescent="0.2">
      <c r="A1051" t="s">
        <v>51</v>
      </c>
      <c r="B1051" t="s">
        <v>6</v>
      </c>
      <c r="C1051">
        <v>758</v>
      </c>
      <c r="D1051" t="s">
        <v>22</v>
      </c>
      <c r="E1051" t="s">
        <v>8</v>
      </c>
      <c r="F1051" t="s">
        <v>23</v>
      </c>
      <c r="S1051">
        <v>1</v>
      </c>
      <c r="AH1051">
        <v>1</v>
      </c>
      <c r="AJ1051">
        <f>SUM(Post[[#This Row],[47]:[75]])</f>
        <v>2</v>
      </c>
    </row>
    <row r="1052" spans="1:36" x14ac:dyDescent="0.2">
      <c r="A1052" t="s">
        <v>51</v>
      </c>
      <c r="B1052" t="s">
        <v>6</v>
      </c>
      <c r="C1052">
        <v>1235</v>
      </c>
      <c r="D1052" t="s">
        <v>22</v>
      </c>
      <c r="E1052" t="s">
        <v>8</v>
      </c>
      <c r="F1052" t="s">
        <v>23</v>
      </c>
      <c r="J1052">
        <v>1</v>
      </c>
      <c r="AH1052">
        <v>1</v>
      </c>
      <c r="AJ1052">
        <f>SUM(Post[[#This Row],[47]:[75]])</f>
        <v>2</v>
      </c>
    </row>
    <row r="1053" spans="1:36" x14ac:dyDescent="0.2">
      <c r="A1053" t="s">
        <v>51</v>
      </c>
      <c r="B1053" t="s">
        <v>6</v>
      </c>
      <c r="C1053">
        <v>1356</v>
      </c>
      <c r="D1053" t="s">
        <v>22</v>
      </c>
      <c r="E1053" t="s">
        <v>8</v>
      </c>
      <c r="F1053" t="s">
        <v>29</v>
      </c>
      <c r="N1053">
        <v>1</v>
      </c>
      <c r="AB1053">
        <v>1</v>
      </c>
      <c r="AJ1053">
        <f>SUM(Post[[#This Row],[47]:[75]])</f>
        <v>2</v>
      </c>
    </row>
    <row r="1054" spans="1:36" x14ac:dyDescent="0.2">
      <c r="A1054" t="s">
        <v>51</v>
      </c>
      <c r="B1054" t="s">
        <v>6</v>
      </c>
      <c r="C1054">
        <v>1601</v>
      </c>
      <c r="D1054" t="s">
        <v>22</v>
      </c>
      <c r="E1054" t="s">
        <v>40</v>
      </c>
      <c r="F1054" t="s">
        <v>52</v>
      </c>
      <c r="S1054">
        <v>1</v>
      </c>
      <c r="AG1054">
        <v>1</v>
      </c>
      <c r="AJ1054">
        <f>SUM(Post[[#This Row],[47]:[75]])</f>
        <v>2</v>
      </c>
    </row>
    <row r="1055" spans="1:36" x14ac:dyDescent="0.2">
      <c r="A1055" t="s">
        <v>51</v>
      </c>
      <c r="B1055" t="s">
        <v>6</v>
      </c>
      <c r="C1055">
        <v>1601</v>
      </c>
      <c r="D1055" t="s">
        <v>22</v>
      </c>
      <c r="E1055" t="s">
        <v>8</v>
      </c>
      <c r="F1055" t="s">
        <v>30</v>
      </c>
      <c r="S1055">
        <v>1</v>
      </c>
      <c r="AG1055">
        <v>1</v>
      </c>
      <c r="AJ1055">
        <f>SUM(Post[[#This Row],[47]:[75]])</f>
        <v>2</v>
      </c>
    </row>
    <row r="1056" spans="1:36" x14ac:dyDescent="0.2">
      <c r="A1056" t="s">
        <v>51</v>
      </c>
      <c r="B1056" t="s">
        <v>6</v>
      </c>
      <c r="C1056">
        <v>3138</v>
      </c>
      <c r="D1056" t="s">
        <v>22</v>
      </c>
      <c r="E1056" t="s">
        <v>10</v>
      </c>
      <c r="F1056" t="s">
        <v>16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f>SUM(Post[[#This Row],[47]:[75]])</f>
        <v>28</v>
      </c>
    </row>
    <row r="1057" spans="1:36" x14ac:dyDescent="0.2">
      <c r="A1057" t="s">
        <v>51</v>
      </c>
      <c r="B1057" t="s">
        <v>6</v>
      </c>
      <c r="C1057">
        <v>3757</v>
      </c>
      <c r="D1057" t="s">
        <v>22</v>
      </c>
      <c r="E1057" t="s">
        <v>8</v>
      </c>
      <c r="F1057" t="s">
        <v>23</v>
      </c>
      <c r="H1057">
        <v>1</v>
      </c>
      <c r="X1057">
        <v>1</v>
      </c>
      <c r="AJ1057">
        <f>SUM(Post[[#This Row],[47]:[75]])</f>
        <v>2</v>
      </c>
    </row>
    <row r="1058" spans="1:36" x14ac:dyDescent="0.2">
      <c r="A1058" t="s">
        <v>51</v>
      </c>
      <c r="B1058" t="s">
        <v>6</v>
      </c>
      <c r="C1058">
        <v>4343</v>
      </c>
      <c r="D1058" t="s">
        <v>22</v>
      </c>
      <c r="E1058" t="s">
        <v>40</v>
      </c>
      <c r="F1058" t="s">
        <v>44</v>
      </c>
      <c r="AE1058">
        <v>2</v>
      </c>
      <c r="AH1058">
        <v>1</v>
      </c>
      <c r="AJ1058">
        <f>SUM(Post[[#This Row],[47]:[75]])</f>
        <v>3</v>
      </c>
    </row>
    <row r="1059" spans="1:36" x14ac:dyDescent="0.2">
      <c r="A1059" t="s">
        <v>51</v>
      </c>
      <c r="B1059" t="s">
        <v>6</v>
      </c>
      <c r="C1059">
        <v>4626</v>
      </c>
      <c r="D1059" t="s">
        <v>22</v>
      </c>
      <c r="E1059" t="s">
        <v>8</v>
      </c>
      <c r="F1059" t="s">
        <v>23</v>
      </c>
      <c r="AJ1059">
        <f>SUM(Post[[#This Row],[47]:[75]])</f>
        <v>0</v>
      </c>
    </row>
    <row r="1060" spans="1:36" x14ac:dyDescent="0.2">
      <c r="A1060" t="s">
        <v>51</v>
      </c>
      <c r="B1060" t="s">
        <v>6</v>
      </c>
      <c r="C1060">
        <v>6650</v>
      </c>
      <c r="D1060" t="s">
        <v>22</v>
      </c>
      <c r="E1060" t="s">
        <v>8</v>
      </c>
      <c r="F1060" t="s">
        <v>23</v>
      </c>
      <c r="AJ1060">
        <f>SUM(Post[[#This Row],[47]:[75]])</f>
        <v>0</v>
      </c>
    </row>
    <row r="1061" spans="1:36" x14ac:dyDescent="0.2">
      <c r="A1061" t="s">
        <v>51</v>
      </c>
      <c r="B1061" t="s">
        <v>6</v>
      </c>
      <c r="C1061">
        <v>7865</v>
      </c>
      <c r="D1061" t="s">
        <v>22</v>
      </c>
      <c r="E1061" t="s">
        <v>14</v>
      </c>
      <c r="F1061" t="s">
        <v>28</v>
      </c>
      <c r="AJ1061">
        <f>SUM(Post[[#This Row],[47]:[75]])</f>
        <v>0</v>
      </c>
    </row>
    <row r="1062" spans="1:36" x14ac:dyDescent="0.2">
      <c r="A1062" t="s">
        <v>51</v>
      </c>
      <c r="B1062" t="s">
        <v>6</v>
      </c>
      <c r="C1062">
        <v>9130</v>
      </c>
      <c r="D1062" t="s">
        <v>22</v>
      </c>
      <c r="E1062" t="s">
        <v>8</v>
      </c>
      <c r="F1062" t="s">
        <v>23</v>
      </c>
      <c r="H1062">
        <v>1</v>
      </c>
      <c r="T1062">
        <v>1</v>
      </c>
      <c r="AG1062">
        <v>1</v>
      </c>
      <c r="AJ1062">
        <f>SUM(Post[[#This Row],[47]:[75]])</f>
        <v>3</v>
      </c>
    </row>
    <row r="1063" spans="1:36" x14ac:dyDescent="0.2">
      <c r="A1063" t="s">
        <v>51</v>
      </c>
      <c r="B1063" t="s">
        <v>6</v>
      </c>
      <c r="C1063">
        <v>11079</v>
      </c>
      <c r="D1063" t="s">
        <v>22</v>
      </c>
      <c r="E1063" t="s">
        <v>8</v>
      </c>
      <c r="F1063" t="s">
        <v>9</v>
      </c>
      <c r="G1063">
        <v>1</v>
      </c>
      <c r="U1063">
        <v>1</v>
      </c>
      <c r="AH1063">
        <v>1</v>
      </c>
      <c r="AJ1063">
        <f>SUM(Post[[#This Row],[47]:[75]])</f>
        <v>3</v>
      </c>
    </row>
    <row r="1064" spans="1:36" x14ac:dyDescent="0.2">
      <c r="A1064" t="s">
        <v>51</v>
      </c>
      <c r="B1064" t="s">
        <v>6</v>
      </c>
      <c r="C1064">
        <v>12030</v>
      </c>
      <c r="D1064" t="s">
        <v>22</v>
      </c>
      <c r="E1064" t="s">
        <v>8</v>
      </c>
      <c r="F1064" t="s">
        <v>23</v>
      </c>
      <c r="H1064">
        <v>1</v>
      </c>
      <c r="V1064">
        <v>1</v>
      </c>
      <c r="AI1064">
        <v>2</v>
      </c>
      <c r="AJ1064">
        <f>SUM(Post[[#This Row],[47]:[75]])</f>
        <v>4</v>
      </c>
    </row>
    <row r="1065" spans="1:36" x14ac:dyDescent="0.2">
      <c r="A1065" t="s">
        <v>51</v>
      </c>
      <c r="B1065" t="s">
        <v>6</v>
      </c>
      <c r="C1065">
        <v>12266</v>
      </c>
      <c r="D1065" t="s">
        <v>22</v>
      </c>
      <c r="E1065" t="s">
        <v>8</v>
      </c>
      <c r="F1065" t="s">
        <v>9</v>
      </c>
      <c r="O1065">
        <v>1</v>
      </c>
      <c r="AA1065">
        <v>1</v>
      </c>
      <c r="AJ1065">
        <f>SUM(Post[[#This Row],[47]:[75]])</f>
        <v>2</v>
      </c>
    </row>
    <row r="1066" spans="1:36" x14ac:dyDescent="0.2">
      <c r="A1066" t="s">
        <v>51</v>
      </c>
      <c r="B1066" t="s">
        <v>6</v>
      </c>
      <c r="C1066">
        <v>12266</v>
      </c>
      <c r="D1066" t="s">
        <v>22</v>
      </c>
      <c r="E1066" t="s">
        <v>26</v>
      </c>
      <c r="F1066" t="s">
        <v>27</v>
      </c>
      <c r="O1066">
        <v>1</v>
      </c>
      <c r="AA1066">
        <v>1</v>
      </c>
      <c r="AJ1066">
        <f>SUM(Post[[#This Row],[47]:[75]])</f>
        <v>2</v>
      </c>
    </row>
    <row r="1067" spans="1:36" x14ac:dyDescent="0.2">
      <c r="A1067" t="s">
        <v>51</v>
      </c>
      <c r="B1067" t="s">
        <v>6</v>
      </c>
      <c r="C1067">
        <v>19560</v>
      </c>
      <c r="D1067" t="s">
        <v>22</v>
      </c>
      <c r="E1067" t="s">
        <v>14</v>
      </c>
      <c r="F1067" t="s">
        <v>20</v>
      </c>
      <c r="AJ1067">
        <f>SUM(Post[[#This Row],[47]:[75]])</f>
        <v>0</v>
      </c>
    </row>
    <row r="1068" spans="1:36" x14ac:dyDescent="0.2">
      <c r="A1068" t="s">
        <v>51</v>
      </c>
      <c r="B1068" t="s">
        <v>6</v>
      </c>
      <c r="C1068">
        <v>29107</v>
      </c>
      <c r="D1068" t="s">
        <v>22</v>
      </c>
      <c r="E1068" t="s">
        <v>14</v>
      </c>
      <c r="F1068" t="s">
        <v>20</v>
      </c>
      <c r="H1068">
        <v>1</v>
      </c>
      <c r="V1068">
        <v>1</v>
      </c>
      <c r="AB1068">
        <v>1</v>
      </c>
      <c r="AJ1068">
        <f>SUM(Post[[#This Row],[47]:[75]])</f>
        <v>3</v>
      </c>
    </row>
    <row r="1069" spans="1:36" x14ac:dyDescent="0.2">
      <c r="A1069" t="s">
        <v>51</v>
      </c>
      <c r="B1069" t="s">
        <v>6</v>
      </c>
      <c r="C1069">
        <v>29778</v>
      </c>
      <c r="D1069" t="s">
        <v>22</v>
      </c>
      <c r="E1069" t="s">
        <v>14</v>
      </c>
      <c r="F1069" t="s">
        <v>20</v>
      </c>
      <c r="AJ1069">
        <f>SUM(Post[[#This Row],[47]:[75]])</f>
        <v>0</v>
      </c>
    </row>
    <row r="1070" spans="1:36" x14ac:dyDescent="0.2">
      <c r="A1070" t="s">
        <v>51</v>
      </c>
      <c r="B1070" t="s">
        <v>6</v>
      </c>
      <c r="C1070">
        <v>30384</v>
      </c>
      <c r="D1070" t="s">
        <v>22</v>
      </c>
      <c r="E1070" t="s">
        <v>14</v>
      </c>
      <c r="F1070" t="s">
        <v>15</v>
      </c>
      <c r="AJ1070">
        <f>SUM(Post[[#This Row],[47]:[75]])</f>
        <v>0</v>
      </c>
    </row>
    <row r="1071" spans="1:36" x14ac:dyDescent="0.2">
      <c r="A1071" t="s">
        <v>51</v>
      </c>
      <c r="B1071" t="s">
        <v>6</v>
      </c>
      <c r="C1071">
        <v>32168</v>
      </c>
      <c r="D1071" t="s">
        <v>22</v>
      </c>
      <c r="E1071" t="s">
        <v>8</v>
      </c>
      <c r="F1071" t="s">
        <v>23</v>
      </c>
      <c r="J1071">
        <v>1</v>
      </c>
      <c r="P1071">
        <v>1</v>
      </c>
      <c r="S1071">
        <v>1</v>
      </c>
      <c r="X1071">
        <v>2</v>
      </c>
      <c r="AD1071">
        <v>1</v>
      </c>
      <c r="AJ1071">
        <f>SUM(Post[[#This Row],[47]:[75]])</f>
        <v>6</v>
      </c>
    </row>
    <row r="1072" spans="1:36" x14ac:dyDescent="0.2">
      <c r="A1072" t="s">
        <v>51</v>
      </c>
      <c r="B1072" t="s">
        <v>6</v>
      </c>
      <c r="C1072">
        <v>416</v>
      </c>
      <c r="D1072" t="s">
        <v>7</v>
      </c>
      <c r="E1072" t="s">
        <v>14</v>
      </c>
      <c r="F1072" t="s">
        <v>20</v>
      </c>
      <c r="AJ1072">
        <f>SUM(Post[[#This Row],[47]:[75]])</f>
        <v>0</v>
      </c>
    </row>
    <row r="1073" spans="1:36" x14ac:dyDescent="0.2">
      <c r="A1073" t="s">
        <v>51</v>
      </c>
      <c r="B1073" t="s">
        <v>6</v>
      </c>
      <c r="C1073">
        <v>600</v>
      </c>
      <c r="D1073" t="s">
        <v>7</v>
      </c>
      <c r="E1073" t="s">
        <v>17</v>
      </c>
      <c r="F1073" t="s">
        <v>18</v>
      </c>
      <c r="X1073">
        <v>1</v>
      </c>
      <c r="AJ1073">
        <f>SUM(Post[[#This Row],[47]:[75]])</f>
        <v>1</v>
      </c>
    </row>
    <row r="1074" spans="1:36" x14ac:dyDescent="0.2">
      <c r="A1074" t="s">
        <v>51</v>
      </c>
      <c r="B1074" t="s">
        <v>6</v>
      </c>
      <c r="C1074">
        <v>698</v>
      </c>
      <c r="D1074" t="s">
        <v>7</v>
      </c>
      <c r="E1074" t="s">
        <v>14</v>
      </c>
      <c r="F1074" t="s">
        <v>20</v>
      </c>
      <c r="T1074">
        <v>1</v>
      </c>
      <c r="AF1074">
        <v>1</v>
      </c>
      <c r="AJ1074">
        <f>SUM(Post[[#This Row],[47]:[75]])</f>
        <v>2</v>
      </c>
    </row>
    <row r="1075" spans="1:36" x14ac:dyDescent="0.2">
      <c r="A1075" t="s">
        <v>51</v>
      </c>
      <c r="B1075" t="s">
        <v>6</v>
      </c>
      <c r="C1075">
        <v>1281</v>
      </c>
      <c r="D1075" t="s">
        <v>7</v>
      </c>
      <c r="E1075" t="s">
        <v>8</v>
      </c>
      <c r="F1075" t="s">
        <v>23</v>
      </c>
      <c r="H1075">
        <v>1</v>
      </c>
      <c r="V1075">
        <v>1</v>
      </c>
      <c r="AJ1075">
        <f>SUM(Post[[#This Row],[47]:[75]])</f>
        <v>2</v>
      </c>
    </row>
    <row r="1076" spans="1:36" x14ac:dyDescent="0.2">
      <c r="A1076" t="s">
        <v>51</v>
      </c>
      <c r="B1076" t="s">
        <v>6</v>
      </c>
      <c r="C1076">
        <v>1467</v>
      </c>
      <c r="D1076" t="s">
        <v>7</v>
      </c>
      <c r="E1076" t="s">
        <v>8</v>
      </c>
      <c r="F1076" t="s">
        <v>29</v>
      </c>
      <c r="G1076">
        <v>1</v>
      </c>
      <c r="I1076">
        <v>1</v>
      </c>
      <c r="L1076">
        <v>1</v>
      </c>
      <c r="AJ1076">
        <f>SUM(Post[[#This Row],[47]:[75]])</f>
        <v>3</v>
      </c>
    </row>
    <row r="1077" spans="1:36" x14ac:dyDescent="0.2">
      <c r="A1077" t="s">
        <v>51</v>
      </c>
      <c r="B1077" t="s">
        <v>6</v>
      </c>
      <c r="C1077">
        <v>1467</v>
      </c>
      <c r="D1077" t="s">
        <v>7</v>
      </c>
      <c r="E1077" t="s">
        <v>14</v>
      </c>
      <c r="F1077" t="s">
        <v>20</v>
      </c>
      <c r="G1077">
        <v>1</v>
      </c>
      <c r="I1077">
        <v>1</v>
      </c>
      <c r="L1077">
        <v>1</v>
      </c>
      <c r="Q1077">
        <v>2</v>
      </c>
      <c r="T1077">
        <v>1</v>
      </c>
      <c r="X1077">
        <v>1</v>
      </c>
      <c r="AA1077">
        <v>1</v>
      </c>
      <c r="AB1077">
        <v>1</v>
      </c>
      <c r="AF1077">
        <v>1</v>
      </c>
      <c r="AJ1077">
        <f>SUM(Post[[#This Row],[47]:[75]])</f>
        <v>10</v>
      </c>
    </row>
    <row r="1078" spans="1:36" x14ac:dyDescent="0.2">
      <c r="A1078" t="s">
        <v>51</v>
      </c>
      <c r="B1078" t="s">
        <v>6</v>
      </c>
      <c r="C1078">
        <v>2522</v>
      </c>
      <c r="D1078" t="s">
        <v>7</v>
      </c>
      <c r="E1078" t="s">
        <v>8</v>
      </c>
      <c r="F1078" t="s">
        <v>23</v>
      </c>
      <c r="G1078">
        <v>1</v>
      </c>
      <c r="L1078">
        <v>1</v>
      </c>
      <c r="P1078">
        <v>1</v>
      </c>
      <c r="T1078">
        <v>1</v>
      </c>
      <c r="Y1078">
        <v>1</v>
      </c>
      <c r="AB1078">
        <v>2</v>
      </c>
      <c r="AE1078">
        <v>1</v>
      </c>
      <c r="AJ1078">
        <f>SUM(Post[[#This Row],[47]:[75]])</f>
        <v>8</v>
      </c>
    </row>
    <row r="1079" spans="1:36" x14ac:dyDescent="0.2">
      <c r="A1079" t="s">
        <v>51</v>
      </c>
      <c r="B1079" t="s">
        <v>6</v>
      </c>
      <c r="C1079">
        <v>2586</v>
      </c>
      <c r="D1079" t="s">
        <v>7</v>
      </c>
      <c r="E1079" t="s">
        <v>14</v>
      </c>
      <c r="F1079" t="s">
        <v>20</v>
      </c>
      <c r="N1079">
        <v>1</v>
      </c>
      <c r="AJ1079">
        <f>SUM(Post[[#This Row],[47]:[75]])</f>
        <v>1</v>
      </c>
    </row>
    <row r="1080" spans="1:36" x14ac:dyDescent="0.2">
      <c r="A1080" t="s">
        <v>51</v>
      </c>
      <c r="B1080" t="s">
        <v>6</v>
      </c>
      <c r="C1080">
        <v>2767</v>
      </c>
      <c r="D1080" t="s">
        <v>7</v>
      </c>
      <c r="E1080" t="s">
        <v>14</v>
      </c>
      <c r="F1080" t="s">
        <v>20</v>
      </c>
      <c r="I1080">
        <v>1</v>
      </c>
      <c r="N1080">
        <v>1</v>
      </c>
      <c r="S1080">
        <v>1</v>
      </c>
      <c r="W1080">
        <v>1</v>
      </c>
      <c r="AA1080">
        <v>1</v>
      </c>
      <c r="AE1080">
        <v>2</v>
      </c>
      <c r="AJ1080">
        <f>SUM(Post[[#This Row],[47]:[75]])</f>
        <v>7</v>
      </c>
    </row>
    <row r="1081" spans="1:36" x14ac:dyDescent="0.2">
      <c r="A1081" t="s">
        <v>51</v>
      </c>
      <c r="B1081" t="s">
        <v>6</v>
      </c>
      <c r="C1081">
        <v>2987</v>
      </c>
      <c r="D1081" t="s">
        <v>7</v>
      </c>
      <c r="E1081" t="s">
        <v>8</v>
      </c>
      <c r="F1081" t="s">
        <v>23</v>
      </c>
      <c r="I1081">
        <v>1</v>
      </c>
      <c r="J1081">
        <v>1</v>
      </c>
      <c r="X1081">
        <v>1</v>
      </c>
      <c r="AJ1081">
        <f>SUM(Post[[#This Row],[47]:[75]])</f>
        <v>3</v>
      </c>
    </row>
    <row r="1082" spans="1:36" x14ac:dyDescent="0.2">
      <c r="A1082" t="s">
        <v>51</v>
      </c>
      <c r="B1082" t="s">
        <v>6</v>
      </c>
      <c r="C1082">
        <v>4254</v>
      </c>
      <c r="D1082" t="s">
        <v>7</v>
      </c>
      <c r="E1082" t="s">
        <v>8</v>
      </c>
      <c r="F1082" t="s">
        <v>9</v>
      </c>
      <c r="G1082">
        <v>1</v>
      </c>
      <c r="V1082">
        <v>1</v>
      </c>
      <c r="AJ1082">
        <f>SUM(Post[[#This Row],[47]:[75]])</f>
        <v>2</v>
      </c>
    </row>
    <row r="1083" spans="1:36" x14ac:dyDescent="0.2">
      <c r="A1083" t="s">
        <v>51</v>
      </c>
      <c r="B1083" t="s">
        <v>6</v>
      </c>
      <c r="C1083">
        <v>5064</v>
      </c>
      <c r="D1083" t="s">
        <v>7</v>
      </c>
      <c r="E1083" t="s">
        <v>14</v>
      </c>
      <c r="F1083" t="s">
        <v>28</v>
      </c>
      <c r="G1083">
        <v>1</v>
      </c>
      <c r="K1083">
        <v>1</v>
      </c>
      <c r="P1083">
        <v>1</v>
      </c>
      <c r="T1083">
        <v>1</v>
      </c>
      <c r="AJ1083">
        <f>SUM(Post[[#This Row],[47]:[75]])</f>
        <v>4</v>
      </c>
    </row>
    <row r="1084" spans="1:36" x14ac:dyDescent="0.2">
      <c r="A1084" t="s">
        <v>51</v>
      </c>
      <c r="B1084" t="s">
        <v>6</v>
      </c>
      <c r="C1084">
        <v>5137</v>
      </c>
      <c r="D1084" t="s">
        <v>7</v>
      </c>
      <c r="E1084" t="s">
        <v>14</v>
      </c>
      <c r="F1084" t="s">
        <v>20</v>
      </c>
      <c r="L1084">
        <v>1</v>
      </c>
      <c r="U1084">
        <v>1</v>
      </c>
      <c r="AD1084">
        <v>1</v>
      </c>
      <c r="AJ1084">
        <f>SUM(Post[[#This Row],[47]:[75]])</f>
        <v>3</v>
      </c>
    </row>
    <row r="1085" spans="1:36" x14ac:dyDescent="0.2">
      <c r="A1085" t="s">
        <v>51</v>
      </c>
      <c r="B1085" t="s">
        <v>6</v>
      </c>
      <c r="C1085">
        <v>5526</v>
      </c>
      <c r="D1085" t="s">
        <v>7</v>
      </c>
      <c r="E1085" t="s">
        <v>8</v>
      </c>
      <c r="F1085" t="s">
        <v>30</v>
      </c>
      <c r="G1085">
        <v>1</v>
      </c>
      <c r="L1085">
        <v>1</v>
      </c>
      <c r="S1085">
        <v>1</v>
      </c>
      <c r="Z1085">
        <v>1</v>
      </c>
      <c r="AC1085">
        <v>1</v>
      </c>
      <c r="AJ1085">
        <f>SUM(Post[[#This Row],[47]:[75]])</f>
        <v>5</v>
      </c>
    </row>
    <row r="1086" spans="1:36" x14ac:dyDescent="0.2">
      <c r="A1086" t="s">
        <v>51</v>
      </c>
      <c r="B1086" t="s">
        <v>6</v>
      </c>
      <c r="C1086">
        <v>5863</v>
      </c>
      <c r="D1086" t="s">
        <v>7</v>
      </c>
      <c r="E1086" t="s">
        <v>14</v>
      </c>
      <c r="F1086" t="s">
        <v>35</v>
      </c>
      <c r="I1086">
        <v>1</v>
      </c>
      <c r="AJ1086">
        <f>SUM(Post[[#This Row],[47]:[75]])</f>
        <v>1</v>
      </c>
    </row>
    <row r="1087" spans="1:36" x14ac:dyDescent="0.2">
      <c r="A1087" t="s">
        <v>51</v>
      </c>
      <c r="B1087" t="s">
        <v>6</v>
      </c>
      <c r="C1087">
        <v>5977</v>
      </c>
      <c r="D1087" t="s">
        <v>7</v>
      </c>
      <c r="E1087" t="s">
        <v>14</v>
      </c>
      <c r="F1087" t="s">
        <v>20</v>
      </c>
      <c r="G1087">
        <v>1</v>
      </c>
      <c r="J1087">
        <v>1</v>
      </c>
      <c r="Q1087">
        <v>1</v>
      </c>
      <c r="AJ1087">
        <f>SUM(Post[[#This Row],[47]:[75]])</f>
        <v>3</v>
      </c>
    </row>
    <row r="1088" spans="1:36" x14ac:dyDescent="0.2">
      <c r="A1088" t="s">
        <v>51</v>
      </c>
      <c r="B1088" t="s">
        <v>6</v>
      </c>
      <c r="C1088">
        <v>6576</v>
      </c>
      <c r="D1088" t="s">
        <v>7</v>
      </c>
      <c r="E1088" t="s">
        <v>14</v>
      </c>
      <c r="F1088" t="s">
        <v>19</v>
      </c>
      <c r="K1088">
        <v>1</v>
      </c>
      <c r="AJ1088">
        <f>SUM(Post[[#This Row],[47]:[75]])</f>
        <v>1</v>
      </c>
    </row>
    <row r="1089" spans="1:36" x14ac:dyDescent="0.2">
      <c r="A1089" t="s">
        <v>51</v>
      </c>
      <c r="B1089" t="s">
        <v>6</v>
      </c>
      <c r="C1089">
        <v>6635</v>
      </c>
      <c r="D1089" t="s">
        <v>7</v>
      </c>
      <c r="E1089" t="s">
        <v>14</v>
      </c>
      <c r="F1089" t="s">
        <v>20</v>
      </c>
      <c r="AJ1089">
        <f>SUM(Post[[#This Row],[47]:[75]])</f>
        <v>0</v>
      </c>
    </row>
    <row r="1090" spans="1:36" x14ac:dyDescent="0.2">
      <c r="A1090" t="s">
        <v>51</v>
      </c>
      <c r="B1090" t="s">
        <v>6</v>
      </c>
      <c r="C1090">
        <v>7359</v>
      </c>
      <c r="D1090" t="s">
        <v>7</v>
      </c>
      <c r="E1090" t="s">
        <v>14</v>
      </c>
      <c r="F1090" t="s">
        <v>35</v>
      </c>
      <c r="H1090">
        <v>1</v>
      </c>
      <c r="AB1090">
        <v>1</v>
      </c>
      <c r="AJ1090">
        <f>SUM(Post[[#This Row],[47]:[75]])</f>
        <v>2</v>
      </c>
    </row>
    <row r="1091" spans="1:36" x14ac:dyDescent="0.2">
      <c r="A1091" t="s">
        <v>51</v>
      </c>
      <c r="B1091" t="s">
        <v>6</v>
      </c>
      <c r="C1091">
        <v>7493</v>
      </c>
      <c r="D1091" t="s">
        <v>7</v>
      </c>
      <c r="E1091" t="s">
        <v>8</v>
      </c>
      <c r="F1091" t="s">
        <v>23</v>
      </c>
      <c r="V1091">
        <v>1</v>
      </c>
      <c r="AJ1091">
        <f>SUM(Post[[#This Row],[47]:[75]])</f>
        <v>1</v>
      </c>
    </row>
    <row r="1092" spans="1:36" x14ac:dyDescent="0.2">
      <c r="A1092" t="s">
        <v>51</v>
      </c>
      <c r="B1092" t="s">
        <v>6</v>
      </c>
      <c r="C1092">
        <v>7631</v>
      </c>
      <c r="D1092" t="s">
        <v>7</v>
      </c>
      <c r="E1092" t="s">
        <v>10</v>
      </c>
      <c r="F1092" t="s">
        <v>16</v>
      </c>
      <c r="O1092">
        <v>1</v>
      </c>
      <c r="AJ1092">
        <f>SUM(Post[[#This Row],[47]:[75]])</f>
        <v>1</v>
      </c>
    </row>
    <row r="1093" spans="1:36" x14ac:dyDescent="0.2">
      <c r="A1093" t="s">
        <v>51</v>
      </c>
      <c r="B1093" t="s">
        <v>6</v>
      </c>
      <c r="C1093">
        <v>8093</v>
      </c>
      <c r="D1093" t="s">
        <v>7</v>
      </c>
      <c r="E1093" t="s">
        <v>8</v>
      </c>
      <c r="F1093" t="s">
        <v>23</v>
      </c>
      <c r="Y1093">
        <v>1</v>
      </c>
      <c r="AB1093">
        <v>2</v>
      </c>
      <c r="AC1093">
        <v>2</v>
      </c>
      <c r="AD1093">
        <v>1</v>
      </c>
      <c r="AE1093">
        <v>1</v>
      </c>
      <c r="AF1093">
        <v>1</v>
      </c>
      <c r="AG1093">
        <v>1</v>
      </c>
      <c r="AH1093">
        <v>1</v>
      </c>
      <c r="AJ1093">
        <f>SUM(Post[[#This Row],[47]:[75]])</f>
        <v>10</v>
      </c>
    </row>
    <row r="1094" spans="1:36" x14ac:dyDescent="0.2">
      <c r="A1094" t="s">
        <v>51</v>
      </c>
      <c r="B1094" t="s">
        <v>6</v>
      </c>
      <c r="C1094">
        <v>8318</v>
      </c>
      <c r="D1094" t="s">
        <v>7</v>
      </c>
      <c r="E1094" t="s">
        <v>14</v>
      </c>
      <c r="F1094" t="s">
        <v>20</v>
      </c>
      <c r="Q1094">
        <v>1</v>
      </c>
      <c r="AC1094">
        <v>1</v>
      </c>
      <c r="AJ1094">
        <f>SUM(Post[[#This Row],[47]:[75]])</f>
        <v>2</v>
      </c>
    </row>
    <row r="1095" spans="1:36" x14ac:dyDescent="0.2">
      <c r="A1095" t="s">
        <v>51</v>
      </c>
      <c r="B1095" t="s">
        <v>6</v>
      </c>
      <c r="C1095">
        <v>8433</v>
      </c>
      <c r="D1095" t="s">
        <v>7</v>
      </c>
      <c r="E1095" t="s">
        <v>14</v>
      </c>
      <c r="F1095" t="s">
        <v>21</v>
      </c>
      <c r="G1095">
        <v>1</v>
      </c>
      <c r="H1095">
        <v>1</v>
      </c>
      <c r="I1095">
        <v>2</v>
      </c>
      <c r="J1095">
        <v>1</v>
      </c>
      <c r="AJ1095">
        <f>SUM(Post[[#This Row],[47]:[75]])</f>
        <v>5</v>
      </c>
    </row>
    <row r="1096" spans="1:36" x14ac:dyDescent="0.2">
      <c r="A1096" t="s">
        <v>51</v>
      </c>
      <c r="B1096" t="s">
        <v>6</v>
      </c>
      <c r="C1096">
        <v>8433</v>
      </c>
      <c r="D1096" t="s">
        <v>7</v>
      </c>
      <c r="E1096" t="s">
        <v>14</v>
      </c>
      <c r="F1096" t="s">
        <v>20</v>
      </c>
      <c r="K1096">
        <v>1</v>
      </c>
      <c r="L1096">
        <v>1</v>
      </c>
      <c r="N1096">
        <v>1</v>
      </c>
      <c r="O1096">
        <v>2</v>
      </c>
      <c r="P1096">
        <v>1</v>
      </c>
      <c r="Q1096">
        <v>1</v>
      </c>
      <c r="R1096">
        <v>2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2</v>
      </c>
      <c r="AG1096">
        <v>1</v>
      </c>
      <c r="AI1096">
        <v>1</v>
      </c>
      <c r="AJ1096">
        <f>SUM(Post[[#This Row],[47]:[75]])</f>
        <v>26</v>
      </c>
    </row>
    <row r="1097" spans="1:36" x14ac:dyDescent="0.2">
      <c r="A1097" t="s">
        <v>51</v>
      </c>
      <c r="B1097" t="s">
        <v>6</v>
      </c>
      <c r="C1097">
        <v>8586</v>
      </c>
      <c r="D1097" t="s">
        <v>7</v>
      </c>
      <c r="E1097" t="s">
        <v>14</v>
      </c>
      <c r="F1097" t="s">
        <v>20</v>
      </c>
      <c r="AJ1097">
        <f>SUM(Post[[#This Row],[47]:[75]])</f>
        <v>0</v>
      </c>
    </row>
    <row r="1098" spans="1:36" x14ac:dyDescent="0.2">
      <c r="A1098" t="s">
        <v>51</v>
      </c>
      <c r="B1098" t="s">
        <v>6</v>
      </c>
      <c r="C1098">
        <v>8736</v>
      </c>
      <c r="D1098" t="s">
        <v>7</v>
      </c>
      <c r="E1098" t="s">
        <v>14</v>
      </c>
      <c r="F1098" t="s">
        <v>20</v>
      </c>
      <c r="O1098">
        <v>1</v>
      </c>
      <c r="W1098">
        <v>1</v>
      </c>
      <c r="AC1098">
        <v>1</v>
      </c>
      <c r="AJ1098">
        <f>SUM(Post[[#This Row],[47]:[75]])</f>
        <v>3</v>
      </c>
    </row>
    <row r="1099" spans="1:36" x14ac:dyDescent="0.2">
      <c r="A1099" t="s">
        <v>51</v>
      </c>
      <c r="B1099" t="s">
        <v>6</v>
      </c>
      <c r="C1099">
        <v>8920</v>
      </c>
      <c r="D1099" t="s">
        <v>7</v>
      </c>
      <c r="E1099" t="s">
        <v>10</v>
      </c>
      <c r="F1099" t="s">
        <v>11</v>
      </c>
      <c r="AJ1099">
        <f>SUM(Post[[#This Row],[47]:[75]])</f>
        <v>0</v>
      </c>
    </row>
    <row r="1100" spans="1:36" x14ac:dyDescent="0.2">
      <c r="A1100" t="s">
        <v>51</v>
      </c>
      <c r="B1100" t="s">
        <v>6</v>
      </c>
      <c r="C1100">
        <v>8920</v>
      </c>
      <c r="D1100" t="s">
        <v>7</v>
      </c>
      <c r="E1100" t="s">
        <v>8</v>
      </c>
      <c r="F1100" t="s">
        <v>9</v>
      </c>
      <c r="G1100">
        <v>1</v>
      </c>
      <c r="K1100">
        <v>1</v>
      </c>
      <c r="P1100">
        <v>1</v>
      </c>
      <c r="T1100">
        <v>1</v>
      </c>
      <c r="X1100">
        <v>1</v>
      </c>
      <c r="AB1100">
        <v>1</v>
      </c>
      <c r="AF1100">
        <v>1</v>
      </c>
      <c r="AJ1100">
        <f>SUM(Post[[#This Row],[47]:[75]])</f>
        <v>7</v>
      </c>
    </row>
    <row r="1101" spans="1:36" x14ac:dyDescent="0.2">
      <c r="A1101" t="s">
        <v>51</v>
      </c>
      <c r="B1101" t="s">
        <v>6</v>
      </c>
      <c r="C1101">
        <v>8920</v>
      </c>
      <c r="D1101" t="s">
        <v>7</v>
      </c>
      <c r="E1101" t="s">
        <v>14</v>
      </c>
      <c r="F1101" t="s">
        <v>20</v>
      </c>
      <c r="G1101">
        <v>1</v>
      </c>
      <c r="K1101">
        <v>1</v>
      </c>
      <c r="P1101">
        <v>1</v>
      </c>
      <c r="T1101">
        <v>1</v>
      </c>
      <c r="X1101">
        <v>1</v>
      </c>
      <c r="AB1101">
        <v>1</v>
      </c>
      <c r="AF1101">
        <v>1</v>
      </c>
      <c r="AJ1101">
        <f>SUM(Post[[#This Row],[47]:[75]])</f>
        <v>7</v>
      </c>
    </row>
    <row r="1102" spans="1:36" x14ac:dyDescent="0.2">
      <c r="A1102" t="s">
        <v>51</v>
      </c>
      <c r="B1102" t="s">
        <v>6</v>
      </c>
      <c r="C1102">
        <v>9249</v>
      </c>
      <c r="D1102" t="s">
        <v>7</v>
      </c>
      <c r="E1102" t="s">
        <v>14</v>
      </c>
      <c r="F1102" t="s">
        <v>19</v>
      </c>
      <c r="AB1102">
        <v>1</v>
      </c>
      <c r="AJ1102">
        <f>SUM(Post[[#This Row],[47]:[75]])</f>
        <v>1</v>
      </c>
    </row>
    <row r="1103" spans="1:36" x14ac:dyDescent="0.2">
      <c r="A1103" t="s">
        <v>51</v>
      </c>
      <c r="B1103" t="s">
        <v>6</v>
      </c>
      <c r="C1103">
        <v>9249</v>
      </c>
      <c r="D1103" t="s">
        <v>7</v>
      </c>
      <c r="E1103" t="s">
        <v>14</v>
      </c>
      <c r="F1103" t="s">
        <v>21</v>
      </c>
      <c r="AJ1103">
        <f>SUM(Post[[#This Row],[47]:[75]])</f>
        <v>0</v>
      </c>
    </row>
    <row r="1104" spans="1:36" x14ac:dyDescent="0.2">
      <c r="A1104" t="s">
        <v>51</v>
      </c>
      <c r="B1104" t="s">
        <v>6</v>
      </c>
      <c r="C1104">
        <v>9270</v>
      </c>
      <c r="D1104" t="s">
        <v>7</v>
      </c>
      <c r="E1104" t="s">
        <v>26</v>
      </c>
      <c r="F1104" t="s">
        <v>27</v>
      </c>
      <c r="J1104">
        <v>1</v>
      </c>
      <c r="N1104">
        <v>1</v>
      </c>
      <c r="R1104">
        <v>1</v>
      </c>
      <c r="V1104">
        <v>1</v>
      </c>
      <c r="Z1104">
        <v>1</v>
      </c>
      <c r="AD1104">
        <v>1</v>
      </c>
      <c r="AJ1104">
        <f>SUM(Post[[#This Row],[47]:[75]])</f>
        <v>6</v>
      </c>
    </row>
    <row r="1105" spans="1:36" x14ac:dyDescent="0.2">
      <c r="A1105" t="s">
        <v>51</v>
      </c>
      <c r="B1105" t="s">
        <v>6</v>
      </c>
      <c r="C1105">
        <v>9270</v>
      </c>
      <c r="D1105" t="s">
        <v>7</v>
      </c>
      <c r="E1105" t="s">
        <v>14</v>
      </c>
      <c r="F1105" t="s">
        <v>20</v>
      </c>
      <c r="J1105">
        <v>1</v>
      </c>
      <c r="N1105">
        <v>1</v>
      </c>
      <c r="R1105">
        <v>1</v>
      </c>
      <c r="V1105">
        <v>1</v>
      </c>
      <c r="Z1105">
        <v>1</v>
      </c>
      <c r="AD1105">
        <v>1</v>
      </c>
      <c r="AJ1105">
        <f>SUM(Post[[#This Row],[47]:[75]])</f>
        <v>6</v>
      </c>
    </row>
    <row r="1106" spans="1:36" x14ac:dyDescent="0.2">
      <c r="A1106" t="s">
        <v>51</v>
      </c>
      <c r="B1106" t="s">
        <v>6</v>
      </c>
      <c r="C1106">
        <v>9383</v>
      </c>
      <c r="D1106" t="s">
        <v>7</v>
      </c>
      <c r="E1106" t="s">
        <v>14</v>
      </c>
      <c r="F1106" t="s">
        <v>20</v>
      </c>
      <c r="T1106">
        <v>2</v>
      </c>
      <c r="AG1106">
        <v>1</v>
      </c>
      <c r="AJ1106">
        <f>SUM(Post[[#This Row],[47]:[75]])</f>
        <v>3</v>
      </c>
    </row>
    <row r="1107" spans="1:36" x14ac:dyDescent="0.2">
      <c r="A1107" t="s">
        <v>51</v>
      </c>
      <c r="B1107" t="s">
        <v>6</v>
      </c>
      <c r="C1107">
        <v>9434</v>
      </c>
      <c r="D1107" t="s">
        <v>7</v>
      </c>
      <c r="E1107" t="s">
        <v>26</v>
      </c>
      <c r="F1107" t="s">
        <v>27</v>
      </c>
      <c r="I1107">
        <v>1</v>
      </c>
      <c r="AB1107">
        <v>1</v>
      </c>
      <c r="AJ1107">
        <f>SUM(Post[[#This Row],[47]:[75]])</f>
        <v>2</v>
      </c>
    </row>
    <row r="1108" spans="1:36" x14ac:dyDescent="0.2">
      <c r="A1108" t="s">
        <v>51</v>
      </c>
      <c r="B1108" t="s">
        <v>6</v>
      </c>
      <c r="C1108">
        <v>9434</v>
      </c>
      <c r="D1108" t="s">
        <v>7</v>
      </c>
      <c r="E1108" t="s">
        <v>14</v>
      </c>
      <c r="F1108" t="s">
        <v>20</v>
      </c>
      <c r="I1108">
        <v>1</v>
      </c>
      <c r="AB1108">
        <v>1</v>
      </c>
      <c r="AJ1108">
        <f>SUM(Post[[#This Row],[47]:[75]])</f>
        <v>2</v>
      </c>
    </row>
    <row r="1109" spans="1:36" x14ac:dyDescent="0.2">
      <c r="A1109" t="s">
        <v>51</v>
      </c>
      <c r="B1109" t="s">
        <v>6</v>
      </c>
      <c r="C1109">
        <v>9455</v>
      </c>
      <c r="D1109" t="s">
        <v>7</v>
      </c>
      <c r="E1109" t="s">
        <v>10</v>
      </c>
      <c r="F1109" t="s">
        <v>11</v>
      </c>
      <c r="J1109">
        <v>1</v>
      </c>
      <c r="O1109">
        <v>1</v>
      </c>
      <c r="T1109">
        <v>1</v>
      </c>
      <c r="X1109">
        <v>1</v>
      </c>
      <c r="AB1109">
        <v>1</v>
      </c>
      <c r="AG1109">
        <v>1</v>
      </c>
      <c r="AJ1109">
        <f>SUM(Post[[#This Row],[47]:[75]])</f>
        <v>6</v>
      </c>
    </row>
    <row r="1110" spans="1:36" x14ac:dyDescent="0.2">
      <c r="A1110" t="s">
        <v>51</v>
      </c>
      <c r="B1110" t="s">
        <v>6</v>
      </c>
      <c r="C1110">
        <v>11039</v>
      </c>
      <c r="D1110" t="s">
        <v>7</v>
      </c>
      <c r="E1110" t="s">
        <v>10</v>
      </c>
      <c r="F1110" t="s">
        <v>11</v>
      </c>
      <c r="AG1110">
        <v>2</v>
      </c>
      <c r="AH1110">
        <v>1</v>
      </c>
      <c r="AJ1110">
        <f>SUM(Post[[#This Row],[47]:[75]])</f>
        <v>3</v>
      </c>
    </row>
    <row r="1111" spans="1:36" x14ac:dyDescent="0.2">
      <c r="A1111" t="s">
        <v>51</v>
      </c>
      <c r="B1111" t="s">
        <v>6</v>
      </c>
      <c r="C1111">
        <v>11039</v>
      </c>
      <c r="D1111" t="s">
        <v>7</v>
      </c>
      <c r="E1111" t="s">
        <v>14</v>
      </c>
      <c r="F1111" t="s">
        <v>21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F1111">
        <v>1</v>
      </c>
      <c r="AJ1111">
        <f>SUM(Post[[#This Row],[47]:[75]])</f>
        <v>24</v>
      </c>
    </row>
    <row r="1112" spans="1:36" x14ac:dyDescent="0.2">
      <c r="A1112" t="s">
        <v>51</v>
      </c>
      <c r="B1112" t="s">
        <v>6</v>
      </c>
      <c r="C1112">
        <v>11258</v>
      </c>
      <c r="D1112" t="s">
        <v>7</v>
      </c>
      <c r="E1112" t="s">
        <v>14</v>
      </c>
      <c r="F1112" t="s">
        <v>19</v>
      </c>
      <c r="AJ1112">
        <f>SUM(Post[[#This Row],[47]:[75]])</f>
        <v>0</v>
      </c>
    </row>
    <row r="1113" spans="1:36" x14ac:dyDescent="0.2">
      <c r="A1113" t="s">
        <v>51</v>
      </c>
      <c r="B1113" t="s">
        <v>6</v>
      </c>
      <c r="C1113">
        <v>14214</v>
      </c>
      <c r="D1113" t="s">
        <v>7</v>
      </c>
      <c r="E1113" t="s">
        <v>32</v>
      </c>
      <c r="F1113" t="s">
        <v>33</v>
      </c>
      <c r="AJ1113">
        <f>SUM(Post[[#This Row],[47]:[75]])</f>
        <v>0</v>
      </c>
    </row>
    <row r="1114" spans="1:36" x14ac:dyDescent="0.2">
      <c r="A1114" t="s">
        <v>51</v>
      </c>
      <c r="B1114" t="s">
        <v>6</v>
      </c>
      <c r="C1114">
        <v>14214</v>
      </c>
      <c r="D1114" t="s">
        <v>7</v>
      </c>
      <c r="E1114" t="s">
        <v>14</v>
      </c>
      <c r="F1114" t="s">
        <v>19</v>
      </c>
      <c r="AJ1114">
        <f>SUM(Post[[#This Row],[47]:[75]])</f>
        <v>0</v>
      </c>
    </row>
    <row r="1115" spans="1:36" x14ac:dyDescent="0.2">
      <c r="A1115" t="s">
        <v>51</v>
      </c>
      <c r="B1115" t="s">
        <v>6</v>
      </c>
      <c r="C1115">
        <v>14315</v>
      </c>
      <c r="D1115" t="s">
        <v>7</v>
      </c>
      <c r="E1115" t="s">
        <v>8</v>
      </c>
      <c r="F1115" t="s">
        <v>23</v>
      </c>
      <c r="S1115">
        <v>1</v>
      </c>
      <c r="AF1115">
        <v>1</v>
      </c>
      <c r="AJ1115">
        <f>SUM(Post[[#This Row],[47]:[75]])</f>
        <v>2</v>
      </c>
    </row>
    <row r="1116" spans="1:36" x14ac:dyDescent="0.2">
      <c r="A1116" t="s">
        <v>51</v>
      </c>
      <c r="B1116" t="s">
        <v>6</v>
      </c>
      <c r="C1116">
        <v>14920</v>
      </c>
      <c r="D1116" t="s">
        <v>7</v>
      </c>
      <c r="E1116" t="s">
        <v>10</v>
      </c>
      <c r="F1116" t="s">
        <v>11</v>
      </c>
      <c r="X1116">
        <v>1</v>
      </c>
      <c r="AJ1116">
        <f>SUM(Post[[#This Row],[47]:[75]])</f>
        <v>1</v>
      </c>
    </row>
    <row r="1117" spans="1:36" x14ac:dyDescent="0.2">
      <c r="A1117" t="s">
        <v>51</v>
      </c>
      <c r="B1117" t="s">
        <v>6</v>
      </c>
      <c r="C1117">
        <v>15243</v>
      </c>
      <c r="D1117" t="s">
        <v>7</v>
      </c>
      <c r="E1117" t="s">
        <v>14</v>
      </c>
      <c r="F1117" t="s">
        <v>28</v>
      </c>
      <c r="J1117">
        <v>1</v>
      </c>
      <c r="W1117">
        <v>1</v>
      </c>
      <c r="AJ1117">
        <f>SUM(Post[[#This Row],[47]:[75]])</f>
        <v>2</v>
      </c>
    </row>
    <row r="1118" spans="1:36" x14ac:dyDescent="0.2">
      <c r="A1118" t="s">
        <v>51</v>
      </c>
      <c r="B1118" t="s">
        <v>6</v>
      </c>
      <c r="C1118">
        <v>16823</v>
      </c>
      <c r="D1118" t="s">
        <v>7</v>
      </c>
      <c r="E1118" t="s">
        <v>14</v>
      </c>
      <c r="F1118" t="s">
        <v>35</v>
      </c>
      <c r="H1118">
        <v>1</v>
      </c>
      <c r="L1118">
        <v>1</v>
      </c>
      <c r="V1118">
        <v>3</v>
      </c>
      <c r="W1118">
        <v>1</v>
      </c>
      <c r="Y1118">
        <v>1</v>
      </c>
      <c r="AC1118">
        <v>1</v>
      </c>
      <c r="AF1118">
        <v>1</v>
      </c>
      <c r="AH1118">
        <v>1</v>
      </c>
      <c r="AJ1118">
        <f>SUM(Post[[#This Row],[47]:[75]])</f>
        <v>10</v>
      </c>
    </row>
    <row r="1119" spans="1:36" x14ac:dyDescent="0.2">
      <c r="A1119" t="s">
        <v>51</v>
      </c>
      <c r="B1119" t="s">
        <v>6</v>
      </c>
      <c r="C1119">
        <v>18028</v>
      </c>
      <c r="D1119" t="s">
        <v>7</v>
      </c>
      <c r="E1119" t="s">
        <v>14</v>
      </c>
      <c r="F1119" t="s">
        <v>20</v>
      </c>
      <c r="I1119">
        <v>1</v>
      </c>
      <c r="V1119">
        <v>1</v>
      </c>
      <c r="AJ1119">
        <f>SUM(Post[[#This Row],[47]:[75]])</f>
        <v>2</v>
      </c>
    </row>
    <row r="1120" spans="1:36" x14ac:dyDescent="0.2">
      <c r="A1120" t="s">
        <v>51</v>
      </c>
      <c r="B1120" t="s">
        <v>6</v>
      </c>
      <c r="C1120">
        <v>19579</v>
      </c>
      <c r="D1120" t="s">
        <v>7</v>
      </c>
      <c r="E1120" t="s">
        <v>32</v>
      </c>
      <c r="F1120" t="s">
        <v>33</v>
      </c>
      <c r="AJ1120">
        <f>SUM(Post[[#This Row],[47]:[75]])</f>
        <v>0</v>
      </c>
    </row>
    <row r="1121" spans="1:36" x14ac:dyDescent="0.2">
      <c r="A1121" t="s">
        <v>51</v>
      </c>
      <c r="B1121" t="s">
        <v>6</v>
      </c>
      <c r="C1121">
        <v>19579</v>
      </c>
      <c r="D1121" t="s">
        <v>7</v>
      </c>
      <c r="E1121" t="s">
        <v>14</v>
      </c>
      <c r="F1121" t="s">
        <v>20</v>
      </c>
      <c r="L1121">
        <v>1</v>
      </c>
      <c r="AA1121">
        <v>1</v>
      </c>
      <c r="AE1121">
        <v>1</v>
      </c>
      <c r="AJ1121">
        <f>SUM(Post[[#This Row],[47]:[75]])</f>
        <v>3</v>
      </c>
    </row>
    <row r="1122" spans="1:36" x14ac:dyDescent="0.2">
      <c r="A1122" t="s">
        <v>51</v>
      </c>
      <c r="B1122" t="s">
        <v>6</v>
      </c>
      <c r="C1122">
        <v>19847</v>
      </c>
      <c r="D1122" t="s">
        <v>7</v>
      </c>
      <c r="E1122" t="s">
        <v>8</v>
      </c>
      <c r="F1122" t="s">
        <v>23</v>
      </c>
      <c r="H1122">
        <v>1</v>
      </c>
      <c r="I1122">
        <v>1</v>
      </c>
      <c r="W1122">
        <v>1</v>
      </c>
      <c r="AJ1122">
        <f>SUM(Post[[#This Row],[47]:[75]])</f>
        <v>3</v>
      </c>
    </row>
    <row r="1123" spans="1:36" x14ac:dyDescent="0.2">
      <c r="A1123" t="s">
        <v>51</v>
      </c>
      <c r="B1123" t="s">
        <v>6</v>
      </c>
      <c r="C1123">
        <v>20438</v>
      </c>
      <c r="D1123" t="s">
        <v>7</v>
      </c>
      <c r="E1123" t="s">
        <v>14</v>
      </c>
      <c r="F1123" t="s">
        <v>21</v>
      </c>
      <c r="AJ1123">
        <f>SUM(Post[[#This Row],[47]:[75]])</f>
        <v>0</v>
      </c>
    </row>
    <row r="1124" spans="1:36" x14ac:dyDescent="0.2">
      <c r="A1124" t="s">
        <v>51</v>
      </c>
      <c r="B1124" t="s">
        <v>6</v>
      </c>
      <c r="C1124">
        <v>21069</v>
      </c>
      <c r="D1124" t="s">
        <v>7</v>
      </c>
      <c r="E1124" t="s">
        <v>10</v>
      </c>
      <c r="F1124" t="s">
        <v>11</v>
      </c>
      <c r="G1124">
        <v>1</v>
      </c>
      <c r="N1124">
        <v>1</v>
      </c>
      <c r="AJ1124">
        <f>SUM(Post[[#This Row],[47]:[75]])</f>
        <v>2</v>
      </c>
    </row>
    <row r="1125" spans="1:36" x14ac:dyDescent="0.2">
      <c r="A1125" t="s">
        <v>51</v>
      </c>
      <c r="B1125" t="s">
        <v>6</v>
      </c>
      <c r="C1125">
        <v>21069</v>
      </c>
      <c r="D1125" t="s">
        <v>7</v>
      </c>
      <c r="E1125" t="s">
        <v>14</v>
      </c>
      <c r="F1125" t="s">
        <v>19</v>
      </c>
      <c r="N1125">
        <v>1</v>
      </c>
      <c r="AJ1125">
        <f>SUM(Post[[#This Row],[47]:[75]])</f>
        <v>1</v>
      </c>
    </row>
    <row r="1126" spans="1:36" x14ac:dyDescent="0.2">
      <c r="A1126" t="s">
        <v>51</v>
      </c>
      <c r="B1126" t="s">
        <v>6</v>
      </c>
      <c r="C1126">
        <v>26598</v>
      </c>
      <c r="D1126" t="s">
        <v>7</v>
      </c>
      <c r="E1126" t="s">
        <v>8</v>
      </c>
      <c r="F1126" t="s">
        <v>29</v>
      </c>
      <c r="AJ1126">
        <f>SUM(Post[[#This Row],[47]:[75]])</f>
        <v>0</v>
      </c>
    </row>
    <row r="1127" spans="1:36" x14ac:dyDescent="0.2">
      <c r="A1127" t="s">
        <v>51</v>
      </c>
      <c r="B1127" t="s">
        <v>6</v>
      </c>
      <c r="C1127">
        <v>27090</v>
      </c>
      <c r="D1127" t="s">
        <v>7</v>
      </c>
      <c r="E1127" t="s">
        <v>14</v>
      </c>
      <c r="F1127" t="s">
        <v>20</v>
      </c>
      <c r="I1127">
        <v>1</v>
      </c>
      <c r="U1127">
        <v>1</v>
      </c>
      <c r="AI1127">
        <v>1</v>
      </c>
      <c r="AJ1127">
        <f>SUM(Post[[#This Row],[47]:[75]])</f>
        <v>3</v>
      </c>
    </row>
    <row r="1128" spans="1:36" x14ac:dyDescent="0.2">
      <c r="A1128" t="s">
        <v>51</v>
      </c>
      <c r="B1128" t="s">
        <v>6</v>
      </c>
      <c r="C1128">
        <v>28441</v>
      </c>
      <c r="D1128" t="s">
        <v>7</v>
      </c>
      <c r="E1128" t="s">
        <v>14</v>
      </c>
      <c r="F1128" t="s">
        <v>20</v>
      </c>
      <c r="K1128">
        <v>1</v>
      </c>
      <c r="AB1128">
        <v>1</v>
      </c>
      <c r="AJ1128">
        <f>SUM(Post[[#This Row],[47]:[75]])</f>
        <v>2</v>
      </c>
    </row>
    <row r="1129" spans="1:36" x14ac:dyDescent="0.2">
      <c r="A1129" t="s">
        <v>51</v>
      </c>
      <c r="B1129" t="s">
        <v>6</v>
      </c>
      <c r="C1129">
        <v>29106</v>
      </c>
      <c r="D1129" t="s">
        <v>7</v>
      </c>
      <c r="E1129" t="s">
        <v>14</v>
      </c>
      <c r="F1129" t="s">
        <v>21</v>
      </c>
      <c r="AJ1129">
        <f>SUM(Post[[#This Row],[47]:[75]])</f>
        <v>0</v>
      </c>
    </row>
    <row r="1130" spans="1:36" x14ac:dyDescent="0.2">
      <c r="A1130" t="s">
        <v>51</v>
      </c>
      <c r="B1130" t="s">
        <v>6</v>
      </c>
      <c r="C1130">
        <v>29106</v>
      </c>
      <c r="D1130" t="s">
        <v>7</v>
      </c>
      <c r="E1130" t="s">
        <v>14</v>
      </c>
      <c r="F1130" t="s">
        <v>20</v>
      </c>
      <c r="Q1130">
        <v>1</v>
      </c>
      <c r="AB1130">
        <v>1</v>
      </c>
      <c r="AJ1130">
        <f>SUM(Post[[#This Row],[47]:[75]])</f>
        <v>2</v>
      </c>
    </row>
    <row r="1131" spans="1:36" x14ac:dyDescent="0.2">
      <c r="A1131" t="s">
        <v>51</v>
      </c>
      <c r="B1131" t="s">
        <v>6</v>
      </c>
      <c r="C1131">
        <v>30165</v>
      </c>
      <c r="D1131" t="s">
        <v>7</v>
      </c>
      <c r="E1131" t="s">
        <v>14</v>
      </c>
      <c r="F1131" t="s">
        <v>35</v>
      </c>
      <c r="H1131">
        <v>2</v>
      </c>
      <c r="I1131">
        <v>1</v>
      </c>
      <c r="J1131">
        <v>3</v>
      </c>
      <c r="R1131">
        <v>1</v>
      </c>
      <c r="AJ1131">
        <f>SUM(Post[[#This Row],[47]:[75]])</f>
        <v>7</v>
      </c>
    </row>
    <row r="1132" spans="1:36" x14ac:dyDescent="0.2">
      <c r="A1132" t="s">
        <v>51</v>
      </c>
      <c r="B1132" t="s">
        <v>6</v>
      </c>
      <c r="C1132">
        <v>30527</v>
      </c>
      <c r="D1132" t="s">
        <v>7</v>
      </c>
      <c r="E1132" t="s">
        <v>14</v>
      </c>
      <c r="F1132" t="s">
        <v>35</v>
      </c>
      <c r="G1132">
        <v>1</v>
      </c>
      <c r="K1132">
        <v>1</v>
      </c>
      <c r="P1132">
        <v>1</v>
      </c>
      <c r="U1132">
        <v>1</v>
      </c>
      <c r="Y1132">
        <v>1</v>
      </c>
      <c r="AC1132">
        <v>1</v>
      </c>
      <c r="AH1132">
        <v>1</v>
      </c>
      <c r="AJ1132">
        <f>SUM(Post[[#This Row],[47]:[75]])</f>
        <v>7</v>
      </c>
    </row>
    <row r="1133" spans="1:36" x14ac:dyDescent="0.2">
      <c r="A1133" t="s">
        <v>51</v>
      </c>
      <c r="B1133" t="s">
        <v>6</v>
      </c>
      <c r="C1133">
        <v>31115</v>
      </c>
      <c r="D1133" t="s">
        <v>7</v>
      </c>
      <c r="E1133" t="s">
        <v>14</v>
      </c>
      <c r="F1133" t="s">
        <v>20</v>
      </c>
      <c r="L1133">
        <v>1</v>
      </c>
      <c r="AF1133">
        <v>1</v>
      </c>
      <c r="AJ1133">
        <f>SUM(Post[[#This Row],[47]:[75]])</f>
        <v>2</v>
      </c>
    </row>
    <row r="1134" spans="1:36" x14ac:dyDescent="0.2">
      <c r="A1134" t="s">
        <v>51</v>
      </c>
      <c r="B1134" t="s">
        <v>6</v>
      </c>
      <c r="C1134">
        <v>31335</v>
      </c>
      <c r="D1134" t="s">
        <v>7</v>
      </c>
      <c r="E1134" t="s">
        <v>10</v>
      </c>
      <c r="F1134" t="s">
        <v>11</v>
      </c>
      <c r="AJ1134">
        <f>SUM(Post[[#This Row],[47]:[75]])</f>
        <v>0</v>
      </c>
    </row>
    <row r="1135" spans="1:36" x14ac:dyDescent="0.2">
      <c r="A1135" t="s">
        <v>51</v>
      </c>
      <c r="B1135" t="s">
        <v>6</v>
      </c>
      <c r="C1135">
        <v>32417</v>
      </c>
      <c r="D1135" t="s">
        <v>7</v>
      </c>
      <c r="E1135" t="s">
        <v>14</v>
      </c>
      <c r="F1135" t="s">
        <v>35</v>
      </c>
      <c r="R1135">
        <v>1</v>
      </c>
      <c r="AJ1135">
        <f>SUM(Post[[#This Row],[47]:[75]])</f>
        <v>1</v>
      </c>
    </row>
    <row r="1136" spans="1:36" x14ac:dyDescent="0.2">
      <c r="A1136" t="s">
        <v>51</v>
      </c>
      <c r="B1136" t="s">
        <v>6</v>
      </c>
      <c r="C1136">
        <v>33698</v>
      </c>
      <c r="D1136" t="s">
        <v>7</v>
      </c>
      <c r="E1136" t="s">
        <v>10</v>
      </c>
      <c r="F1136" t="s">
        <v>11</v>
      </c>
      <c r="AG1136">
        <v>1</v>
      </c>
      <c r="AJ1136">
        <f>SUM(Post[[#This Row],[47]:[75]])</f>
        <v>1</v>
      </c>
    </row>
    <row r="1137" spans="1:36" x14ac:dyDescent="0.2">
      <c r="A1137" t="s">
        <v>51</v>
      </c>
      <c r="B1137" t="s">
        <v>6</v>
      </c>
      <c r="C1137">
        <v>711</v>
      </c>
      <c r="D1137" t="s">
        <v>22</v>
      </c>
      <c r="E1137" t="s">
        <v>14</v>
      </c>
      <c r="F1137" t="s">
        <v>15</v>
      </c>
      <c r="AJ1137">
        <f>SUM(Post[[#This Row],[47]:[75]])</f>
        <v>0</v>
      </c>
    </row>
    <row r="1138" spans="1:36" x14ac:dyDescent="0.2">
      <c r="A1138" t="s">
        <v>51</v>
      </c>
      <c r="B1138" t="s">
        <v>6</v>
      </c>
      <c r="C1138">
        <v>814</v>
      </c>
      <c r="D1138" t="s">
        <v>22</v>
      </c>
      <c r="E1138" t="s">
        <v>10</v>
      </c>
      <c r="F1138" t="s">
        <v>11</v>
      </c>
      <c r="J1138">
        <v>1</v>
      </c>
      <c r="AJ1138">
        <f>SUM(Post[[#This Row],[47]:[75]])</f>
        <v>1</v>
      </c>
    </row>
    <row r="1139" spans="1:36" x14ac:dyDescent="0.2">
      <c r="A1139" t="s">
        <v>51</v>
      </c>
      <c r="B1139" t="s">
        <v>6</v>
      </c>
      <c r="C1139">
        <v>814</v>
      </c>
      <c r="D1139" t="s">
        <v>22</v>
      </c>
      <c r="E1139" t="s">
        <v>14</v>
      </c>
      <c r="F1139" t="s">
        <v>20</v>
      </c>
      <c r="P1139">
        <v>1</v>
      </c>
      <c r="AD1139">
        <v>1</v>
      </c>
      <c r="AJ1139">
        <f>SUM(Post[[#This Row],[47]:[75]])</f>
        <v>2</v>
      </c>
    </row>
    <row r="1140" spans="1:36" x14ac:dyDescent="0.2">
      <c r="A1140" t="s">
        <v>51</v>
      </c>
      <c r="B1140" t="s">
        <v>6</v>
      </c>
      <c r="C1140">
        <v>882</v>
      </c>
      <c r="D1140" t="s">
        <v>22</v>
      </c>
      <c r="E1140" t="s">
        <v>8</v>
      </c>
      <c r="F1140" t="s">
        <v>23</v>
      </c>
      <c r="G1140">
        <v>1</v>
      </c>
      <c r="T1140">
        <v>1</v>
      </c>
      <c r="AA1140">
        <v>1</v>
      </c>
      <c r="AJ1140">
        <f>SUM(Post[[#This Row],[47]:[75]])</f>
        <v>3</v>
      </c>
    </row>
    <row r="1141" spans="1:36" x14ac:dyDescent="0.2">
      <c r="A1141" t="s">
        <v>51</v>
      </c>
      <c r="B1141" t="s">
        <v>6</v>
      </c>
      <c r="C1141">
        <v>1456</v>
      </c>
      <c r="D1141" t="s">
        <v>22</v>
      </c>
      <c r="E1141" t="s">
        <v>10</v>
      </c>
      <c r="F1141" t="s">
        <v>11</v>
      </c>
      <c r="W1141">
        <v>1</v>
      </c>
      <c r="AJ1141">
        <f>SUM(Post[[#This Row],[47]:[75]])</f>
        <v>1</v>
      </c>
    </row>
    <row r="1142" spans="1:36" x14ac:dyDescent="0.2">
      <c r="A1142" t="s">
        <v>51</v>
      </c>
      <c r="B1142" t="s">
        <v>6</v>
      </c>
      <c r="C1142">
        <v>1456</v>
      </c>
      <c r="D1142" t="s">
        <v>22</v>
      </c>
      <c r="E1142" t="s">
        <v>14</v>
      </c>
      <c r="F1142" t="s">
        <v>20</v>
      </c>
      <c r="G1142">
        <v>1</v>
      </c>
      <c r="AJ1142">
        <f>SUM(Post[[#This Row],[47]:[75]])</f>
        <v>1</v>
      </c>
    </row>
    <row r="1143" spans="1:36" x14ac:dyDescent="0.2">
      <c r="A1143" t="s">
        <v>51</v>
      </c>
      <c r="B1143" t="s">
        <v>6</v>
      </c>
      <c r="C1143">
        <v>1653</v>
      </c>
      <c r="D1143" t="s">
        <v>22</v>
      </c>
      <c r="E1143" t="s">
        <v>8</v>
      </c>
      <c r="F1143" t="s">
        <v>9</v>
      </c>
      <c r="H1143">
        <v>1</v>
      </c>
      <c r="AJ1143">
        <f>SUM(Post[[#This Row],[47]:[75]])</f>
        <v>1</v>
      </c>
    </row>
    <row r="1144" spans="1:36" x14ac:dyDescent="0.2">
      <c r="A1144" t="s">
        <v>51</v>
      </c>
      <c r="B1144" t="s">
        <v>6</v>
      </c>
      <c r="C1144">
        <v>1898</v>
      </c>
      <c r="D1144" t="s">
        <v>22</v>
      </c>
      <c r="E1144" t="s">
        <v>8</v>
      </c>
      <c r="F1144" t="s">
        <v>23</v>
      </c>
      <c r="AJ1144">
        <f>SUM(Post[[#This Row],[47]:[75]])</f>
        <v>0</v>
      </c>
    </row>
    <row r="1145" spans="1:36" x14ac:dyDescent="0.2">
      <c r="A1145" t="s">
        <v>51</v>
      </c>
      <c r="B1145" t="s">
        <v>6</v>
      </c>
      <c r="C1145">
        <v>1898</v>
      </c>
      <c r="D1145" t="s">
        <v>22</v>
      </c>
      <c r="E1145" t="s">
        <v>14</v>
      </c>
      <c r="F1145" t="s">
        <v>20</v>
      </c>
      <c r="AJ1145">
        <f>SUM(Post[[#This Row],[47]:[75]])</f>
        <v>0</v>
      </c>
    </row>
    <row r="1146" spans="1:36" x14ac:dyDescent="0.2">
      <c r="A1146" t="s">
        <v>51</v>
      </c>
      <c r="B1146" t="s">
        <v>6</v>
      </c>
      <c r="C1146">
        <v>2696</v>
      </c>
      <c r="D1146" t="s">
        <v>22</v>
      </c>
      <c r="E1146" t="s">
        <v>14</v>
      </c>
      <c r="F1146" t="s">
        <v>20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Z1146">
        <v>1</v>
      </c>
      <c r="AA1146">
        <v>1</v>
      </c>
      <c r="AB1146">
        <v>4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J1146">
        <f>SUM(Post[[#This Row],[47]:[75]])</f>
        <v>29</v>
      </c>
    </row>
    <row r="1147" spans="1:36" x14ac:dyDescent="0.2">
      <c r="A1147" t="s">
        <v>51</v>
      </c>
      <c r="B1147" t="s">
        <v>6</v>
      </c>
      <c r="C1147">
        <v>3806</v>
      </c>
      <c r="D1147" t="s">
        <v>22</v>
      </c>
      <c r="E1147" t="s">
        <v>14</v>
      </c>
      <c r="F1147" t="s">
        <v>20</v>
      </c>
      <c r="J1147">
        <v>1</v>
      </c>
      <c r="O1147">
        <v>1</v>
      </c>
      <c r="T1147">
        <v>1</v>
      </c>
      <c r="W1147">
        <v>2</v>
      </c>
      <c r="AC1147">
        <v>1</v>
      </c>
      <c r="AG1147">
        <v>1</v>
      </c>
      <c r="AJ1147">
        <f>SUM(Post[[#This Row],[47]:[75]])</f>
        <v>7</v>
      </c>
    </row>
    <row r="1148" spans="1:36" x14ac:dyDescent="0.2">
      <c r="A1148" t="s">
        <v>51</v>
      </c>
      <c r="B1148" t="s">
        <v>6</v>
      </c>
      <c r="C1148">
        <v>4250</v>
      </c>
      <c r="D1148" t="s">
        <v>22</v>
      </c>
      <c r="E1148" t="s">
        <v>8</v>
      </c>
      <c r="F1148" t="s">
        <v>23</v>
      </c>
      <c r="Q1148">
        <v>1</v>
      </c>
      <c r="AJ1148">
        <f>SUM(Post[[#This Row],[47]:[75]])</f>
        <v>1</v>
      </c>
    </row>
    <row r="1149" spans="1:36" x14ac:dyDescent="0.2">
      <c r="A1149" t="s">
        <v>51</v>
      </c>
      <c r="B1149" t="s">
        <v>6</v>
      </c>
      <c r="C1149">
        <v>4466</v>
      </c>
      <c r="D1149" t="s">
        <v>22</v>
      </c>
      <c r="E1149" t="s">
        <v>14</v>
      </c>
      <c r="F1149" t="s">
        <v>20</v>
      </c>
      <c r="H1149">
        <v>1</v>
      </c>
      <c r="W1149">
        <v>2</v>
      </c>
      <c r="AJ1149">
        <f>SUM(Post[[#This Row],[47]:[75]])</f>
        <v>3</v>
      </c>
    </row>
    <row r="1150" spans="1:36" x14ac:dyDescent="0.2">
      <c r="A1150" t="s">
        <v>51</v>
      </c>
      <c r="B1150" t="s">
        <v>6</v>
      </c>
      <c r="C1150">
        <v>4564</v>
      </c>
      <c r="D1150" t="s">
        <v>22</v>
      </c>
      <c r="E1150" t="s">
        <v>8</v>
      </c>
      <c r="F1150" t="s">
        <v>29</v>
      </c>
      <c r="K1150">
        <v>1</v>
      </c>
      <c r="Z1150">
        <v>1</v>
      </c>
      <c r="AJ1150">
        <f>SUM(Post[[#This Row],[47]:[75]])</f>
        <v>2</v>
      </c>
    </row>
    <row r="1151" spans="1:36" x14ac:dyDescent="0.2">
      <c r="A1151" t="s">
        <v>51</v>
      </c>
      <c r="B1151" t="s">
        <v>6</v>
      </c>
      <c r="C1151">
        <v>5232</v>
      </c>
      <c r="D1151" t="s">
        <v>22</v>
      </c>
      <c r="E1151" t="s">
        <v>14</v>
      </c>
      <c r="F1151" t="s">
        <v>35</v>
      </c>
      <c r="Q1151">
        <v>2</v>
      </c>
      <c r="AE1151">
        <v>1</v>
      </c>
      <c r="AJ1151">
        <f>SUM(Post[[#This Row],[47]:[75]])</f>
        <v>3</v>
      </c>
    </row>
    <row r="1152" spans="1:36" x14ac:dyDescent="0.2">
      <c r="A1152" t="s">
        <v>51</v>
      </c>
      <c r="B1152" t="s">
        <v>6</v>
      </c>
      <c r="C1152">
        <v>6098</v>
      </c>
      <c r="D1152" t="s">
        <v>22</v>
      </c>
      <c r="E1152" t="s">
        <v>8</v>
      </c>
      <c r="F1152" t="s">
        <v>29</v>
      </c>
      <c r="O1152">
        <v>1</v>
      </c>
      <c r="AC1152">
        <v>1</v>
      </c>
      <c r="AJ1152">
        <f>SUM(Post[[#This Row],[47]:[75]])</f>
        <v>2</v>
      </c>
    </row>
    <row r="1153" spans="1:36" x14ac:dyDescent="0.2">
      <c r="A1153" t="s">
        <v>51</v>
      </c>
      <c r="B1153" t="s">
        <v>6</v>
      </c>
      <c r="C1153">
        <v>6098</v>
      </c>
      <c r="D1153" t="s">
        <v>22</v>
      </c>
      <c r="E1153" t="s">
        <v>14</v>
      </c>
      <c r="F1153" t="s">
        <v>20</v>
      </c>
      <c r="V1153">
        <v>1</v>
      </c>
      <c r="AC1153">
        <v>1</v>
      </c>
      <c r="AJ1153">
        <f>SUM(Post[[#This Row],[47]:[75]])</f>
        <v>2</v>
      </c>
    </row>
    <row r="1154" spans="1:36" x14ac:dyDescent="0.2">
      <c r="A1154" t="s">
        <v>51</v>
      </c>
      <c r="B1154" t="s">
        <v>6</v>
      </c>
      <c r="C1154">
        <v>6159</v>
      </c>
      <c r="D1154" t="s">
        <v>22</v>
      </c>
      <c r="E1154" t="s">
        <v>14</v>
      </c>
      <c r="F1154" t="s">
        <v>20</v>
      </c>
      <c r="AJ1154">
        <f>SUM(Post[[#This Row],[47]:[75]])</f>
        <v>0</v>
      </c>
    </row>
    <row r="1155" spans="1:36" x14ac:dyDescent="0.2">
      <c r="A1155" t="s">
        <v>51</v>
      </c>
      <c r="B1155" t="s">
        <v>6</v>
      </c>
      <c r="C1155">
        <v>6160</v>
      </c>
      <c r="D1155" t="s">
        <v>22</v>
      </c>
      <c r="E1155" t="s">
        <v>8</v>
      </c>
      <c r="F1155" t="s">
        <v>9</v>
      </c>
      <c r="AC1155">
        <v>1</v>
      </c>
      <c r="AJ1155">
        <f>SUM(Post[[#This Row],[47]:[75]])</f>
        <v>1</v>
      </c>
    </row>
    <row r="1156" spans="1:36" x14ac:dyDescent="0.2">
      <c r="A1156" t="s">
        <v>51</v>
      </c>
      <c r="B1156" t="s">
        <v>6</v>
      </c>
      <c r="C1156">
        <v>6230</v>
      </c>
      <c r="D1156" t="s">
        <v>22</v>
      </c>
      <c r="E1156" t="s">
        <v>14</v>
      </c>
      <c r="F1156" t="s">
        <v>20</v>
      </c>
      <c r="AH1156">
        <v>1</v>
      </c>
      <c r="AJ1156">
        <f>SUM(Post[[#This Row],[47]:[75]])</f>
        <v>1</v>
      </c>
    </row>
    <row r="1157" spans="1:36" x14ac:dyDescent="0.2">
      <c r="A1157" t="s">
        <v>51</v>
      </c>
      <c r="B1157" t="s">
        <v>6</v>
      </c>
      <c r="C1157">
        <v>6399</v>
      </c>
      <c r="D1157" t="s">
        <v>22</v>
      </c>
      <c r="E1157" t="s">
        <v>14</v>
      </c>
      <c r="F1157" t="s">
        <v>31</v>
      </c>
      <c r="G1157">
        <v>2</v>
      </c>
      <c r="V1157">
        <v>1</v>
      </c>
      <c r="AJ1157">
        <f>SUM(Post[[#This Row],[47]:[75]])</f>
        <v>3</v>
      </c>
    </row>
    <row r="1158" spans="1:36" x14ac:dyDescent="0.2">
      <c r="A1158" t="s">
        <v>51</v>
      </c>
      <c r="B1158" t="s">
        <v>6</v>
      </c>
      <c r="C1158">
        <v>6514</v>
      </c>
      <c r="D1158" t="s">
        <v>22</v>
      </c>
      <c r="E1158" t="s">
        <v>10</v>
      </c>
      <c r="F1158" t="s">
        <v>11</v>
      </c>
      <c r="R1158">
        <v>1</v>
      </c>
      <c r="AE1158">
        <v>1</v>
      </c>
      <c r="AJ1158">
        <f>SUM(Post[[#This Row],[47]:[75]])</f>
        <v>2</v>
      </c>
    </row>
    <row r="1159" spans="1:36" x14ac:dyDescent="0.2">
      <c r="A1159" t="s">
        <v>51</v>
      </c>
      <c r="B1159" t="s">
        <v>6</v>
      </c>
      <c r="C1159">
        <v>6643</v>
      </c>
      <c r="D1159" t="s">
        <v>22</v>
      </c>
      <c r="E1159" t="s">
        <v>8</v>
      </c>
      <c r="F1159" t="s">
        <v>23</v>
      </c>
      <c r="AC1159">
        <v>1</v>
      </c>
      <c r="AJ1159">
        <f>SUM(Post[[#This Row],[47]:[75]])</f>
        <v>1</v>
      </c>
    </row>
    <row r="1160" spans="1:36" x14ac:dyDescent="0.2">
      <c r="A1160" t="s">
        <v>51</v>
      </c>
      <c r="B1160" t="s">
        <v>6</v>
      </c>
      <c r="C1160">
        <v>7344</v>
      </c>
      <c r="D1160" t="s">
        <v>22</v>
      </c>
      <c r="E1160" t="s">
        <v>14</v>
      </c>
      <c r="F1160" t="s">
        <v>20</v>
      </c>
      <c r="G1160">
        <v>1</v>
      </c>
      <c r="W1160">
        <v>1</v>
      </c>
      <c r="AJ1160">
        <f>SUM(Post[[#This Row],[47]:[75]])</f>
        <v>2</v>
      </c>
    </row>
    <row r="1161" spans="1:36" x14ac:dyDescent="0.2">
      <c r="A1161" t="s">
        <v>51</v>
      </c>
      <c r="B1161" t="s">
        <v>6</v>
      </c>
      <c r="C1161">
        <v>7655</v>
      </c>
      <c r="D1161" t="s">
        <v>22</v>
      </c>
      <c r="E1161" t="s">
        <v>37</v>
      </c>
      <c r="F1161" t="s">
        <v>39</v>
      </c>
      <c r="P1161">
        <v>1</v>
      </c>
      <c r="AD1161">
        <v>1</v>
      </c>
      <c r="AJ1161">
        <f>SUM(Post[[#This Row],[47]:[75]])</f>
        <v>2</v>
      </c>
    </row>
    <row r="1162" spans="1:36" x14ac:dyDescent="0.2">
      <c r="A1162" t="s">
        <v>51</v>
      </c>
      <c r="B1162" t="s">
        <v>6</v>
      </c>
      <c r="C1162">
        <v>7751</v>
      </c>
      <c r="D1162" t="s">
        <v>22</v>
      </c>
      <c r="E1162" t="s">
        <v>14</v>
      </c>
      <c r="F1162" t="s">
        <v>28</v>
      </c>
      <c r="J1162">
        <v>1</v>
      </c>
      <c r="W1162">
        <v>1</v>
      </c>
      <c r="AJ1162">
        <f>SUM(Post[[#This Row],[47]:[75]])</f>
        <v>2</v>
      </c>
    </row>
    <row r="1163" spans="1:36" x14ac:dyDescent="0.2">
      <c r="A1163" t="s">
        <v>51</v>
      </c>
      <c r="B1163" t="s">
        <v>6</v>
      </c>
      <c r="C1163">
        <v>7909</v>
      </c>
      <c r="D1163" t="s">
        <v>22</v>
      </c>
      <c r="E1163" t="s">
        <v>8</v>
      </c>
      <c r="F1163" t="s">
        <v>23</v>
      </c>
      <c r="I1163">
        <v>1</v>
      </c>
      <c r="P1163">
        <v>1</v>
      </c>
      <c r="T1163">
        <v>1</v>
      </c>
      <c r="X1163">
        <v>1</v>
      </c>
      <c r="AC1163">
        <v>1</v>
      </c>
      <c r="AG1163">
        <v>1</v>
      </c>
      <c r="AJ1163">
        <f>SUM(Post[[#This Row],[47]:[75]])</f>
        <v>6</v>
      </c>
    </row>
    <row r="1164" spans="1:36" x14ac:dyDescent="0.2">
      <c r="A1164" t="s">
        <v>51</v>
      </c>
      <c r="B1164" t="s">
        <v>6</v>
      </c>
      <c r="C1164">
        <v>8087</v>
      </c>
      <c r="D1164" t="s">
        <v>22</v>
      </c>
      <c r="E1164" t="s">
        <v>8</v>
      </c>
      <c r="F1164" t="s">
        <v>23</v>
      </c>
      <c r="AB1164">
        <v>1</v>
      </c>
      <c r="AJ1164">
        <f>SUM(Post[[#This Row],[47]:[75]])</f>
        <v>1</v>
      </c>
    </row>
    <row r="1165" spans="1:36" x14ac:dyDescent="0.2">
      <c r="A1165" t="s">
        <v>51</v>
      </c>
      <c r="B1165" t="s">
        <v>6</v>
      </c>
      <c r="C1165">
        <v>8409</v>
      </c>
      <c r="D1165" t="s">
        <v>22</v>
      </c>
      <c r="E1165" t="s">
        <v>14</v>
      </c>
      <c r="F1165" t="s">
        <v>20</v>
      </c>
      <c r="L1165">
        <v>1</v>
      </c>
      <c r="AJ1165">
        <f>SUM(Post[[#This Row],[47]:[75]])</f>
        <v>1</v>
      </c>
    </row>
    <row r="1166" spans="1:36" x14ac:dyDescent="0.2">
      <c r="A1166" t="s">
        <v>51</v>
      </c>
      <c r="B1166" t="s">
        <v>6</v>
      </c>
      <c r="C1166">
        <v>8653</v>
      </c>
      <c r="D1166" t="s">
        <v>22</v>
      </c>
      <c r="E1166" t="s">
        <v>8</v>
      </c>
      <c r="F1166" t="s">
        <v>23</v>
      </c>
      <c r="AJ1166">
        <f>SUM(Post[[#This Row],[47]:[75]])</f>
        <v>0</v>
      </c>
    </row>
    <row r="1167" spans="1:36" x14ac:dyDescent="0.2">
      <c r="A1167" t="s">
        <v>51</v>
      </c>
      <c r="B1167" t="s">
        <v>6</v>
      </c>
      <c r="C1167">
        <v>8653</v>
      </c>
      <c r="D1167" t="s">
        <v>22</v>
      </c>
      <c r="E1167" t="s">
        <v>8</v>
      </c>
      <c r="F1167" t="s">
        <v>9</v>
      </c>
      <c r="R1167">
        <v>1</v>
      </c>
      <c r="AE1167">
        <v>1</v>
      </c>
      <c r="AJ1167">
        <f>SUM(Post[[#This Row],[47]:[75]])</f>
        <v>2</v>
      </c>
    </row>
    <row r="1168" spans="1:36" x14ac:dyDescent="0.2">
      <c r="A1168" t="s">
        <v>51</v>
      </c>
      <c r="B1168" t="s">
        <v>6</v>
      </c>
      <c r="C1168">
        <v>9491</v>
      </c>
      <c r="D1168" t="s">
        <v>22</v>
      </c>
      <c r="E1168" t="s">
        <v>10</v>
      </c>
      <c r="F1168" t="s">
        <v>11</v>
      </c>
      <c r="AJ1168">
        <f>SUM(Post[[#This Row],[47]:[75]])</f>
        <v>0</v>
      </c>
    </row>
    <row r="1169" spans="1:36" x14ac:dyDescent="0.2">
      <c r="A1169" t="s">
        <v>51</v>
      </c>
      <c r="B1169" t="s">
        <v>6</v>
      </c>
      <c r="C1169">
        <v>9869</v>
      </c>
      <c r="D1169" t="s">
        <v>22</v>
      </c>
      <c r="E1169" t="s">
        <v>37</v>
      </c>
      <c r="F1169" t="s">
        <v>39</v>
      </c>
      <c r="Q1169">
        <v>1</v>
      </c>
      <c r="AI1169">
        <v>1</v>
      </c>
      <c r="AJ1169">
        <f>SUM(Post[[#This Row],[47]:[75]])</f>
        <v>2</v>
      </c>
    </row>
    <row r="1170" spans="1:36" x14ac:dyDescent="0.2">
      <c r="A1170" t="s">
        <v>51</v>
      </c>
      <c r="B1170" t="s">
        <v>6</v>
      </c>
      <c r="C1170">
        <v>9869</v>
      </c>
      <c r="D1170" t="s">
        <v>22</v>
      </c>
      <c r="E1170" t="s">
        <v>14</v>
      </c>
      <c r="F1170" t="s">
        <v>35</v>
      </c>
      <c r="AJ1170">
        <f>SUM(Post[[#This Row],[47]:[75]])</f>
        <v>0</v>
      </c>
    </row>
    <row r="1171" spans="1:36" x14ac:dyDescent="0.2">
      <c r="A1171" t="s">
        <v>51</v>
      </c>
      <c r="B1171" t="s">
        <v>6</v>
      </c>
      <c r="C1171">
        <v>11081</v>
      </c>
      <c r="D1171" t="s">
        <v>22</v>
      </c>
      <c r="E1171" t="s">
        <v>10</v>
      </c>
      <c r="F1171" t="s">
        <v>11</v>
      </c>
      <c r="I1171">
        <v>1</v>
      </c>
      <c r="L1171">
        <v>1</v>
      </c>
      <c r="Q1171">
        <v>1</v>
      </c>
      <c r="U1171">
        <v>1</v>
      </c>
      <c r="Z1171">
        <v>1</v>
      </c>
      <c r="AD1171">
        <v>1</v>
      </c>
      <c r="AH1171">
        <v>1</v>
      </c>
      <c r="AJ1171">
        <f>SUM(Post[[#This Row],[47]:[75]])</f>
        <v>7</v>
      </c>
    </row>
    <row r="1172" spans="1:36" x14ac:dyDescent="0.2">
      <c r="A1172" t="s">
        <v>51</v>
      </c>
      <c r="B1172" t="s">
        <v>6</v>
      </c>
      <c r="C1172">
        <v>11117</v>
      </c>
      <c r="D1172" t="s">
        <v>22</v>
      </c>
      <c r="E1172" t="s">
        <v>14</v>
      </c>
      <c r="F1172" t="s">
        <v>20</v>
      </c>
      <c r="I1172">
        <v>1</v>
      </c>
      <c r="O1172">
        <v>1</v>
      </c>
      <c r="S1172">
        <v>1</v>
      </c>
      <c r="W1172">
        <v>1</v>
      </c>
      <c r="AA1172">
        <v>1</v>
      </c>
      <c r="AD1172">
        <v>1</v>
      </c>
      <c r="AH1172">
        <v>1</v>
      </c>
      <c r="AJ1172">
        <f>SUM(Post[[#This Row],[47]:[75]])</f>
        <v>7</v>
      </c>
    </row>
    <row r="1173" spans="1:36" x14ac:dyDescent="0.2">
      <c r="A1173" t="s">
        <v>51</v>
      </c>
      <c r="B1173" t="s">
        <v>6</v>
      </c>
      <c r="C1173">
        <v>12632</v>
      </c>
      <c r="D1173" t="s">
        <v>22</v>
      </c>
      <c r="E1173" t="s">
        <v>14</v>
      </c>
      <c r="F1173" t="s">
        <v>35</v>
      </c>
      <c r="O1173">
        <v>1</v>
      </c>
      <c r="AE1173">
        <v>1</v>
      </c>
      <c r="AJ1173">
        <f>SUM(Post[[#This Row],[47]:[75]])</f>
        <v>2</v>
      </c>
    </row>
    <row r="1174" spans="1:36" x14ac:dyDescent="0.2">
      <c r="A1174" t="s">
        <v>51</v>
      </c>
      <c r="B1174" t="s">
        <v>6</v>
      </c>
      <c r="C1174">
        <v>13565</v>
      </c>
      <c r="D1174" t="s">
        <v>22</v>
      </c>
      <c r="E1174" t="s">
        <v>10</v>
      </c>
      <c r="F1174" t="s">
        <v>11</v>
      </c>
      <c r="S1174">
        <v>1</v>
      </c>
      <c r="AH1174">
        <v>2</v>
      </c>
      <c r="AJ1174">
        <f>SUM(Post[[#This Row],[47]:[75]])</f>
        <v>3</v>
      </c>
    </row>
    <row r="1175" spans="1:36" x14ac:dyDescent="0.2">
      <c r="A1175" t="s">
        <v>51</v>
      </c>
      <c r="B1175" t="s">
        <v>6</v>
      </c>
      <c r="C1175">
        <v>14316</v>
      </c>
      <c r="D1175" t="s">
        <v>22</v>
      </c>
      <c r="E1175" t="s">
        <v>14</v>
      </c>
      <c r="F1175" t="s">
        <v>21</v>
      </c>
      <c r="T1175">
        <v>1</v>
      </c>
      <c r="AJ1175">
        <f>SUM(Post[[#This Row],[47]:[75]])</f>
        <v>1</v>
      </c>
    </row>
    <row r="1176" spans="1:36" x14ac:dyDescent="0.2">
      <c r="A1176" t="s">
        <v>51</v>
      </c>
      <c r="B1176" t="s">
        <v>6</v>
      </c>
      <c r="C1176">
        <v>16909</v>
      </c>
      <c r="D1176" t="s">
        <v>22</v>
      </c>
      <c r="E1176" t="s">
        <v>10</v>
      </c>
      <c r="F1176" t="s">
        <v>11</v>
      </c>
      <c r="Y1176">
        <v>1</v>
      </c>
      <c r="AJ1176">
        <f>SUM(Post[[#This Row],[47]:[75]])</f>
        <v>1</v>
      </c>
    </row>
    <row r="1177" spans="1:36" x14ac:dyDescent="0.2">
      <c r="A1177" t="s">
        <v>51</v>
      </c>
      <c r="B1177" t="s">
        <v>6</v>
      </c>
      <c r="C1177">
        <v>17209</v>
      </c>
      <c r="D1177" t="s">
        <v>22</v>
      </c>
      <c r="E1177" t="s">
        <v>14</v>
      </c>
      <c r="F1177" t="s">
        <v>21</v>
      </c>
      <c r="T1177">
        <v>1</v>
      </c>
      <c r="AG1177">
        <v>1</v>
      </c>
      <c r="AJ1177">
        <f>SUM(Post[[#This Row],[47]:[75]])</f>
        <v>2</v>
      </c>
    </row>
    <row r="1178" spans="1:36" x14ac:dyDescent="0.2">
      <c r="A1178" t="s">
        <v>51</v>
      </c>
      <c r="B1178" t="s">
        <v>6</v>
      </c>
      <c r="C1178">
        <v>17400</v>
      </c>
      <c r="D1178" t="s">
        <v>22</v>
      </c>
      <c r="E1178" t="s">
        <v>37</v>
      </c>
      <c r="F1178" t="s">
        <v>39</v>
      </c>
      <c r="H1178">
        <v>1</v>
      </c>
      <c r="K1178">
        <v>1</v>
      </c>
      <c r="Q1178">
        <v>2</v>
      </c>
      <c r="V1178">
        <v>1</v>
      </c>
      <c r="Z1178">
        <v>1</v>
      </c>
      <c r="AA1178">
        <v>1</v>
      </c>
      <c r="AC1178">
        <v>1</v>
      </c>
      <c r="AJ1178">
        <f>SUM(Post[[#This Row],[47]:[75]])</f>
        <v>8</v>
      </c>
    </row>
    <row r="1179" spans="1:36" x14ac:dyDescent="0.2">
      <c r="A1179" t="s">
        <v>51</v>
      </c>
      <c r="B1179" t="s">
        <v>6</v>
      </c>
      <c r="C1179">
        <v>18165</v>
      </c>
      <c r="D1179" t="s">
        <v>22</v>
      </c>
      <c r="E1179" t="s">
        <v>10</v>
      </c>
      <c r="F1179" t="s">
        <v>11</v>
      </c>
      <c r="AE1179">
        <v>1</v>
      </c>
      <c r="AJ1179">
        <f>SUM(Post[[#This Row],[47]:[75]])</f>
        <v>1</v>
      </c>
    </row>
    <row r="1180" spans="1:36" x14ac:dyDescent="0.2">
      <c r="A1180" t="s">
        <v>51</v>
      </c>
      <c r="B1180" t="s">
        <v>6</v>
      </c>
      <c r="C1180">
        <v>18165</v>
      </c>
      <c r="D1180" t="s">
        <v>22</v>
      </c>
      <c r="E1180" t="s">
        <v>14</v>
      </c>
      <c r="F1180" t="s">
        <v>20</v>
      </c>
      <c r="I1180">
        <v>1</v>
      </c>
      <c r="P1180">
        <v>1</v>
      </c>
      <c r="S1180">
        <v>1</v>
      </c>
      <c r="W1180">
        <v>1</v>
      </c>
      <c r="AC1180">
        <v>1</v>
      </c>
      <c r="AJ1180">
        <f>SUM(Post[[#This Row],[47]:[75]])</f>
        <v>5</v>
      </c>
    </row>
    <row r="1181" spans="1:36" x14ac:dyDescent="0.2">
      <c r="A1181" t="s">
        <v>51</v>
      </c>
      <c r="B1181" t="s">
        <v>6</v>
      </c>
      <c r="C1181">
        <v>18430</v>
      </c>
      <c r="D1181" t="s">
        <v>22</v>
      </c>
      <c r="E1181" t="s">
        <v>8</v>
      </c>
      <c r="F1181" t="s">
        <v>29</v>
      </c>
      <c r="Q1181">
        <v>1</v>
      </c>
      <c r="AD1181">
        <v>1</v>
      </c>
      <c r="AJ1181">
        <f>SUM(Post[[#This Row],[47]:[75]])</f>
        <v>2</v>
      </c>
    </row>
    <row r="1182" spans="1:36" x14ac:dyDescent="0.2">
      <c r="A1182" t="s">
        <v>51</v>
      </c>
      <c r="B1182" t="s">
        <v>6</v>
      </c>
      <c r="C1182">
        <v>20521</v>
      </c>
      <c r="D1182" t="s">
        <v>22</v>
      </c>
      <c r="E1182" t="s">
        <v>14</v>
      </c>
      <c r="F1182" t="s">
        <v>35</v>
      </c>
      <c r="N1182">
        <v>1</v>
      </c>
      <c r="Y1182">
        <v>1</v>
      </c>
      <c r="AD1182">
        <v>4</v>
      </c>
      <c r="AJ1182">
        <f>SUM(Post[[#This Row],[47]:[75]])</f>
        <v>6</v>
      </c>
    </row>
    <row r="1183" spans="1:36" x14ac:dyDescent="0.2">
      <c r="A1183" t="s">
        <v>51</v>
      </c>
      <c r="B1183" t="s">
        <v>6</v>
      </c>
      <c r="C1183">
        <v>27184</v>
      </c>
      <c r="D1183" t="s">
        <v>22</v>
      </c>
      <c r="E1183" t="s">
        <v>37</v>
      </c>
      <c r="F1183" t="s">
        <v>39</v>
      </c>
      <c r="K1183">
        <v>1</v>
      </c>
      <c r="AE1183">
        <v>2</v>
      </c>
      <c r="AJ1183">
        <f>SUM(Post[[#This Row],[47]:[75]])</f>
        <v>3</v>
      </c>
    </row>
    <row r="1184" spans="1:36" x14ac:dyDescent="0.2">
      <c r="A1184" t="s">
        <v>51</v>
      </c>
      <c r="B1184" t="s">
        <v>6</v>
      </c>
      <c r="C1184">
        <v>27184</v>
      </c>
      <c r="D1184" t="s">
        <v>22</v>
      </c>
      <c r="E1184" t="s">
        <v>14</v>
      </c>
      <c r="F1184" t="s">
        <v>20</v>
      </c>
      <c r="K1184">
        <v>1</v>
      </c>
      <c r="AE1184">
        <v>1</v>
      </c>
      <c r="AJ1184">
        <f>SUM(Post[[#This Row],[47]:[75]])</f>
        <v>2</v>
      </c>
    </row>
    <row r="1185" spans="1:36" x14ac:dyDescent="0.2">
      <c r="A1185" t="s">
        <v>51</v>
      </c>
      <c r="B1185" t="s">
        <v>6</v>
      </c>
      <c r="C1185">
        <v>27987</v>
      </c>
      <c r="D1185" t="s">
        <v>22</v>
      </c>
      <c r="E1185" t="s">
        <v>14</v>
      </c>
      <c r="F1185" t="s">
        <v>19</v>
      </c>
      <c r="AJ1185">
        <f>SUM(Post[[#This Row],[47]:[75]])</f>
        <v>0</v>
      </c>
    </row>
    <row r="1186" spans="1:36" x14ac:dyDescent="0.2">
      <c r="A1186" t="s">
        <v>51</v>
      </c>
      <c r="B1186" t="s">
        <v>6</v>
      </c>
      <c r="C1186">
        <v>205</v>
      </c>
      <c r="D1186" t="s">
        <v>7</v>
      </c>
      <c r="E1186" t="s">
        <v>14</v>
      </c>
      <c r="F1186" t="s">
        <v>20</v>
      </c>
      <c r="H1186">
        <v>1</v>
      </c>
      <c r="U1186">
        <v>3</v>
      </c>
      <c r="AJ1186">
        <f>SUM(Post[[#This Row],[47]:[75]])</f>
        <v>4</v>
      </c>
    </row>
    <row r="1187" spans="1:36" x14ac:dyDescent="0.2">
      <c r="A1187" t="s">
        <v>51</v>
      </c>
      <c r="B1187" t="s">
        <v>6</v>
      </c>
      <c r="C1187">
        <v>4076</v>
      </c>
      <c r="D1187" t="s">
        <v>7</v>
      </c>
      <c r="E1187" t="s">
        <v>10</v>
      </c>
      <c r="F1187" t="s">
        <v>11</v>
      </c>
      <c r="J1187">
        <v>1</v>
      </c>
      <c r="AJ1187">
        <f>SUM(Post[[#This Row],[47]:[75]])</f>
        <v>1</v>
      </c>
    </row>
    <row r="1188" spans="1:36" x14ac:dyDescent="0.2">
      <c r="A1188" t="s">
        <v>51</v>
      </c>
      <c r="B1188" t="s">
        <v>6</v>
      </c>
      <c r="C1188">
        <v>4076</v>
      </c>
      <c r="D1188" t="s">
        <v>7</v>
      </c>
      <c r="E1188" t="s">
        <v>12</v>
      </c>
      <c r="F1188" t="s">
        <v>13</v>
      </c>
      <c r="Q1188">
        <v>2</v>
      </c>
      <c r="AF1188">
        <v>1</v>
      </c>
      <c r="AJ1188">
        <f>SUM(Post[[#This Row],[47]:[75]])</f>
        <v>3</v>
      </c>
    </row>
    <row r="1189" spans="1:36" x14ac:dyDescent="0.2">
      <c r="A1189" t="s">
        <v>51</v>
      </c>
      <c r="B1189" t="s">
        <v>6</v>
      </c>
      <c r="C1189">
        <v>5233</v>
      </c>
      <c r="D1189" t="s">
        <v>7</v>
      </c>
      <c r="E1189" t="s">
        <v>10</v>
      </c>
      <c r="F1189" t="s">
        <v>11</v>
      </c>
      <c r="Z1189">
        <v>1</v>
      </c>
      <c r="AJ1189">
        <f>SUM(Post[[#This Row],[47]:[75]])</f>
        <v>1</v>
      </c>
    </row>
    <row r="1190" spans="1:36" x14ac:dyDescent="0.2">
      <c r="A1190" t="s">
        <v>51</v>
      </c>
      <c r="B1190" t="s">
        <v>6</v>
      </c>
      <c r="C1190">
        <v>5233</v>
      </c>
      <c r="D1190" t="s">
        <v>7</v>
      </c>
      <c r="E1190" t="s">
        <v>14</v>
      </c>
      <c r="F1190" t="s">
        <v>20</v>
      </c>
      <c r="J1190">
        <v>1</v>
      </c>
      <c r="AJ1190">
        <f>SUM(Post[[#This Row],[47]:[75]])</f>
        <v>1</v>
      </c>
    </row>
    <row r="1191" spans="1:36" x14ac:dyDescent="0.2">
      <c r="A1191" t="s">
        <v>51</v>
      </c>
      <c r="B1191" t="s">
        <v>6</v>
      </c>
      <c r="C1191">
        <v>5270</v>
      </c>
      <c r="D1191" t="s">
        <v>7</v>
      </c>
      <c r="E1191" t="s">
        <v>10</v>
      </c>
      <c r="F1191" t="s">
        <v>11</v>
      </c>
      <c r="K1191">
        <v>1</v>
      </c>
      <c r="AE1191">
        <v>1</v>
      </c>
      <c r="AJ1191">
        <f>SUM(Post[[#This Row],[47]:[75]])</f>
        <v>2</v>
      </c>
    </row>
    <row r="1192" spans="1:36" x14ac:dyDescent="0.2">
      <c r="A1192" t="s">
        <v>51</v>
      </c>
      <c r="B1192" t="s">
        <v>6</v>
      </c>
      <c r="C1192">
        <v>5270</v>
      </c>
      <c r="D1192" t="s">
        <v>7</v>
      </c>
      <c r="E1192" t="s">
        <v>32</v>
      </c>
      <c r="F1192" t="s">
        <v>33</v>
      </c>
      <c r="Q1192">
        <v>1</v>
      </c>
      <c r="T1192">
        <v>1</v>
      </c>
      <c r="AJ1192">
        <f>SUM(Post[[#This Row],[47]:[75]])</f>
        <v>2</v>
      </c>
    </row>
    <row r="1193" spans="1:36" x14ac:dyDescent="0.2">
      <c r="A1193" t="s">
        <v>51</v>
      </c>
      <c r="B1193" t="s">
        <v>6</v>
      </c>
      <c r="C1193">
        <v>5295</v>
      </c>
      <c r="D1193" t="s">
        <v>7</v>
      </c>
      <c r="E1193" t="s">
        <v>14</v>
      </c>
      <c r="F1193" t="s">
        <v>31</v>
      </c>
      <c r="K1193">
        <v>1</v>
      </c>
      <c r="AA1193">
        <v>1</v>
      </c>
      <c r="AJ1193">
        <f>SUM(Post[[#This Row],[47]:[75]])</f>
        <v>2</v>
      </c>
    </row>
    <row r="1194" spans="1:36" x14ac:dyDescent="0.2">
      <c r="A1194" t="s">
        <v>51</v>
      </c>
      <c r="B1194" t="s">
        <v>6</v>
      </c>
      <c r="C1194">
        <v>5295</v>
      </c>
      <c r="D1194" t="s">
        <v>7</v>
      </c>
      <c r="E1194" t="s">
        <v>14</v>
      </c>
      <c r="F1194" t="s">
        <v>28</v>
      </c>
      <c r="J1194">
        <v>1</v>
      </c>
      <c r="AJ1194">
        <f>SUM(Post[[#This Row],[47]:[75]])</f>
        <v>1</v>
      </c>
    </row>
    <row r="1195" spans="1:36" x14ac:dyDescent="0.2">
      <c r="A1195" t="s">
        <v>51</v>
      </c>
      <c r="B1195" t="s">
        <v>6</v>
      </c>
      <c r="C1195">
        <v>7345</v>
      </c>
      <c r="D1195" t="s">
        <v>7</v>
      </c>
      <c r="E1195" t="s">
        <v>10</v>
      </c>
      <c r="F1195" t="s">
        <v>11</v>
      </c>
      <c r="AJ1195">
        <f>SUM(Post[[#This Row],[47]:[75]])</f>
        <v>0</v>
      </c>
    </row>
    <row r="1196" spans="1:36" x14ac:dyDescent="0.2">
      <c r="A1196" t="s">
        <v>51</v>
      </c>
      <c r="B1196" t="s">
        <v>6</v>
      </c>
      <c r="C1196">
        <v>7345</v>
      </c>
      <c r="D1196" t="s">
        <v>7</v>
      </c>
      <c r="E1196" t="s">
        <v>14</v>
      </c>
      <c r="F1196" t="s">
        <v>20</v>
      </c>
      <c r="AJ1196">
        <f>SUM(Post[[#This Row],[47]:[75]])</f>
        <v>0</v>
      </c>
    </row>
    <row r="1197" spans="1:36" x14ac:dyDescent="0.2">
      <c r="A1197" t="s">
        <v>51</v>
      </c>
      <c r="B1197" t="s">
        <v>6</v>
      </c>
      <c r="C1197">
        <v>7379</v>
      </c>
      <c r="D1197" t="s">
        <v>7</v>
      </c>
      <c r="E1197" t="s">
        <v>10</v>
      </c>
      <c r="F1197" t="s">
        <v>11</v>
      </c>
      <c r="R1197">
        <v>1</v>
      </c>
      <c r="AD1197">
        <v>1</v>
      </c>
      <c r="AJ1197">
        <f>SUM(Post[[#This Row],[47]:[75]])</f>
        <v>2</v>
      </c>
    </row>
    <row r="1198" spans="1:36" x14ac:dyDescent="0.2">
      <c r="A1198" t="s">
        <v>51</v>
      </c>
      <c r="B1198" t="s">
        <v>6</v>
      </c>
      <c r="C1198">
        <v>8737</v>
      </c>
      <c r="D1198" t="s">
        <v>7</v>
      </c>
      <c r="E1198" t="s">
        <v>14</v>
      </c>
      <c r="F1198" t="s">
        <v>20</v>
      </c>
      <c r="O1198">
        <v>1</v>
      </c>
      <c r="Z1198">
        <v>1</v>
      </c>
      <c r="AJ1198">
        <f>SUM(Post[[#This Row],[47]:[75]])</f>
        <v>2</v>
      </c>
    </row>
    <row r="1199" spans="1:36" x14ac:dyDescent="0.2">
      <c r="A1199" t="s">
        <v>51</v>
      </c>
      <c r="B1199" t="s">
        <v>6</v>
      </c>
      <c r="C1199">
        <v>8804</v>
      </c>
      <c r="D1199" t="s">
        <v>7</v>
      </c>
      <c r="E1199" t="s">
        <v>14</v>
      </c>
      <c r="F1199" t="s">
        <v>20</v>
      </c>
      <c r="S1199">
        <v>1</v>
      </c>
      <c r="AG1199">
        <v>1</v>
      </c>
      <c r="AJ1199">
        <f>SUM(Post[[#This Row],[47]:[75]])</f>
        <v>2</v>
      </c>
    </row>
    <row r="1200" spans="1:36" x14ac:dyDescent="0.2">
      <c r="A1200" t="s">
        <v>51</v>
      </c>
      <c r="B1200" t="s">
        <v>6</v>
      </c>
      <c r="C1200">
        <v>8836</v>
      </c>
      <c r="D1200" t="s">
        <v>7</v>
      </c>
      <c r="E1200" t="s">
        <v>17</v>
      </c>
      <c r="F1200" t="s">
        <v>18</v>
      </c>
      <c r="H1200">
        <v>1</v>
      </c>
      <c r="L1200">
        <v>1</v>
      </c>
      <c r="Q1200">
        <v>1</v>
      </c>
      <c r="U1200">
        <v>1</v>
      </c>
      <c r="Y1200">
        <v>1</v>
      </c>
      <c r="AC1200">
        <v>1</v>
      </c>
      <c r="AG1200">
        <v>1</v>
      </c>
      <c r="AJ1200">
        <f>SUM(Post[[#This Row],[47]:[75]])</f>
        <v>7</v>
      </c>
    </row>
    <row r="1201" spans="1:36" x14ac:dyDescent="0.2">
      <c r="A1201" t="s">
        <v>51</v>
      </c>
      <c r="B1201" t="s">
        <v>6</v>
      </c>
      <c r="C1201">
        <v>8836</v>
      </c>
      <c r="D1201" t="s">
        <v>7</v>
      </c>
      <c r="E1201" t="s">
        <v>14</v>
      </c>
      <c r="F1201" t="s">
        <v>35</v>
      </c>
      <c r="H1201">
        <v>2</v>
      </c>
      <c r="L1201">
        <v>2</v>
      </c>
      <c r="Q1201">
        <v>1</v>
      </c>
      <c r="U1201">
        <v>1</v>
      </c>
      <c r="Y1201">
        <v>2</v>
      </c>
      <c r="AC1201">
        <v>1</v>
      </c>
      <c r="AG1201">
        <v>1</v>
      </c>
      <c r="AJ1201">
        <f>SUM(Post[[#This Row],[47]:[75]])</f>
        <v>10</v>
      </c>
    </row>
    <row r="1202" spans="1:36" x14ac:dyDescent="0.2">
      <c r="A1202" t="s">
        <v>51</v>
      </c>
      <c r="B1202" t="s">
        <v>6</v>
      </c>
      <c r="C1202">
        <v>11264</v>
      </c>
      <c r="D1202" t="s">
        <v>7</v>
      </c>
      <c r="E1202" t="s">
        <v>14</v>
      </c>
      <c r="F1202" t="s">
        <v>19</v>
      </c>
      <c r="AJ1202">
        <f>SUM(Post[[#This Row],[47]:[75]])</f>
        <v>0</v>
      </c>
    </row>
    <row r="1203" spans="1:36" x14ac:dyDescent="0.2">
      <c r="A1203" t="s">
        <v>51</v>
      </c>
      <c r="B1203" t="s">
        <v>6</v>
      </c>
      <c r="C1203">
        <v>5916</v>
      </c>
      <c r="D1203" t="s">
        <v>22</v>
      </c>
      <c r="E1203" t="s">
        <v>14</v>
      </c>
      <c r="F1203" t="s">
        <v>20</v>
      </c>
      <c r="Q1203">
        <v>2</v>
      </c>
      <c r="AC1203">
        <v>1</v>
      </c>
      <c r="AJ1203">
        <f>SUM(Post[[#This Row],[47]:[75]])</f>
        <v>3</v>
      </c>
    </row>
    <row r="1204" spans="1:36" x14ac:dyDescent="0.2">
      <c r="A1204" t="s">
        <v>51</v>
      </c>
      <c r="B1204" t="s">
        <v>6</v>
      </c>
      <c r="C1204">
        <v>7510</v>
      </c>
      <c r="D1204" t="s">
        <v>22</v>
      </c>
      <c r="E1204" t="s">
        <v>14</v>
      </c>
      <c r="F1204" t="s">
        <v>20</v>
      </c>
      <c r="J1204">
        <v>1</v>
      </c>
      <c r="O1204">
        <v>1</v>
      </c>
      <c r="S1204">
        <v>1</v>
      </c>
      <c r="W1204">
        <v>1</v>
      </c>
      <c r="AA1204">
        <v>1</v>
      </c>
      <c r="AE1204">
        <v>1</v>
      </c>
      <c r="AJ1204">
        <f>SUM(Post[[#This Row],[47]:[75]])</f>
        <v>6</v>
      </c>
    </row>
    <row r="1205" spans="1:36" x14ac:dyDescent="0.2">
      <c r="A1205" t="s">
        <v>51</v>
      </c>
      <c r="B1205" t="s">
        <v>6</v>
      </c>
      <c r="C1205">
        <v>21257</v>
      </c>
      <c r="D1205" t="s">
        <v>22</v>
      </c>
      <c r="E1205" t="s">
        <v>14</v>
      </c>
      <c r="F1205" t="s">
        <v>20</v>
      </c>
      <c r="J1205">
        <v>1</v>
      </c>
      <c r="V1205">
        <v>1</v>
      </c>
      <c r="AI1205">
        <v>1</v>
      </c>
      <c r="AJ1205">
        <f>SUM(Post[[#This Row],[47]:[75]])</f>
        <v>3</v>
      </c>
    </row>
    <row r="1206" spans="1:36" x14ac:dyDescent="0.2">
      <c r="A1206" t="s">
        <v>51</v>
      </c>
      <c r="B1206" t="s">
        <v>6</v>
      </c>
      <c r="C1206">
        <v>30286</v>
      </c>
      <c r="D1206" t="s">
        <v>22</v>
      </c>
      <c r="E1206" t="s">
        <v>14</v>
      </c>
      <c r="F1206" t="s">
        <v>20</v>
      </c>
      <c r="G1206">
        <v>1</v>
      </c>
      <c r="H1206">
        <v>1</v>
      </c>
      <c r="I1206">
        <v>1</v>
      </c>
      <c r="J1206">
        <v>1</v>
      </c>
      <c r="K1206">
        <v>2</v>
      </c>
      <c r="L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J1206">
        <f>SUM(Post[[#This Row],[47]:[75]])</f>
        <v>27</v>
      </c>
    </row>
    <row r="1207" spans="1:36" x14ac:dyDescent="0.2">
      <c r="A1207" t="s">
        <v>51</v>
      </c>
      <c r="B1207" t="s">
        <v>6</v>
      </c>
      <c r="C1207">
        <v>1242</v>
      </c>
      <c r="D1207" t="s">
        <v>7</v>
      </c>
      <c r="E1207" t="s">
        <v>10</v>
      </c>
      <c r="F1207" t="s">
        <v>11</v>
      </c>
      <c r="AJ1207">
        <f>SUM(Post[[#This Row],[47]:[75]])</f>
        <v>0</v>
      </c>
    </row>
    <row r="1208" spans="1:36" x14ac:dyDescent="0.2">
      <c r="A1208" t="s">
        <v>51</v>
      </c>
      <c r="B1208" t="s">
        <v>6</v>
      </c>
      <c r="C1208">
        <v>1242</v>
      </c>
      <c r="D1208" t="s">
        <v>7</v>
      </c>
      <c r="E1208" t="s">
        <v>32</v>
      </c>
      <c r="F1208" t="s">
        <v>33</v>
      </c>
      <c r="AJ1208">
        <f>SUM(Post[[#This Row],[47]:[75]])</f>
        <v>0</v>
      </c>
    </row>
    <row r="1209" spans="1:36" x14ac:dyDescent="0.2">
      <c r="A1209" t="s">
        <v>51</v>
      </c>
      <c r="B1209" t="s">
        <v>6</v>
      </c>
      <c r="C1209">
        <v>1242</v>
      </c>
      <c r="D1209" t="s">
        <v>7</v>
      </c>
      <c r="E1209" t="s">
        <v>14</v>
      </c>
      <c r="F1209" t="s">
        <v>20</v>
      </c>
      <c r="AJ1209">
        <f>SUM(Post[[#This Row],[47]:[75]])</f>
        <v>0</v>
      </c>
    </row>
    <row r="1210" spans="1:36" x14ac:dyDescent="0.2">
      <c r="A1210" t="s">
        <v>51</v>
      </c>
      <c r="B1210" t="s">
        <v>6</v>
      </c>
      <c r="C1210">
        <v>1922</v>
      </c>
      <c r="D1210" t="s">
        <v>7</v>
      </c>
      <c r="E1210" t="s">
        <v>14</v>
      </c>
      <c r="F1210" t="s">
        <v>20</v>
      </c>
      <c r="AJ1210">
        <f>SUM(Post[[#This Row],[47]:[75]])</f>
        <v>0</v>
      </c>
    </row>
    <row r="1211" spans="1:36" x14ac:dyDescent="0.2">
      <c r="A1211" t="s">
        <v>51</v>
      </c>
      <c r="B1211" t="s">
        <v>6</v>
      </c>
      <c r="C1211">
        <v>2511</v>
      </c>
      <c r="D1211" t="s">
        <v>7</v>
      </c>
      <c r="E1211" t="s">
        <v>10</v>
      </c>
      <c r="F1211" t="s">
        <v>11</v>
      </c>
      <c r="AJ1211">
        <f>SUM(Post[[#This Row],[47]:[75]])</f>
        <v>0</v>
      </c>
    </row>
    <row r="1212" spans="1:36" x14ac:dyDescent="0.2">
      <c r="A1212" t="s">
        <v>51</v>
      </c>
      <c r="B1212" t="s">
        <v>6</v>
      </c>
      <c r="C1212">
        <v>2511</v>
      </c>
      <c r="D1212" t="s">
        <v>7</v>
      </c>
      <c r="E1212" t="s">
        <v>14</v>
      </c>
      <c r="F1212" t="s">
        <v>15</v>
      </c>
      <c r="G1212">
        <v>1</v>
      </c>
      <c r="K1212">
        <v>1</v>
      </c>
      <c r="P1212">
        <v>1</v>
      </c>
      <c r="T1212">
        <v>1</v>
      </c>
      <c r="X1212">
        <v>1</v>
      </c>
      <c r="AJ1212">
        <f>SUM(Post[[#This Row],[47]:[75]])</f>
        <v>5</v>
      </c>
    </row>
    <row r="1213" spans="1:36" x14ac:dyDescent="0.2">
      <c r="A1213" t="s">
        <v>51</v>
      </c>
      <c r="B1213" t="s">
        <v>6</v>
      </c>
      <c r="C1213">
        <v>8317</v>
      </c>
      <c r="D1213" t="s">
        <v>7</v>
      </c>
      <c r="E1213" t="s">
        <v>14</v>
      </c>
      <c r="F1213" t="s">
        <v>28</v>
      </c>
      <c r="I1213">
        <v>1</v>
      </c>
      <c r="N1213">
        <v>1</v>
      </c>
      <c r="R1213">
        <v>1</v>
      </c>
      <c r="U1213">
        <v>1</v>
      </c>
      <c r="Y1213">
        <v>1</v>
      </c>
      <c r="AC1213">
        <v>1</v>
      </c>
      <c r="AG1213">
        <v>1</v>
      </c>
      <c r="AJ1213">
        <f>SUM(Post[[#This Row],[47]:[75]])</f>
        <v>7</v>
      </c>
    </row>
    <row r="1214" spans="1:36" x14ac:dyDescent="0.2">
      <c r="A1214" t="s">
        <v>51</v>
      </c>
      <c r="B1214" t="s">
        <v>6</v>
      </c>
      <c r="C1214">
        <v>33418</v>
      </c>
      <c r="D1214" t="s">
        <v>7</v>
      </c>
      <c r="E1214" t="s">
        <v>14</v>
      </c>
      <c r="F1214" t="s">
        <v>20</v>
      </c>
      <c r="AJ1214">
        <f>SUM(Post[[#This Row],[47]:[75]])</f>
        <v>0</v>
      </c>
    </row>
    <row r="1215" spans="1:36" x14ac:dyDescent="0.2">
      <c r="A1215" t="s">
        <v>51</v>
      </c>
      <c r="B1215" t="s">
        <v>6</v>
      </c>
      <c r="C1215">
        <v>1601</v>
      </c>
      <c r="D1215" t="s">
        <v>22</v>
      </c>
      <c r="E1215" t="s">
        <v>10</v>
      </c>
      <c r="F1215" t="s">
        <v>11</v>
      </c>
      <c r="AJ1215">
        <f>SUM(Post[[#This Row],[47]:[75]])</f>
        <v>0</v>
      </c>
    </row>
    <row r="1216" spans="1:36" x14ac:dyDescent="0.2">
      <c r="A1216" t="s">
        <v>51</v>
      </c>
      <c r="B1216" t="s">
        <v>6</v>
      </c>
      <c r="C1216">
        <v>226</v>
      </c>
      <c r="D1216" t="s">
        <v>7</v>
      </c>
      <c r="E1216" t="s">
        <v>14</v>
      </c>
      <c r="F1216" t="s">
        <v>35</v>
      </c>
      <c r="Q1216">
        <v>1</v>
      </c>
      <c r="AE1216">
        <v>1</v>
      </c>
      <c r="AJ1216">
        <f>SUM(Post[[#This Row],[47]:[75]])</f>
        <v>2</v>
      </c>
    </row>
    <row r="1217" spans="1:36" x14ac:dyDescent="0.2">
      <c r="A1217" t="s">
        <v>51</v>
      </c>
      <c r="B1217" t="s">
        <v>6</v>
      </c>
      <c r="C1217">
        <v>1336</v>
      </c>
      <c r="D1217" t="s">
        <v>7</v>
      </c>
      <c r="E1217" t="s">
        <v>14</v>
      </c>
      <c r="F1217" t="s">
        <v>20</v>
      </c>
      <c r="G1217">
        <v>2</v>
      </c>
      <c r="K1217">
        <v>1</v>
      </c>
      <c r="P1217">
        <v>1</v>
      </c>
      <c r="U1217">
        <v>1</v>
      </c>
      <c r="Z1217">
        <v>1</v>
      </c>
      <c r="AE1217">
        <v>1</v>
      </c>
      <c r="AJ1217">
        <f>SUM(Post[[#This Row],[47]:[75]])</f>
        <v>7</v>
      </c>
    </row>
    <row r="1218" spans="1:36" x14ac:dyDescent="0.2">
      <c r="A1218" t="s">
        <v>51</v>
      </c>
      <c r="B1218" t="s">
        <v>6</v>
      </c>
      <c r="C1218">
        <v>4254</v>
      </c>
      <c r="D1218" t="s">
        <v>7</v>
      </c>
      <c r="E1218" t="s">
        <v>14</v>
      </c>
      <c r="F1218" t="s">
        <v>20</v>
      </c>
      <c r="H1218">
        <v>1</v>
      </c>
      <c r="V1218">
        <v>1</v>
      </c>
      <c r="AJ1218">
        <f>SUM(Post[[#This Row],[47]:[75]])</f>
        <v>2</v>
      </c>
    </row>
    <row r="1219" spans="1:36" x14ac:dyDescent="0.2">
      <c r="A1219" t="s">
        <v>51</v>
      </c>
      <c r="B1219" t="s">
        <v>6</v>
      </c>
      <c r="C1219">
        <v>6231</v>
      </c>
      <c r="D1219" t="s">
        <v>7</v>
      </c>
      <c r="E1219" t="s">
        <v>14</v>
      </c>
      <c r="F1219" t="s">
        <v>20</v>
      </c>
      <c r="AJ1219">
        <f>SUM(Post[[#This Row],[47]:[75]])</f>
        <v>0</v>
      </c>
    </row>
    <row r="1220" spans="1:36" x14ac:dyDescent="0.2">
      <c r="A1220" t="s">
        <v>51</v>
      </c>
      <c r="B1220" t="s">
        <v>6</v>
      </c>
      <c r="C1220">
        <v>7493</v>
      </c>
      <c r="D1220" t="s">
        <v>7</v>
      </c>
      <c r="E1220" t="s">
        <v>14</v>
      </c>
      <c r="F1220" t="s">
        <v>20</v>
      </c>
      <c r="V1220">
        <v>1</v>
      </c>
      <c r="AJ1220">
        <f>SUM(Post[[#This Row],[47]:[75]])</f>
        <v>1</v>
      </c>
    </row>
    <row r="1221" spans="1:36" x14ac:dyDescent="0.2">
      <c r="A1221" t="s">
        <v>51</v>
      </c>
      <c r="B1221" t="s">
        <v>6</v>
      </c>
      <c r="C1221">
        <v>7511</v>
      </c>
      <c r="D1221" t="s">
        <v>7</v>
      </c>
      <c r="E1221" t="s">
        <v>10</v>
      </c>
      <c r="F1221" t="s">
        <v>11</v>
      </c>
      <c r="X1221">
        <v>1</v>
      </c>
      <c r="AJ1221">
        <f>SUM(Post[[#This Row],[47]:[75]])</f>
        <v>1</v>
      </c>
    </row>
    <row r="1222" spans="1:36" x14ac:dyDescent="0.2">
      <c r="A1222" t="s">
        <v>51</v>
      </c>
      <c r="B1222" t="s">
        <v>6</v>
      </c>
      <c r="C1222">
        <v>7511</v>
      </c>
      <c r="D1222" t="s">
        <v>7</v>
      </c>
      <c r="E1222" t="s">
        <v>14</v>
      </c>
      <c r="F1222" t="s">
        <v>35</v>
      </c>
      <c r="Q1222">
        <v>2</v>
      </c>
      <c r="AJ1222">
        <f>SUM(Post[[#This Row],[47]:[75]])</f>
        <v>2</v>
      </c>
    </row>
    <row r="1223" spans="1:36" x14ac:dyDescent="0.2">
      <c r="A1223" t="s">
        <v>51</v>
      </c>
      <c r="B1223" t="s">
        <v>6</v>
      </c>
      <c r="C1223">
        <v>8093</v>
      </c>
      <c r="D1223" t="s">
        <v>7</v>
      </c>
      <c r="E1223" t="s">
        <v>14</v>
      </c>
      <c r="F1223" t="s">
        <v>21</v>
      </c>
      <c r="AA1223">
        <v>2</v>
      </c>
      <c r="AJ1223">
        <f>SUM(Post[[#This Row],[47]:[75]])</f>
        <v>2</v>
      </c>
    </row>
    <row r="1224" spans="1:36" x14ac:dyDescent="0.2">
      <c r="A1224" t="s">
        <v>51</v>
      </c>
      <c r="B1224" t="s">
        <v>6</v>
      </c>
      <c r="C1224">
        <v>8093</v>
      </c>
      <c r="D1224" t="s">
        <v>7</v>
      </c>
      <c r="E1224" t="s">
        <v>14</v>
      </c>
      <c r="F1224" t="s">
        <v>20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Y1224">
        <v>1</v>
      </c>
      <c r="AB1224">
        <v>1</v>
      </c>
      <c r="AC1224">
        <v>2</v>
      </c>
      <c r="AD1224">
        <v>1</v>
      </c>
      <c r="AE1224">
        <v>1</v>
      </c>
      <c r="AF1224">
        <v>1</v>
      </c>
      <c r="AG1224">
        <v>1</v>
      </c>
      <c r="AH1224">
        <v>1</v>
      </c>
      <c r="AJ1224">
        <f>SUM(Post[[#This Row],[47]:[75]])</f>
        <v>25</v>
      </c>
    </row>
    <row r="1225" spans="1:36" x14ac:dyDescent="0.2">
      <c r="A1225" t="s">
        <v>51</v>
      </c>
      <c r="B1225" t="s">
        <v>6</v>
      </c>
      <c r="C1225">
        <v>8357</v>
      </c>
      <c r="D1225" t="s">
        <v>7</v>
      </c>
      <c r="E1225" t="s">
        <v>14</v>
      </c>
      <c r="F1225" t="s">
        <v>20</v>
      </c>
      <c r="AJ1225">
        <f>SUM(Post[[#This Row],[47]:[75]])</f>
        <v>0</v>
      </c>
    </row>
    <row r="1226" spans="1:36" x14ac:dyDescent="0.2">
      <c r="A1226" t="s">
        <v>51</v>
      </c>
      <c r="B1226" t="s">
        <v>6</v>
      </c>
      <c r="C1226">
        <v>9430</v>
      </c>
      <c r="D1226" t="s">
        <v>7</v>
      </c>
      <c r="E1226" t="s">
        <v>14</v>
      </c>
      <c r="F1226" t="s">
        <v>31</v>
      </c>
      <c r="I1226">
        <v>3</v>
      </c>
      <c r="AJ1226">
        <f>SUM(Post[[#This Row],[47]:[75]])</f>
        <v>3</v>
      </c>
    </row>
    <row r="1227" spans="1:36" x14ac:dyDescent="0.2">
      <c r="A1227" t="s">
        <v>51</v>
      </c>
      <c r="B1227" t="s">
        <v>6</v>
      </c>
      <c r="C1227">
        <v>10390</v>
      </c>
      <c r="D1227" t="s">
        <v>7</v>
      </c>
      <c r="E1227" t="s">
        <v>10</v>
      </c>
      <c r="F1227" t="s">
        <v>16</v>
      </c>
      <c r="AJ1227">
        <f>SUM(Post[[#This Row],[47]:[75]])</f>
        <v>0</v>
      </c>
    </row>
    <row r="1228" spans="1:36" x14ac:dyDescent="0.2">
      <c r="A1228" t="s">
        <v>51</v>
      </c>
      <c r="B1228" t="s">
        <v>6</v>
      </c>
      <c r="C1228">
        <v>14315</v>
      </c>
      <c r="D1228" t="s">
        <v>7</v>
      </c>
      <c r="E1228" t="s">
        <v>14</v>
      </c>
      <c r="F1228" t="s">
        <v>20</v>
      </c>
      <c r="S1228">
        <v>1</v>
      </c>
      <c r="AF1228">
        <v>1</v>
      </c>
      <c r="AJ1228">
        <f>SUM(Post[[#This Row],[47]:[75]])</f>
        <v>2</v>
      </c>
    </row>
    <row r="1229" spans="1:36" x14ac:dyDescent="0.2">
      <c r="A1229" t="s">
        <v>51</v>
      </c>
      <c r="B1229" t="s">
        <v>6</v>
      </c>
      <c r="C1229">
        <v>3649</v>
      </c>
      <c r="D1229" t="s">
        <v>22</v>
      </c>
      <c r="E1229" t="s">
        <v>14</v>
      </c>
      <c r="F1229" t="s">
        <v>21</v>
      </c>
      <c r="W1229">
        <v>1</v>
      </c>
      <c r="AJ1229">
        <f>SUM(Post[[#This Row],[47]:[75]])</f>
        <v>1</v>
      </c>
    </row>
    <row r="1230" spans="1:36" x14ac:dyDescent="0.2">
      <c r="A1230" t="s">
        <v>51</v>
      </c>
      <c r="B1230" t="s">
        <v>6</v>
      </c>
      <c r="C1230">
        <v>4250</v>
      </c>
      <c r="D1230" t="s">
        <v>22</v>
      </c>
      <c r="E1230" t="s">
        <v>14</v>
      </c>
      <c r="F1230" t="s">
        <v>21</v>
      </c>
      <c r="X1230">
        <v>1</v>
      </c>
      <c r="AA1230">
        <v>1</v>
      </c>
      <c r="AC1230">
        <v>1</v>
      </c>
      <c r="AJ1230">
        <f>SUM(Post[[#This Row],[47]:[75]])</f>
        <v>3</v>
      </c>
    </row>
    <row r="1231" spans="1:36" x14ac:dyDescent="0.2">
      <c r="A1231" t="s">
        <v>51</v>
      </c>
      <c r="B1231" t="s">
        <v>6</v>
      </c>
      <c r="C1231">
        <v>4250</v>
      </c>
      <c r="D1231" t="s">
        <v>22</v>
      </c>
      <c r="E1231" t="s">
        <v>14</v>
      </c>
      <c r="F1231" t="s">
        <v>20</v>
      </c>
      <c r="J1231">
        <v>1</v>
      </c>
      <c r="AJ1231">
        <f>SUM(Post[[#This Row],[47]:[75]])</f>
        <v>1</v>
      </c>
    </row>
    <row r="1232" spans="1:36" x14ac:dyDescent="0.2">
      <c r="A1232" t="s">
        <v>51</v>
      </c>
      <c r="B1232" t="s">
        <v>6</v>
      </c>
      <c r="C1232">
        <v>4564</v>
      </c>
      <c r="D1232" t="s">
        <v>22</v>
      </c>
      <c r="E1232" t="s">
        <v>14</v>
      </c>
      <c r="F1232" t="s">
        <v>20</v>
      </c>
      <c r="K1232">
        <v>1</v>
      </c>
      <c r="Z1232">
        <v>1</v>
      </c>
      <c r="AJ1232">
        <f>SUM(Post[[#This Row],[47]:[75]])</f>
        <v>2</v>
      </c>
    </row>
    <row r="1233" spans="1:36" x14ac:dyDescent="0.2">
      <c r="A1233" t="s">
        <v>51</v>
      </c>
      <c r="B1233" t="s">
        <v>6</v>
      </c>
      <c r="C1233">
        <v>7288</v>
      </c>
      <c r="D1233" t="s">
        <v>22</v>
      </c>
      <c r="E1233" t="s">
        <v>14</v>
      </c>
      <c r="F1233" t="s">
        <v>20</v>
      </c>
      <c r="H1233">
        <v>1</v>
      </c>
      <c r="X1233">
        <v>2</v>
      </c>
      <c r="AD1233">
        <v>1</v>
      </c>
      <c r="AJ1233">
        <f>SUM(Post[[#This Row],[47]:[75]])</f>
        <v>4</v>
      </c>
    </row>
    <row r="1234" spans="1:36" x14ac:dyDescent="0.2">
      <c r="A1234" t="s">
        <v>51</v>
      </c>
      <c r="B1234" t="s">
        <v>6</v>
      </c>
      <c r="C1234">
        <v>7292</v>
      </c>
      <c r="D1234" t="s">
        <v>22</v>
      </c>
      <c r="E1234" t="s">
        <v>10</v>
      </c>
      <c r="F1234" t="s">
        <v>11</v>
      </c>
      <c r="X1234">
        <v>1</v>
      </c>
      <c r="AJ1234">
        <f>SUM(Post[[#This Row],[47]:[75]])</f>
        <v>1</v>
      </c>
    </row>
    <row r="1235" spans="1:36" x14ac:dyDescent="0.2">
      <c r="A1235" t="s">
        <v>51</v>
      </c>
      <c r="B1235" t="s">
        <v>6</v>
      </c>
      <c r="C1235">
        <v>8653</v>
      </c>
      <c r="D1235" t="s">
        <v>22</v>
      </c>
      <c r="E1235" t="s">
        <v>14</v>
      </c>
      <c r="F1235" t="s">
        <v>19</v>
      </c>
      <c r="R1235">
        <v>1</v>
      </c>
      <c r="AF1235">
        <v>1</v>
      </c>
      <c r="AJ1235">
        <f>SUM(Post[[#This Row],[47]:[75]])</f>
        <v>2</v>
      </c>
    </row>
    <row r="1236" spans="1:36" x14ac:dyDescent="0.2">
      <c r="A1236" t="s">
        <v>51</v>
      </c>
      <c r="B1236" t="s">
        <v>6</v>
      </c>
      <c r="C1236">
        <v>18430</v>
      </c>
      <c r="D1236" t="s">
        <v>22</v>
      </c>
      <c r="E1236" t="s">
        <v>14</v>
      </c>
      <c r="F1236" t="s">
        <v>35</v>
      </c>
      <c r="Q1236">
        <v>1</v>
      </c>
      <c r="AD1236">
        <v>1</v>
      </c>
      <c r="AJ1236">
        <f>SUM(Post[[#This Row],[47]:[75]])</f>
        <v>2</v>
      </c>
    </row>
    <row r="1237" spans="1:36" x14ac:dyDescent="0.2">
      <c r="A1237" t="s">
        <v>51</v>
      </c>
      <c r="B1237" t="s">
        <v>6</v>
      </c>
      <c r="C1237">
        <v>55</v>
      </c>
      <c r="D1237" t="s">
        <v>7</v>
      </c>
      <c r="E1237" t="s">
        <v>10</v>
      </c>
      <c r="F1237" t="s">
        <v>11</v>
      </c>
      <c r="G1237">
        <v>1</v>
      </c>
      <c r="K1237">
        <v>3</v>
      </c>
      <c r="L1237">
        <v>1</v>
      </c>
      <c r="N1237">
        <v>1</v>
      </c>
      <c r="O1237">
        <v>1</v>
      </c>
      <c r="P1237">
        <v>1</v>
      </c>
      <c r="AJ1237">
        <f>SUM(Post[[#This Row],[47]:[75]])</f>
        <v>8</v>
      </c>
    </row>
    <row r="1238" spans="1:36" x14ac:dyDescent="0.2">
      <c r="A1238" t="s">
        <v>51</v>
      </c>
      <c r="B1238" t="s">
        <v>6</v>
      </c>
      <c r="C1238">
        <v>55</v>
      </c>
      <c r="D1238" t="s">
        <v>7</v>
      </c>
      <c r="E1238" t="s">
        <v>14</v>
      </c>
      <c r="F1238" t="s">
        <v>21</v>
      </c>
      <c r="AD1238">
        <v>1</v>
      </c>
      <c r="AJ1238">
        <f>SUM(Post[[#This Row],[47]:[75]])</f>
        <v>1</v>
      </c>
    </row>
    <row r="1239" spans="1:36" x14ac:dyDescent="0.2">
      <c r="A1239" t="s">
        <v>51</v>
      </c>
      <c r="B1239" t="s">
        <v>6</v>
      </c>
      <c r="C1239">
        <v>687</v>
      </c>
      <c r="D1239" t="s">
        <v>7</v>
      </c>
      <c r="E1239" t="s">
        <v>14</v>
      </c>
      <c r="F1239" t="s">
        <v>20</v>
      </c>
      <c r="AJ1239">
        <f>SUM(Post[[#This Row],[47]:[75]])</f>
        <v>0</v>
      </c>
    </row>
    <row r="1240" spans="1:36" x14ac:dyDescent="0.2">
      <c r="A1240" t="s">
        <v>51</v>
      </c>
      <c r="B1240" t="s">
        <v>6</v>
      </c>
      <c r="C1240">
        <v>1311</v>
      </c>
      <c r="D1240" t="s">
        <v>7</v>
      </c>
      <c r="E1240" t="s">
        <v>10</v>
      </c>
      <c r="F1240" t="s">
        <v>11</v>
      </c>
      <c r="S1240">
        <v>1</v>
      </c>
      <c r="AJ1240">
        <f>SUM(Post[[#This Row],[47]:[75]])</f>
        <v>1</v>
      </c>
    </row>
    <row r="1241" spans="1:36" x14ac:dyDescent="0.2">
      <c r="A1241" t="s">
        <v>51</v>
      </c>
      <c r="B1241" t="s">
        <v>6</v>
      </c>
      <c r="C1241">
        <v>1899</v>
      </c>
      <c r="D1241" t="s">
        <v>7</v>
      </c>
      <c r="E1241" t="s">
        <v>14</v>
      </c>
      <c r="F1241" t="s">
        <v>20</v>
      </c>
      <c r="AJ1241">
        <f>SUM(Post[[#This Row],[47]:[75]])</f>
        <v>0</v>
      </c>
    </row>
    <row r="1242" spans="1:36" x14ac:dyDescent="0.2">
      <c r="A1242" t="s">
        <v>51</v>
      </c>
      <c r="B1242" t="s">
        <v>6</v>
      </c>
      <c r="C1242">
        <v>5917</v>
      </c>
      <c r="D1242" t="s">
        <v>7</v>
      </c>
      <c r="E1242" t="s">
        <v>10</v>
      </c>
      <c r="F1242" t="s">
        <v>11</v>
      </c>
      <c r="Z1242">
        <v>1</v>
      </c>
      <c r="AJ1242">
        <f>SUM(Post[[#This Row],[47]:[75]])</f>
        <v>1</v>
      </c>
    </row>
    <row r="1243" spans="1:36" x14ac:dyDescent="0.2">
      <c r="A1243" t="s">
        <v>51</v>
      </c>
      <c r="B1243" t="s">
        <v>6</v>
      </c>
      <c r="C1243">
        <v>6661</v>
      </c>
      <c r="D1243" t="s">
        <v>7</v>
      </c>
      <c r="E1243" t="s">
        <v>14</v>
      </c>
      <c r="F1243" t="s">
        <v>35</v>
      </c>
      <c r="J1243">
        <v>1</v>
      </c>
      <c r="Q1243">
        <v>1</v>
      </c>
      <c r="U1243">
        <v>1</v>
      </c>
      <c r="Y1243">
        <v>1</v>
      </c>
      <c r="AC1243">
        <v>1</v>
      </c>
      <c r="AG1243">
        <v>1</v>
      </c>
      <c r="AJ1243">
        <f>SUM(Post[[#This Row],[47]:[75]])</f>
        <v>6</v>
      </c>
    </row>
    <row r="1244" spans="1:36" x14ac:dyDescent="0.2">
      <c r="A1244" t="s">
        <v>51</v>
      </c>
      <c r="B1244" t="s">
        <v>6</v>
      </c>
      <c r="C1244">
        <v>6661</v>
      </c>
      <c r="D1244" t="s">
        <v>7</v>
      </c>
      <c r="E1244" t="s">
        <v>14</v>
      </c>
      <c r="F1244" t="s">
        <v>28</v>
      </c>
      <c r="AJ1244">
        <f>SUM(Post[[#This Row],[47]:[75]])</f>
        <v>0</v>
      </c>
    </row>
    <row r="1245" spans="1:36" x14ac:dyDescent="0.2">
      <c r="A1245" t="s">
        <v>51</v>
      </c>
      <c r="B1245" t="s">
        <v>6</v>
      </c>
      <c r="C1245">
        <v>6643</v>
      </c>
      <c r="D1245" t="s">
        <v>22</v>
      </c>
      <c r="E1245" t="s">
        <v>14</v>
      </c>
      <c r="F1245" t="s">
        <v>35</v>
      </c>
      <c r="AJ1245">
        <f>SUM(Post[[#This Row],[47]:[75]])</f>
        <v>0</v>
      </c>
    </row>
    <row r="1246" spans="1:36" x14ac:dyDescent="0.2">
      <c r="A1246" t="s">
        <v>51</v>
      </c>
      <c r="B1246" t="s">
        <v>6</v>
      </c>
      <c r="C1246">
        <v>6643</v>
      </c>
      <c r="D1246" t="s">
        <v>22</v>
      </c>
      <c r="E1246" t="s">
        <v>14</v>
      </c>
      <c r="F1246" t="s">
        <v>20</v>
      </c>
      <c r="AJ1246">
        <f>SUM(Post[[#This Row],[47]:[75]])</f>
        <v>0</v>
      </c>
    </row>
    <row r="1247" spans="1:36" x14ac:dyDescent="0.2">
      <c r="A1247" t="s">
        <v>51</v>
      </c>
      <c r="B1247" t="s">
        <v>6</v>
      </c>
      <c r="C1247">
        <v>8316</v>
      </c>
      <c r="D1247" t="s">
        <v>22</v>
      </c>
      <c r="E1247" t="s">
        <v>14</v>
      </c>
      <c r="F1247" t="s">
        <v>20</v>
      </c>
      <c r="H1247">
        <v>1</v>
      </c>
      <c r="L1247">
        <v>1</v>
      </c>
      <c r="Q1247">
        <v>1</v>
      </c>
      <c r="U1247">
        <v>1</v>
      </c>
      <c r="Y1247">
        <v>1</v>
      </c>
      <c r="AC1247">
        <v>1</v>
      </c>
      <c r="AG1247">
        <v>1</v>
      </c>
      <c r="AI1247">
        <v>1</v>
      </c>
      <c r="AJ1247">
        <f>SUM(Post[[#This Row],[47]:[75]])</f>
        <v>8</v>
      </c>
    </row>
    <row r="1248" spans="1:36" x14ac:dyDescent="0.2">
      <c r="A1248" t="s">
        <v>51</v>
      </c>
      <c r="B1248" t="s">
        <v>6</v>
      </c>
      <c r="C1248">
        <v>19133</v>
      </c>
      <c r="D1248" t="s">
        <v>22</v>
      </c>
      <c r="E1248" t="s">
        <v>14</v>
      </c>
      <c r="F1248" t="s">
        <v>21</v>
      </c>
      <c r="N1248">
        <v>1</v>
      </c>
      <c r="X1248">
        <v>1</v>
      </c>
      <c r="AJ1248">
        <f>SUM(Post[[#This Row],[47]:[75]])</f>
        <v>2</v>
      </c>
    </row>
    <row r="1249" spans="1:36" x14ac:dyDescent="0.2">
      <c r="A1249" t="s">
        <v>51</v>
      </c>
      <c r="B1249" t="s">
        <v>6</v>
      </c>
      <c r="C1249">
        <v>39</v>
      </c>
      <c r="D1249" t="s">
        <v>7</v>
      </c>
      <c r="E1249" t="s">
        <v>8</v>
      </c>
      <c r="F1249" t="s">
        <v>23</v>
      </c>
      <c r="G1249">
        <v>1</v>
      </c>
      <c r="L1249">
        <v>1</v>
      </c>
      <c r="AB1249">
        <v>1</v>
      </c>
      <c r="AJ1249">
        <f>SUM(Post[[#This Row],[47]:[75]])</f>
        <v>3</v>
      </c>
    </row>
    <row r="1250" spans="1:36" x14ac:dyDescent="0.2">
      <c r="A1250" t="s">
        <v>51</v>
      </c>
      <c r="B1250" t="s">
        <v>6</v>
      </c>
      <c r="C1250">
        <v>1832</v>
      </c>
      <c r="D1250" t="s">
        <v>7</v>
      </c>
      <c r="E1250" t="s">
        <v>8</v>
      </c>
      <c r="F1250" t="s">
        <v>30</v>
      </c>
      <c r="L1250">
        <v>2</v>
      </c>
      <c r="Y1250">
        <v>1</v>
      </c>
      <c r="AJ1250">
        <f>SUM(Post[[#This Row],[47]:[75]])</f>
        <v>3</v>
      </c>
    </row>
    <row r="1251" spans="1:36" x14ac:dyDescent="0.2">
      <c r="A1251" t="s">
        <v>51</v>
      </c>
      <c r="B1251" t="s">
        <v>6</v>
      </c>
      <c r="C1251">
        <v>2103</v>
      </c>
      <c r="D1251" t="s">
        <v>7</v>
      </c>
      <c r="E1251" t="s">
        <v>8</v>
      </c>
      <c r="F1251" t="s">
        <v>30</v>
      </c>
      <c r="O1251">
        <v>1</v>
      </c>
      <c r="AJ1251">
        <f>SUM(Post[[#This Row],[47]:[75]])</f>
        <v>1</v>
      </c>
    </row>
    <row r="1252" spans="1:36" x14ac:dyDescent="0.2">
      <c r="A1252" t="s">
        <v>51</v>
      </c>
      <c r="B1252" t="s">
        <v>6</v>
      </c>
      <c r="C1252">
        <v>2725</v>
      </c>
      <c r="D1252" t="s">
        <v>7</v>
      </c>
      <c r="E1252" t="s">
        <v>8</v>
      </c>
      <c r="F1252" t="s">
        <v>9</v>
      </c>
      <c r="Q1252">
        <v>1</v>
      </c>
      <c r="AD1252">
        <v>1</v>
      </c>
      <c r="AJ1252">
        <f>SUM(Post[[#This Row],[47]:[75]])</f>
        <v>2</v>
      </c>
    </row>
    <row r="1253" spans="1:36" x14ac:dyDescent="0.2">
      <c r="A1253" t="s">
        <v>51</v>
      </c>
      <c r="B1253" t="s">
        <v>6</v>
      </c>
      <c r="C1253">
        <v>3581</v>
      </c>
      <c r="D1253" t="s">
        <v>7</v>
      </c>
      <c r="E1253" t="s">
        <v>8</v>
      </c>
      <c r="F1253" t="s">
        <v>30</v>
      </c>
      <c r="K1253">
        <v>1</v>
      </c>
      <c r="AJ1253">
        <f>SUM(Post[[#This Row],[47]:[75]])</f>
        <v>1</v>
      </c>
    </row>
    <row r="1254" spans="1:36" x14ac:dyDescent="0.2">
      <c r="A1254" t="s">
        <v>51</v>
      </c>
      <c r="B1254" t="s">
        <v>6</v>
      </c>
      <c r="C1254">
        <v>3605</v>
      </c>
      <c r="D1254" t="s">
        <v>7</v>
      </c>
      <c r="E1254" t="s">
        <v>8</v>
      </c>
      <c r="F1254" t="s">
        <v>23</v>
      </c>
      <c r="I1254">
        <v>1</v>
      </c>
      <c r="Y1254">
        <v>1</v>
      </c>
      <c r="AJ1254">
        <f>SUM(Post[[#This Row],[47]:[75]])</f>
        <v>2</v>
      </c>
    </row>
    <row r="1255" spans="1:36" x14ac:dyDescent="0.2">
      <c r="A1255" t="s">
        <v>51</v>
      </c>
      <c r="B1255" t="s">
        <v>6</v>
      </c>
      <c r="C1255">
        <v>5214</v>
      </c>
      <c r="D1255" t="s">
        <v>7</v>
      </c>
      <c r="E1255" t="s">
        <v>8</v>
      </c>
      <c r="F1255" t="s">
        <v>23</v>
      </c>
      <c r="Q1255">
        <v>1</v>
      </c>
      <c r="AD1255">
        <v>1</v>
      </c>
      <c r="AJ1255">
        <f>SUM(Post[[#This Row],[47]:[75]])</f>
        <v>2</v>
      </c>
    </row>
    <row r="1256" spans="1:36" x14ac:dyDescent="0.2">
      <c r="A1256" t="s">
        <v>51</v>
      </c>
      <c r="B1256" t="s">
        <v>6</v>
      </c>
      <c r="C1256">
        <v>5289</v>
      </c>
      <c r="D1256" t="s">
        <v>7</v>
      </c>
      <c r="E1256" t="s">
        <v>8</v>
      </c>
      <c r="F1256" t="s">
        <v>29</v>
      </c>
      <c r="I1256">
        <v>1</v>
      </c>
      <c r="W1256">
        <v>3</v>
      </c>
      <c r="AA1256">
        <v>1</v>
      </c>
      <c r="AJ1256">
        <f>SUM(Post[[#This Row],[47]:[75]])</f>
        <v>5</v>
      </c>
    </row>
    <row r="1257" spans="1:36" x14ac:dyDescent="0.2">
      <c r="A1257" t="s">
        <v>51</v>
      </c>
      <c r="B1257" t="s">
        <v>6</v>
      </c>
      <c r="C1257">
        <v>7290</v>
      </c>
      <c r="D1257" t="s">
        <v>7</v>
      </c>
      <c r="E1257" t="s">
        <v>8</v>
      </c>
      <c r="F1257" t="s">
        <v>30</v>
      </c>
      <c r="G1257">
        <v>1</v>
      </c>
      <c r="Q1257">
        <v>1</v>
      </c>
      <c r="V1257">
        <v>1</v>
      </c>
      <c r="AD1257">
        <v>1</v>
      </c>
      <c r="AG1257">
        <v>1</v>
      </c>
      <c r="AJ1257">
        <f>SUM(Post[[#This Row],[47]:[75]])</f>
        <v>5</v>
      </c>
    </row>
    <row r="1258" spans="1:36" x14ac:dyDescent="0.2">
      <c r="A1258" t="s">
        <v>51</v>
      </c>
      <c r="B1258" t="s">
        <v>6</v>
      </c>
      <c r="C1258">
        <v>7296</v>
      </c>
      <c r="D1258" t="s">
        <v>7</v>
      </c>
      <c r="E1258" t="s">
        <v>8</v>
      </c>
      <c r="F1258" t="s">
        <v>23</v>
      </c>
      <c r="G1258">
        <v>1</v>
      </c>
      <c r="K1258">
        <v>1</v>
      </c>
      <c r="P1258">
        <v>1</v>
      </c>
      <c r="X1258">
        <v>1</v>
      </c>
      <c r="AB1258">
        <v>1</v>
      </c>
      <c r="AH1258">
        <v>1</v>
      </c>
      <c r="AJ1258">
        <f>SUM(Post[[#This Row],[47]:[75]])</f>
        <v>6</v>
      </c>
    </row>
    <row r="1259" spans="1:36" x14ac:dyDescent="0.2">
      <c r="A1259" t="s">
        <v>51</v>
      </c>
      <c r="B1259" t="s">
        <v>6</v>
      </c>
      <c r="C1259">
        <v>7573</v>
      </c>
      <c r="D1259" t="s">
        <v>7</v>
      </c>
      <c r="E1259" t="s">
        <v>8</v>
      </c>
      <c r="F1259" t="s">
        <v>30</v>
      </c>
      <c r="H1259">
        <v>1</v>
      </c>
      <c r="L1259">
        <v>1</v>
      </c>
      <c r="Q1259">
        <v>1</v>
      </c>
      <c r="U1259">
        <v>2</v>
      </c>
      <c r="Y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J1259">
        <f>SUM(Post[[#This Row],[47]:[75]])</f>
        <v>12</v>
      </c>
    </row>
    <row r="1260" spans="1:36" x14ac:dyDescent="0.2">
      <c r="A1260" t="s">
        <v>51</v>
      </c>
      <c r="B1260" t="s">
        <v>6</v>
      </c>
      <c r="C1260">
        <v>9436</v>
      </c>
      <c r="D1260" t="s">
        <v>7</v>
      </c>
      <c r="E1260" t="s">
        <v>8</v>
      </c>
      <c r="F1260" t="s">
        <v>23</v>
      </c>
      <c r="W1260">
        <v>1</v>
      </c>
      <c r="AJ1260">
        <f>SUM(Post[[#This Row],[47]:[75]])</f>
        <v>1</v>
      </c>
    </row>
    <row r="1261" spans="1:36" x14ac:dyDescent="0.2">
      <c r="A1261" t="s">
        <v>51</v>
      </c>
      <c r="B1261" t="s">
        <v>6</v>
      </c>
      <c r="C1261">
        <v>10644</v>
      </c>
      <c r="D1261" t="s">
        <v>7</v>
      </c>
      <c r="E1261" t="s">
        <v>8</v>
      </c>
      <c r="F1261" t="s">
        <v>9</v>
      </c>
      <c r="S1261">
        <v>1</v>
      </c>
      <c r="AF1261">
        <v>2</v>
      </c>
      <c r="AJ1261">
        <f>SUM(Post[[#This Row],[47]:[75]])</f>
        <v>3</v>
      </c>
    </row>
    <row r="1262" spans="1:36" x14ac:dyDescent="0.2">
      <c r="A1262" t="s">
        <v>51</v>
      </c>
      <c r="B1262" t="s">
        <v>6</v>
      </c>
      <c r="C1262">
        <v>15143</v>
      </c>
      <c r="D1262" t="s">
        <v>7</v>
      </c>
      <c r="E1262" t="s">
        <v>8</v>
      </c>
      <c r="F1262" t="s">
        <v>30</v>
      </c>
      <c r="I1262">
        <v>1</v>
      </c>
      <c r="O1262">
        <v>1</v>
      </c>
      <c r="S1262">
        <v>1</v>
      </c>
      <c r="W1262">
        <v>1</v>
      </c>
      <c r="AC1262">
        <v>1</v>
      </c>
      <c r="AG1262">
        <v>1</v>
      </c>
      <c r="AJ1262">
        <f>SUM(Post[[#This Row],[47]:[75]])</f>
        <v>6</v>
      </c>
    </row>
    <row r="1263" spans="1:36" x14ac:dyDescent="0.2">
      <c r="A1263" t="s">
        <v>51</v>
      </c>
      <c r="B1263" t="s">
        <v>6</v>
      </c>
      <c r="C1263">
        <v>19250</v>
      </c>
      <c r="D1263" t="s">
        <v>7</v>
      </c>
      <c r="E1263" t="s">
        <v>37</v>
      </c>
      <c r="F1263" t="s">
        <v>38</v>
      </c>
      <c r="O1263">
        <v>1</v>
      </c>
      <c r="AC1263">
        <v>2</v>
      </c>
      <c r="AJ1263">
        <f>SUM(Post[[#This Row],[47]:[75]])</f>
        <v>3</v>
      </c>
    </row>
    <row r="1264" spans="1:36" x14ac:dyDescent="0.2">
      <c r="A1264" t="s">
        <v>51</v>
      </c>
      <c r="B1264" t="s">
        <v>6</v>
      </c>
      <c r="C1264">
        <v>22058</v>
      </c>
      <c r="D1264" t="s">
        <v>7</v>
      </c>
      <c r="E1264" t="s">
        <v>8</v>
      </c>
      <c r="F1264" t="s">
        <v>23</v>
      </c>
      <c r="I1264">
        <v>1</v>
      </c>
      <c r="X1264">
        <v>1</v>
      </c>
      <c r="AC1264">
        <v>1</v>
      </c>
      <c r="AG1264">
        <v>1</v>
      </c>
      <c r="AJ1264">
        <f>SUM(Post[[#This Row],[47]:[75]])</f>
        <v>4</v>
      </c>
    </row>
    <row r="1265" spans="1:36" x14ac:dyDescent="0.2">
      <c r="A1265" t="s">
        <v>51</v>
      </c>
      <c r="B1265" t="s">
        <v>6</v>
      </c>
      <c r="C1265">
        <v>3138</v>
      </c>
      <c r="D1265" t="s">
        <v>22</v>
      </c>
      <c r="E1265" t="s">
        <v>8</v>
      </c>
      <c r="F1265" t="s">
        <v>9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f>SUM(Post[[#This Row],[47]:[75]])</f>
        <v>28</v>
      </c>
    </row>
    <row r="1266" spans="1:36" x14ac:dyDescent="0.2">
      <c r="A1266" t="s">
        <v>51</v>
      </c>
      <c r="B1266" t="s">
        <v>6</v>
      </c>
      <c r="C1266">
        <v>6213</v>
      </c>
      <c r="D1266" t="s">
        <v>22</v>
      </c>
      <c r="E1266" t="s">
        <v>8</v>
      </c>
      <c r="F1266" t="s">
        <v>23</v>
      </c>
      <c r="L1266">
        <v>1</v>
      </c>
      <c r="AJ1266">
        <f>SUM(Post[[#This Row],[47]:[75]])</f>
        <v>1</v>
      </c>
    </row>
    <row r="1267" spans="1:36" x14ac:dyDescent="0.2">
      <c r="A1267" t="s">
        <v>51</v>
      </c>
      <c r="B1267" t="s">
        <v>6</v>
      </c>
      <c r="C1267">
        <v>7110</v>
      </c>
      <c r="D1267" t="s">
        <v>22</v>
      </c>
      <c r="E1267" t="s">
        <v>37</v>
      </c>
      <c r="F1267" t="s">
        <v>39</v>
      </c>
      <c r="I1267">
        <v>1</v>
      </c>
      <c r="Y1267">
        <v>1</v>
      </c>
      <c r="AJ1267">
        <f>SUM(Post[[#This Row],[47]:[75]])</f>
        <v>2</v>
      </c>
    </row>
    <row r="1268" spans="1:36" x14ac:dyDescent="0.2">
      <c r="A1268" t="s">
        <v>51</v>
      </c>
      <c r="B1268" t="s">
        <v>6</v>
      </c>
      <c r="C1268">
        <v>7618</v>
      </c>
      <c r="D1268" t="s">
        <v>22</v>
      </c>
      <c r="E1268" t="s">
        <v>8</v>
      </c>
      <c r="F1268" t="s">
        <v>23</v>
      </c>
      <c r="R1268">
        <v>2</v>
      </c>
      <c r="AD1268">
        <v>1</v>
      </c>
      <c r="AJ1268">
        <f>SUM(Post[[#This Row],[47]:[75]])</f>
        <v>3</v>
      </c>
    </row>
    <row r="1269" spans="1:36" x14ac:dyDescent="0.2">
      <c r="A1269" t="s">
        <v>51</v>
      </c>
      <c r="B1269" t="s">
        <v>6</v>
      </c>
      <c r="C1269">
        <v>7865</v>
      </c>
      <c r="D1269" t="s">
        <v>22</v>
      </c>
      <c r="E1269" t="s">
        <v>8</v>
      </c>
      <c r="F1269" t="s">
        <v>23</v>
      </c>
      <c r="H1269">
        <v>1</v>
      </c>
      <c r="AJ1269">
        <f>SUM(Post[[#This Row],[47]:[75]])</f>
        <v>1</v>
      </c>
    </row>
    <row r="1270" spans="1:36" x14ac:dyDescent="0.2">
      <c r="A1270" t="s">
        <v>51</v>
      </c>
      <c r="B1270" t="s">
        <v>6</v>
      </c>
      <c r="C1270">
        <v>7963</v>
      </c>
      <c r="D1270" t="s">
        <v>22</v>
      </c>
      <c r="E1270" t="s">
        <v>8</v>
      </c>
      <c r="F1270" t="s">
        <v>9</v>
      </c>
      <c r="W1270">
        <v>1</v>
      </c>
      <c r="AJ1270">
        <f>SUM(Post[[#This Row],[47]:[75]])</f>
        <v>1</v>
      </c>
    </row>
    <row r="1271" spans="1:36" x14ac:dyDescent="0.2">
      <c r="A1271" t="s">
        <v>51</v>
      </c>
      <c r="B1271" t="s">
        <v>6</v>
      </c>
      <c r="C1271">
        <v>8980</v>
      </c>
      <c r="D1271" t="s">
        <v>22</v>
      </c>
      <c r="E1271" t="s">
        <v>8</v>
      </c>
      <c r="F1271" t="s">
        <v>9</v>
      </c>
      <c r="H1271">
        <v>1</v>
      </c>
      <c r="L1271">
        <v>1</v>
      </c>
      <c r="R1271">
        <v>1</v>
      </c>
      <c r="V1271">
        <v>1</v>
      </c>
      <c r="AA1271">
        <v>1</v>
      </c>
      <c r="AE1271">
        <v>1</v>
      </c>
      <c r="AJ1271">
        <f>SUM(Post[[#This Row],[47]:[75]])</f>
        <v>6</v>
      </c>
    </row>
    <row r="1272" spans="1:36" x14ac:dyDescent="0.2">
      <c r="A1272" t="s">
        <v>51</v>
      </c>
      <c r="B1272" t="s">
        <v>6</v>
      </c>
      <c r="C1272">
        <v>9931</v>
      </c>
      <c r="D1272" t="s">
        <v>22</v>
      </c>
      <c r="E1272" t="s">
        <v>8</v>
      </c>
      <c r="F1272" t="s">
        <v>23</v>
      </c>
      <c r="G1272">
        <v>1</v>
      </c>
      <c r="O1272">
        <v>1</v>
      </c>
      <c r="AB1272">
        <v>1</v>
      </c>
      <c r="AJ1272">
        <f>SUM(Post[[#This Row],[47]:[75]])</f>
        <v>3</v>
      </c>
    </row>
    <row r="1273" spans="1:36" x14ac:dyDescent="0.2">
      <c r="A1273" t="s">
        <v>51</v>
      </c>
      <c r="B1273" t="s">
        <v>6</v>
      </c>
      <c r="C1273">
        <v>11742</v>
      </c>
      <c r="D1273" t="s">
        <v>22</v>
      </c>
      <c r="E1273" t="s">
        <v>8</v>
      </c>
      <c r="F1273" t="s">
        <v>9</v>
      </c>
      <c r="I1273">
        <v>1</v>
      </c>
      <c r="Z1273">
        <v>1</v>
      </c>
      <c r="AJ1273">
        <f>SUM(Post[[#This Row],[47]:[75]])</f>
        <v>2</v>
      </c>
    </row>
    <row r="1274" spans="1:36" x14ac:dyDescent="0.2">
      <c r="A1274" t="s">
        <v>51</v>
      </c>
      <c r="B1274" t="s">
        <v>6</v>
      </c>
      <c r="C1274">
        <v>14719</v>
      </c>
      <c r="D1274" t="s">
        <v>22</v>
      </c>
      <c r="E1274" t="s">
        <v>8</v>
      </c>
      <c r="F1274" t="s">
        <v>23</v>
      </c>
      <c r="J1274">
        <v>1</v>
      </c>
      <c r="S1274">
        <v>1</v>
      </c>
      <c r="Y1274">
        <v>1</v>
      </c>
      <c r="AC1274">
        <v>1</v>
      </c>
      <c r="AJ1274">
        <f>SUM(Post[[#This Row],[47]:[75]])</f>
        <v>4</v>
      </c>
    </row>
    <row r="1275" spans="1:36" x14ac:dyDescent="0.2">
      <c r="A1275" t="s">
        <v>51</v>
      </c>
      <c r="B1275" t="s">
        <v>6</v>
      </c>
      <c r="C1275">
        <v>28322</v>
      </c>
      <c r="D1275" t="s">
        <v>22</v>
      </c>
      <c r="E1275" t="s">
        <v>8</v>
      </c>
      <c r="F1275" t="s">
        <v>9</v>
      </c>
      <c r="T1275">
        <v>1</v>
      </c>
      <c r="AG1275">
        <v>1</v>
      </c>
      <c r="AJ1275">
        <f>SUM(Post[[#This Row],[47]:[75]])</f>
        <v>2</v>
      </c>
    </row>
    <row r="1276" spans="1:36" x14ac:dyDescent="0.2">
      <c r="A1276" t="s">
        <v>51</v>
      </c>
      <c r="B1276" t="s">
        <v>6</v>
      </c>
      <c r="C1276">
        <v>29107</v>
      </c>
      <c r="D1276" t="s">
        <v>22</v>
      </c>
      <c r="E1276" t="s">
        <v>8</v>
      </c>
      <c r="F1276" t="s">
        <v>23</v>
      </c>
      <c r="T1276">
        <v>1</v>
      </c>
      <c r="AB1276">
        <v>1</v>
      </c>
      <c r="AJ1276">
        <f>SUM(Post[[#This Row],[47]:[75]])</f>
        <v>2</v>
      </c>
    </row>
    <row r="1277" spans="1:36" x14ac:dyDescent="0.2">
      <c r="A1277" t="s">
        <v>51</v>
      </c>
      <c r="B1277" t="s">
        <v>6</v>
      </c>
      <c r="C1277">
        <v>32354</v>
      </c>
      <c r="D1277" t="s">
        <v>22</v>
      </c>
      <c r="E1277" t="s">
        <v>8</v>
      </c>
      <c r="F1277" t="s">
        <v>23</v>
      </c>
      <c r="I1277">
        <v>1</v>
      </c>
      <c r="Y1277">
        <v>1</v>
      </c>
      <c r="AJ1277">
        <f>SUM(Post[[#This Row],[47]:[75]])</f>
        <v>2</v>
      </c>
    </row>
    <row r="1278" spans="1:36" x14ac:dyDescent="0.2">
      <c r="A1278" t="s">
        <v>51</v>
      </c>
      <c r="B1278" t="s">
        <v>6</v>
      </c>
      <c r="C1278">
        <v>3559</v>
      </c>
      <c r="D1278" t="s">
        <v>7</v>
      </c>
      <c r="E1278" t="s">
        <v>8</v>
      </c>
      <c r="F1278" t="s">
        <v>23</v>
      </c>
      <c r="S1278">
        <v>1</v>
      </c>
      <c r="AJ1278">
        <f>SUM(Post[[#This Row],[47]:[75]])</f>
        <v>1</v>
      </c>
    </row>
    <row r="1279" spans="1:36" x14ac:dyDescent="0.2">
      <c r="A1279" t="s">
        <v>51</v>
      </c>
      <c r="B1279" t="s">
        <v>6</v>
      </c>
      <c r="C1279">
        <v>3794</v>
      </c>
      <c r="D1279" t="s">
        <v>7</v>
      </c>
      <c r="E1279" t="s">
        <v>8</v>
      </c>
      <c r="F1279" t="s">
        <v>23</v>
      </c>
      <c r="G1279">
        <v>2</v>
      </c>
      <c r="T1279">
        <v>1</v>
      </c>
      <c r="AF1279">
        <v>1</v>
      </c>
      <c r="AJ1279">
        <f>SUM(Post[[#This Row],[47]:[75]])</f>
        <v>4</v>
      </c>
    </row>
    <row r="1280" spans="1:36" x14ac:dyDescent="0.2">
      <c r="A1280" t="s">
        <v>51</v>
      </c>
      <c r="B1280" t="s">
        <v>6</v>
      </c>
      <c r="C1280">
        <v>5216</v>
      </c>
      <c r="D1280" t="s">
        <v>7</v>
      </c>
      <c r="E1280" t="s">
        <v>8</v>
      </c>
      <c r="F1280" t="s">
        <v>9</v>
      </c>
      <c r="H1280">
        <v>1</v>
      </c>
      <c r="L1280">
        <v>1</v>
      </c>
      <c r="Q1280">
        <v>1</v>
      </c>
      <c r="V1280">
        <v>1</v>
      </c>
      <c r="AI1280">
        <v>1</v>
      </c>
      <c r="AJ1280">
        <f>SUM(Post[[#This Row],[47]:[75]])</f>
        <v>5</v>
      </c>
    </row>
    <row r="1281" spans="1:36" x14ac:dyDescent="0.2">
      <c r="A1281" t="s">
        <v>51</v>
      </c>
      <c r="B1281" t="s">
        <v>6</v>
      </c>
      <c r="C1281">
        <v>5233</v>
      </c>
      <c r="D1281" t="s">
        <v>7</v>
      </c>
      <c r="E1281" t="s">
        <v>37</v>
      </c>
      <c r="F1281" t="s">
        <v>38</v>
      </c>
      <c r="W1281">
        <v>1</v>
      </c>
      <c r="AJ1281">
        <f>SUM(Post[[#This Row],[47]:[75]])</f>
        <v>1</v>
      </c>
    </row>
    <row r="1282" spans="1:36" x14ac:dyDescent="0.2">
      <c r="A1282" t="s">
        <v>51</v>
      </c>
      <c r="B1282" t="s">
        <v>6</v>
      </c>
      <c r="C1282">
        <v>5233</v>
      </c>
      <c r="D1282" t="s">
        <v>7</v>
      </c>
      <c r="E1282" t="s">
        <v>8</v>
      </c>
      <c r="F1282" t="s">
        <v>30</v>
      </c>
      <c r="J1282">
        <v>1</v>
      </c>
      <c r="AJ1282">
        <f>SUM(Post[[#This Row],[47]:[75]])</f>
        <v>1</v>
      </c>
    </row>
    <row r="1283" spans="1:36" x14ac:dyDescent="0.2">
      <c r="A1283" t="s">
        <v>51</v>
      </c>
      <c r="B1283" t="s">
        <v>6</v>
      </c>
      <c r="C1283">
        <v>6630</v>
      </c>
      <c r="D1283" t="s">
        <v>7</v>
      </c>
      <c r="E1283" t="s">
        <v>8</v>
      </c>
      <c r="F1283" t="s">
        <v>9</v>
      </c>
      <c r="R1283">
        <v>2</v>
      </c>
      <c r="AJ1283">
        <f>SUM(Post[[#This Row],[47]:[75]])</f>
        <v>2</v>
      </c>
    </row>
    <row r="1284" spans="1:36" x14ac:dyDescent="0.2">
      <c r="A1284" t="s">
        <v>51</v>
      </c>
      <c r="B1284" t="s">
        <v>6</v>
      </c>
      <c r="C1284">
        <v>7379</v>
      </c>
      <c r="D1284" t="s">
        <v>7</v>
      </c>
      <c r="E1284" t="s">
        <v>8</v>
      </c>
      <c r="F1284" t="s">
        <v>23</v>
      </c>
      <c r="Q1284">
        <v>1</v>
      </c>
      <c r="AD1284">
        <v>1</v>
      </c>
      <c r="AJ1284">
        <f>SUM(Post[[#This Row],[47]:[75]])</f>
        <v>2</v>
      </c>
    </row>
    <row r="1285" spans="1:36" x14ac:dyDescent="0.2">
      <c r="A1285" t="s">
        <v>51</v>
      </c>
      <c r="B1285" t="s">
        <v>6</v>
      </c>
      <c r="C1285">
        <v>8318</v>
      </c>
      <c r="D1285" t="s">
        <v>7</v>
      </c>
      <c r="E1285" t="s">
        <v>8</v>
      </c>
      <c r="F1285" t="s">
        <v>34</v>
      </c>
      <c r="Q1285">
        <v>1</v>
      </c>
      <c r="AC1285">
        <v>1</v>
      </c>
      <c r="AJ1285">
        <f>SUM(Post[[#This Row],[47]:[75]])</f>
        <v>2</v>
      </c>
    </row>
    <row r="1286" spans="1:36" x14ac:dyDescent="0.2">
      <c r="A1286" t="s">
        <v>51</v>
      </c>
      <c r="B1286" t="s">
        <v>6</v>
      </c>
      <c r="C1286">
        <v>8737</v>
      </c>
      <c r="D1286" t="s">
        <v>7</v>
      </c>
      <c r="E1286" t="s">
        <v>8</v>
      </c>
      <c r="F1286" t="s">
        <v>23</v>
      </c>
      <c r="O1286">
        <v>1</v>
      </c>
      <c r="Z1286">
        <v>1</v>
      </c>
      <c r="AJ1286">
        <f>SUM(Post[[#This Row],[47]:[75]])</f>
        <v>2</v>
      </c>
    </row>
    <row r="1287" spans="1:36" x14ac:dyDescent="0.2">
      <c r="A1287" t="s">
        <v>51</v>
      </c>
      <c r="B1287" t="s">
        <v>6</v>
      </c>
      <c r="C1287">
        <v>9383</v>
      </c>
      <c r="D1287" t="s">
        <v>7</v>
      </c>
      <c r="E1287" t="s">
        <v>8</v>
      </c>
      <c r="F1287" t="s">
        <v>34</v>
      </c>
      <c r="L1287">
        <v>1</v>
      </c>
      <c r="Y1287">
        <v>1</v>
      </c>
      <c r="AJ1287">
        <f>SUM(Post[[#This Row],[47]:[75]])</f>
        <v>2</v>
      </c>
    </row>
    <row r="1288" spans="1:36" x14ac:dyDescent="0.2">
      <c r="A1288" t="s">
        <v>51</v>
      </c>
      <c r="B1288" t="s">
        <v>6</v>
      </c>
      <c r="C1288">
        <v>10364</v>
      </c>
      <c r="D1288" t="s">
        <v>7</v>
      </c>
      <c r="E1288" t="s">
        <v>8</v>
      </c>
      <c r="F1288" t="s">
        <v>9</v>
      </c>
      <c r="G1288">
        <v>1</v>
      </c>
      <c r="AJ1288">
        <f>SUM(Post[[#This Row],[47]:[75]])</f>
        <v>1</v>
      </c>
    </row>
    <row r="1289" spans="1:36" x14ac:dyDescent="0.2">
      <c r="A1289" t="s">
        <v>51</v>
      </c>
      <c r="B1289" t="s">
        <v>6</v>
      </c>
      <c r="C1289">
        <v>11039</v>
      </c>
      <c r="D1289" t="s">
        <v>7</v>
      </c>
      <c r="E1289" t="s">
        <v>8</v>
      </c>
      <c r="F1289" t="s">
        <v>23</v>
      </c>
      <c r="AJ1289">
        <f>SUM(Post[[#This Row],[47]:[75]])</f>
        <v>0</v>
      </c>
    </row>
    <row r="1290" spans="1:36" x14ac:dyDescent="0.2">
      <c r="A1290" t="s">
        <v>51</v>
      </c>
      <c r="B1290" t="s">
        <v>6</v>
      </c>
      <c r="C1290">
        <v>11545</v>
      </c>
      <c r="D1290" t="s">
        <v>7</v>
      </c>
      <c r="E1290" t="s">
        <v>8</v>
      </c>
      <c r="F1290" t="s">
        <v>23</v>
      </c>
      <c r="S1290">
        <v>1</v>
      </c>
      <c r="AF1290">
        <v>1</v>
      </c>
      <c r="AJ1290">
        <f>SUM(Post[[#This Row],[47]:[75]])</f>
        <v>2</v>
      </c>
    </row>
    <row r="1291" spans="1:36" x14ac:dyDescent="0.2">
      <c r="A1291" t="s">
        <v>51</v>
      </c>
      <c r="B1291" t="s">
        <v>6</v>
      </c>
      <c r="C1291">
        <v>13566</v>
      </c>
      <c r="D1291" t="s">
        <v>7</v>
      </c>
      <c r="E1291" t="s">
        <v>8</v>
      </c>
      <c r="F1291" t="s">
        <v>23</v>
      </c>
      <c r="S1291">
        <v>1</v>
      </c>
      <c r="AH1291">
        <v>1</v>
      </c>
      <c r="AJ1291">
        <f>SUM(Post[[#This Row],[47]:[75]])</f>
        <v>2</v>
      </c>
    </row>
    <row r="1292" spans="1:36" x14ac:dyDescent="0.2">
      <c r="A1292" t="s">
        <v>51</v>
      </c>
      <c r="B1292" t="s">
        <v>6</v>
      </c>
      <c r="C1292">
        <v>14806</v>
      </c>
      <c r="D1292" t="s">
        <v>7</v>
      </c>
      <c r="E1292" t="s">
        <v>8</v>
      </c>
      <c r="F1292" t="s">
        <v>29</v>
      </c>
      <c r="J1292">
        <v>1</v>
      </c>
      <c r="O1292">
        <v>1</v>
      </c>
      <c r="S1292">
        <v>1</v>
      </c>
      <c r="X1292">
        <v>1</v>
      </c>
      <c r="AB1292">
        <v>1</v>
      </c>
      <c r="AF1292">
        <v>1</v>
      </c>
      <c r="AJ1292">
        <f>SUM(Post[[#This Row],[47]:[75]])</f>
        <v>6</v>
      </c>
    </row>
    <row r="1293" spans="1:36" x14ac:dyDescent="0.2">
      <c r="A1293" t="s">
        <v>51</v>
      </c>
      <c r="B1293" t="s">
        <v>6</v>
      </c>
      <c r="C1293">
        <v>19579</v>
      </c>
      <c r="D1293" t="s">
        <v>7</v>
      </c>
      <c r="E1293" t="s">
        <v>8</v>
      </c>
      <c r="F1293" t="s">
        <v>23</v>
      </c>
      <c r="L1293">
        <v>1</v>
      </c>
      <c r="AA1293">
        <v>1</v>
      </c>
      <c r="AE1293">
        <v>1</v>
      </c>
      <c r="AJ1293">
        <f>SUM(Post[[#This Row],[47]:[75]])</f>
        <v>3</v>
      </c>
    </row>
    <row r="1294" spans="1:36" x14ac:dyDescent="0.2">
      <c r="A1294" t="s">
        <v>51</v>
      </c>
      <c r="B1294" t="s">
        <v>6</v>
      </c>
      <c r="C1294">
        <v>27090</v>
      </c>
      <c r="D1294" t="s">
        <v>7</v>
      </c>
      <c r="E1294" t="s">
        <v>8</v>
      </c>
      <c r="F1294" t="s">
        <v>23</v>
      </c>
      <c r="I1294">
        <v>2</v>
      </c>
      <c r="U1294">
        <v>1</v>
      </c>
      <c r="W1294">
        <v>1</v>
      </c>
      <c r="AI1294">
        <v>1</v>
      </c>
      <c r="AJ1294">
        <f>SUM(Post[[#This Row],[47]:[75]])</f>
        <v>5</v>
      </c>
    </row>
    <row r="1295" spans="1:36" x14ac:dyDescent="0.2">
      <c r="A1295" t="s">
        <v>51</v>
      </c>
      <c r="B1295" t="s">
        <v>6</v>
      </c>
      <c r="C1295">
        <v>28382</v>
      </c>
      <c r="D1295" t="s">
        <v>7</v>
      </c>
      <c r="E1295" t="s">
        <v>8</v>
      </c>
      <c r="F1295" t="s">
        <v>9</v>
      </c>
      <c r="AJ1295">
        <f>SUM(Post[[#This Row],[47]:[75]])</f>
        <v>0</v>
      </c>
    </row>
    <row r="1296" spans="1:36" x14ac:dyDescent="0.2">
      <c r="A1296" t="s">
        <v>51</v>
      </c>
      <c r="B1296" t="s">
        <v>6</v>
      </c>
      <c r="C1296">
        <v>814</v>
      </c>
      <c r="D1296" t="s">
        <v>22</v>
      </c>
      <c r="E1296" t="s">
        <v>8</v>
      </c>
      <c r="F1296" t="s">
        <v>23</v>
      </c>
      <c r="P1296">
        <v>1</v>
      </c>
      <c r="AD1296">
        <v>1</v>
      </c>
      <c r="AJ1296">
        <f>SUM(Post[[#This Row],[47]:[75]])</f>
        <v>2</v>
      </c>
    </row>
    <row r="1297" spans="1:36" x14ac:dyDescent="0.2">
      <c r="A1297" t="s">
        <v>51</v>
      </c>
      <c r="B1297" t="s">
        <v>6</v>
      </c>
      <c r="C1297">
        <v>1456</v>
      </c>
      <c r="D1297" t="s">
        <v>22</v>
      </c>
      <c r="E1297" t="s">
        <v>8</v>
      </c>
      <c r="F1297" t="s">
        <v>29</v>
      </c>
      <c r="G1297">
        <v>1</v>
      </c>
      <c r="AJ1297">
        <f>SUM(Post[[#This Row],[47]:[75]])</f>
        <v>1</v>
      </c>
    </row>
    <row r="1298" spans="1:36" x14ac:dyDescent="0.2">
      <c r="A1298" t="s">
        <v>51</v>
      </c>
      <c r="B1298" t="s">
        <v>6</v>
      </c>
      <c r="C1298">
        <v>6514</v>
      </c>
      <c r="D1298" t="s">
        <v>22</v>
      </c>
      <c r="E1298" t="s">
        <v>8</v>
      </c>
      <c r="F1298" t="s">
        <v>9</v>
      </c>
      <c r="L1298">
        <v>2</v>
      </c>
      <c r="Y1298">
        <v>1</v>
      </c>
      <c r="AJ1298">
        <f>SUM(Post[[#This Row],[47]:[75]])</f>
        <v>3</v>
      </c>
    </row>
    <row r="1299" spans="1:36" x14ac:dyDescent="0.2">
      <c r="A1299" t="s">
        <v>51</v>
      </c>
      <c r="B1299" t="s">
        <v>6</v>
      </c>
      <c r="C1299">
        <v>6604</v>
      </c>
      <c r="D1299" t="s">
        <v>22</v>
      </c>
      <c r="E1299" t="s">
        <v>37</v>
      </c>
      <c r="F1299" t="s">
        <v>39</v>
      </c>
      <c r="L1299">
        <v>2</v>
      </c>
      <c r="AA1299">
        <v>1</v>
      </c>
      <c r="AJ1299">
        <f>SUM(Post[[#This Row],[47]:[75]])</f>
        <v>3</v>
      </c>
    </row>
    <row r="1300" spans="1:36" x14ac:dyDescent="0.2">
      <c r="A1300" t="s">
        <v>51</v>
      </c>
      <c r="B1300" t="s">
        <v>6</v>
      </c>
      <c r="C1300">
        <v>6604</v>
      </c>
      <c r="D1300" t="s">
        <v>22</v>
      </c>
      <c r="E1300" t="s">
        <v>37</v>
      </c>
      <c r="F1300" t="s">
        <v>38</v>
      </c>
      <c r="N1300">
        <v>1</v>
      </c>
      <c r="AJ1300">
        <f>SUM(Post[[#This Row],[47]:[75]])</f>
        <v>1</v>
      </c>
    </row>
    <row r="1301" spans="1:36" x14ac:dyDescent="0.2">
      <c r="A1301" t="s">
        <v>51</v>
      </c>
      <c r="B1301" t="s">
        <v>6</v>
      </c>
      <c r="C1301">
        <v>7344</v>
      </c>
      <c r="D1301" t="s">
        <v>22</v>
      </c>
      <c r="E1301" t="s">
        <v>8</v>
      </c>
      <c r="F1301" t="s">
        <v>23</v>
      </c>
      <c r="G1301">
        <v>1</v>
      </c>
      <c r="AJ1301">
        <f>SUM(Post[[#This Row],[47]:[75]])</f>
        <v>1</v>
      </c>
    </row>
    <row r="1302" spans="1:36" x14ac:dyDescent="0.2">
      <c r="A1302" t="s">
        <v>51</v>
      </c>
      <c r="B1302" t="s">
        <v>6</v>
      </c>
      <c r="C1302">
        <v>7510</v>
      </c>
      <c r="D1302" t="s">
        <v>22</v>
      </c>
      <c r="E1302" t="s">
        <v>8</v>
      </c>
      <c r="F1302" t="s">
        <v>23</v>
      </c>
      <c r="S1302">
        <v>1</v>
      </c>
      <c r="W1302">
        <v>1</v>
      </c>
      <c r="AA1302">
        <v>1</v>
      </c>
      <c r="AE1302">
        <v>1</v>
      </c>
      <c r="AJ1302">
        <f>SUM(Post[[#This Row],[47]:[75]])</f>
        <v>4</v>
      </c>
    </row>
    <row r="1303" spans="1:36" x14ac:dyDescent="0.2">
      <c r="A1303" t="s">
        <v>51</v>
      </c>
      <c r="B1303" t="s">
        <v>6</v>
      </c>
      <c r="C1303">
        <v>9491</v>
      </c>
      <c r="D1303" t="s">
        <v>22</v>
      </c>
      <c r="E1303" t="s">
        <v>8</v>
      </c>
      <c r="F1303" t="s">
        <v>23</v>
      </c>
      <c r="I1303">
        <v>1</v>
      </c>
      <c r="W1303">
        <v>1</v>
      </c>
      <c r="AJ1303">
        <f>SUM(Post[[#This Row],[47]:[75]])</f>
        <v>2</v>
      </c>
    </row>
    <row r="1304" spans="1:36" x14ac:dyDescent="0.2">
      <c r="A1304" t="s">
        <v>51</v>
      </c>
      <c r="B1304" t="s">
        <v>6</v>
      </c>
      <c r="C1304">
        <v>9678</v>
      </c>
      <c r="D1304" t="s">
        <v>22</v>
      </c>
      <c r="E1304" t="s">
        <v>8</v>
      </c>
      <c r="F1304" t="s">
        <v>9</v>
      </c>
      <c r="K1304">
        <v>1</v>
      </c>
      <c r="AA1304">
        <v>4</v>
      </c>
      <c r="AJ1304">
        <f>SUM(Post[[#This Row],[47]:[75]])</f>
        <v>5</v>
      </c>
    </row>
    <row r="1305" spans="1:36" x14ac:dyDescent="0.2">
      <c r="A1305" t="s">
        <v>51</v>
      </c>
      <c r="B1305" t="s">
        <v>6</v>
      </c>
      <c r="C1305">
        <v>11117</v>
      </c>
      <c r="D1305" t="s">
        <v>22</v>
      </c>
      <c r="E1305" t="s">
        <v>8</v>
      </c>
      <c r="F1305" t="s">
        <v>9</v>
      </c>
      <c r="I1305">
        <v>1</v>
      </c>
      <c r="O1305">
        <v>1</v>
      </c>
      <c r="S1305">
        <v>1</v>
      </c>
      <c r="W1305">
        <v>1</v>
      </c>
      <c r="AA1305">
        <v>1</v>
      </c>
      <c r="AD1305">
        <v>1</v>
      </c>
      <c r="AH1305">
        <v>2</v>
      </c>
      <c r="AJ1305">
        <f>SUM(Post[[#This Row],[47]:[75]])</f>
        <v>8</v>
      </c>
    </row>
    <row r="1306" spans="1:36" x14ac:dyDescent="0.2">
      <c r="A1306" t="s">
        <v>51</v>
      </c>
      <c r="B1306" t="s">
        <v>6</v>
      </c>
      <c r="C1306">
        <v>13565</v>
      </c>
      <c r="D1306" t="s">
        <v>22</v>
      </c>
      <c r="E1306" t="s">
        <v>8</v>
      </c>
      <c r="F1306" t="s">
        <v>9</v>
      </c>
      <c r="S1306">
        <v>1</v>
      </c>
      <c r="AH1306">
        <v>3</v>
      </c>
      <c r="AJ1306">
        <f>SUM(Post[[#This Row],[47]:[75]])</f>
        <v>4</v>
      </c>
    </row>
    <row r="1307" spans="1:36" x14ac:dyDescent="0.2">
      <c r="A1307" t="s">
        <v>51</v>
      </c>
      <c r="B1307" t="s">
        <v>6</v>
      </c>
      <c r="C1307">
        <v>20364</v>
      </c>
      <c r="D1307" t="s">
        <v>22</v>
      </c>
      <c r="E1307" t="s">
        <v>8</v>
      </c>
      <c r="F1307" t="s">
        <v>23</v>
      </c>
      <c r="AJ1307">
        <f>SUM(Post[[#This Row],[47]:[75]])</f>
        <v>0</v>
      </c>
    </row>
    <row r="1308" spans="1:36" x14ac:dyDescent="0.2">
      <c r="A1308" t="s">
        <v>51</v>
      </c>
      <c r="B1308" t="s">
        <v>6</v>
      </c>
      <c r="C1308">
        <v>30286</v>
      </c>
      <c r="D1308" t="s">
        <v>22</v>
      </c>
      <c r="E1308" t="s">
        <v>8</v>
      </c>
      <c r="F1308" t="s">
        <v>9</v>
      </c>
      <c r="G1308">
        <v>1</v>
      </c>
      <c r="H1308">
        <v>1</v>
      </c>
      <c r="I1308">
        <v>1</v>
      </c>
      <c r="J1308">
        <v>1</v>
      </c>
      <c r="K1308">
        <v>2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2</v>
      </c>
      <c r="AH1308">
        <v>1</v>
      </c>
      <c r="AJ1308">
        <f>SUM(Post[[#This Row],[47]:[75]])</f>
        <v>28</v>
      </c>
    </row>
    <row r="1309" spans="1:36" x14ac:dyDescent="0.2">
      <c r="A1309" t="s">
        <v>53</v>
      </c>
      <c r="B1309" t="s">
        <v>54</v>
      </c>
      <c r="C1309">
        <v>1755</v>
      </c>
      <c r="D1309" t="s">
        <v>22</v>
      </c>
      <c r="E1309" t="s">
        <v>8</v>
      </c>
      <c r="F1309" t="s">
        <v>23</v>
      </c>
      <c r="Q1309">
        <v>1</v>
      </c>
      <c r="AE1309">
        <v>1</v>
      </c>
      <c r="AJ1309">
        <f>SUM(Post[[#This Row],[47]:[75]])</f>
        <v>2</v>
      </c>
    </row>
    <row r="1310" spans="1:36" x14ac:dyDescent="0.2">
      <c r="A1310" t="s">
        <v>53</v>
      </c>
      <c r="B1310" t="s">
        <v>54</v>
      </c>
      <c r="C1310">
        <v>6001</v>
      </c>
      <c r="D1310" t="s">
        <v>22</v>
      </c>
      <c r="E1310" t="s">
        <v>8</v>
      </c>
      <c r="F1310" t="s">
        <v>9</v>
      </c>
      <c r="R1310">
        <v>1</v>
      </c>
      <c r="AE1310">
        <v>1</v>
      </c>
      <c r="AJ1310">
        <f>SUM(Post[[#This Row],[47]:[75]])</f>
        <v>2</v>
      </c>
    </row>
    <row r="1311" spans="1:36" x14ac:dyDescent="0.2">
      <c r="A1311" t="s">
        <v>53</v>
      </c>
      <c r="B1311" t="s">
        <v>54</v>
      </c>
      <c r="C1311">
        <v>7505</v>
      </c>
      <c r="D1311" t="s">
        <v>22</v>
      </c>
      <c r="E1311" t="s">
        <v>8</v>
      </c>
      <c r="F1311" t="s">
        <v>9</v>
      </c>
      <c r="O1311">
        <v>1</v>
      </c>
      <c r="AC1311">
        <v>1</v>
      </c>
      <c r="AJ1311">
        <f>SUM(Post[[#This Row],[47]:[75]])</f>
        <v>2</v>
      </c>
    </row>
    <row r="1312" spans="1:36" x14ac:dyDescent="0.2">
      <c r="A1312" t="s">
        <v>53</v>
      </c>
      <c r="B1312" t="s">
        <v>54</v>
      </c>
      <c r="C1312">
        <v>15506</v>
      </c>
      <c r="D1312" t="s">
        <v>22</v>
      </c>
      <c r="E1312" t="s">
        <v>8</v>
      </c>
      <c r="F1312" t="s">
        <v>23</v>
      </c>
      <c r="K1312">
        <v>2</v>
      </c>
      <c r="V1312">
        <v>1</v>
      </c>
      <c r="AJ1312">
        <f>SUM(Post[[#This Row],[47]:[75]])</f>
        <v>3</v>
      </c>
    </row>
    <row r="1313" spans="1:36" x14ac:dyDescent="0.2">
      <c r="A1313" t="s">
        <v>53</v>
      </c>
      <c r="B1313" t="s">
        <v>54</v>
      </c>
      <c r="C1313">
        <v>16935</v>
      </c>
      <c r="D1313" t="s">
        <v>22</v>
      </c>
      <c r="E1313" t="s">
        <v>14</v>
      </c>
      <c r="F1313" t="s">
        <v>19</v>
      </c>
      <c r="AF1313">
        <v>1</v>
      </c>
      <c r="AJ1313">
        <f>SUM(Post[[#This Row],[47]:[75]])</f>
        <v>1</v>
      </c>
    </row>
    <row r="1314" spans="1:36" x14ac:dyDescent="0.2">
      <c r="A1314" t="s">
        <v>53</v>
      </c>
      <c r="B1314" t="s">
        <v>54</v>
      </c>
      <c r="C1314">
        <v>19513</v>
      </c>
      <c r="D1314" t="s">
        <v>22</v>
      </c>
      <c r="E1314" t="s">
        <v>8</v>
      </c>
      <c r="F1314" t="s">
        <v>23</v>
      </c>
      <c r="G1314">
        <v>1</v>
      </c>
      <c r="N1314">
        <v>1</v>
      </c>
      <c r="Q1314">
        <v>1</v>
      </c>
      <c r="Y1314">
        <v>1</v>
      </c>
      <c r="AC1314">
        <v>1</v>
      </c>
      <c r="AG1314">
        <v>1</v>
      </c>
      <c r="AJ1314">
        <f>SUM(Post[[#This Row],[47]:[75]])</f>
        <v>6</v>
      </c>
    </row>
    <row r="1315" spans="1:36" x14ac:dyDescent="0.2">
      <c r="A1315" t="s">
        <v>53</v>
      </c>
      <c r="B1315" t="s">
        <v>54</v>
      </c>
      <c r="C1315">
        <v>6224</v>
      </c>
      <c r="D1315" t="s">
        <v>22</v>
      </c>
      <c r="E1315" t="s">
        <v>8</v>
      </c>
      <c r="F1315" t="s">
        <v>23</v>
      </c>
      <c r="U1315">
        <v>1</v>
      </c>
      <c r="AF1315">
        <v>1</v>
      </c>
      <c r="AJ1315">
        <f>SUM(Post[[#This Row],[47]:[75]])</f>
        <v>2</v>
      </c>
    </row>
    <row r="1316" spans="1:36" x14ac:dyDescent="0.2">
      <c r="A1316" t="s">
        <v>53</v>
      </c>
      <c r="B1316" t="s">
        <v>54</v>
      </c>
      <c r="C1316">
        <v>17443</v>
      </c>
      <c r="D1316" t="s">
        <v>22</v>
      </c>
      <c r="E1316" t="s">
        <v>8</v>
      </c>
      <c r="F1316" t="s">
        <v>9</v>
      </c>
      <c r="N1316">
        <v>4</v>
      </c>
      <c r="AB1316">
        <v>1</v>
      </c>
      <c r="AJ1316">
        <f>SUM(Post[[#This Row],[47]:[75]])</f>
        <v>5</v>
      </c>
    </row>
    <row r="1317" spans="1:36" x14ac:dyDescent="0.2">
      <c r="A1317" t="s">
        <v>53</v>
      </c>
      <c r="B1317" t="s">
        <v>54</v>
      </c>
      <c r="C1317">
        <v>1436</v>
      </c>
      <c r="D1317" t="s">
        <v>7</v>
      </c>
      <c r="E1317" t="s">
        <v>14</v>
      </c>
      <c r="F1317" t="s">
        <v>21</v>
      </c>
      <c r="AJ1317">
        <f>SUM(Post[[#This Row],[47]:[75]])</f>
        <v>0</v>
      </c>
    </row>
    <row r="1318" spans="1:36" x14ac:dyDescent="0.2">
      <c r="A1318" t="s">
        <v>53</v>
      </c>
      <c r="B1318" t="s">
        <v>54</v>
      </c>
      <c r="C1318">
        <v>1755</v>
      </c>
      <c r="D1318" t="s">
        <v>22</v>
      </c>
      <c r="E1318" t="s">
        <v>14</v>
      </c>
      <c r="F1318" t="s">
        <v>35</v>
      </c>
      <c r="AA1318">
        <v>2</v>
      </c>
      <c r="AJ1318">
        <f>SUM(Post[[#This Row],[47]:[75]])</f>
        <v>2</v>
      </c>
    </row>
    <row r="1319" spans="1:36" x14ac:dyDescent="0.2">
      <c r="A1319" t="s">
        <v>53</v>
      </c>
      <c r="B1319" t="s">
        <v>54</v>
      </c>
      <c r="C1319">
        <v>10232</v>
      </c>
      <c r="D1319" t="s">
        <v>7</v>
      </c>
      <c r="E1319" t="s">
        <v>8</v>
      </c>
      <c r="F1319" t="s">
        <v>9</v>
      </c>
      <c r="I1319">
        <v>1</v>
      </c>
      <c r="AJ1319">
        <f>SUM(Post[[#This Row],[47]:[75]])</f>
        <v>1</v>
      </c>
    </row>
    <row r="1320" spans="1:36" x14ac:dyDescent="0.2">
      <c r="A1320" t="s">
        <v>53</v>
      </c>
      <c r="B1320" t="s">
        <v>54</v>
      </c>
      <c r="C1320">
        <v>32529</v>
      </c>
      <c r="D1320" t="s">
        <v>7</v>
      </c>
      <c r="E1320" t="s">
        <v>8</v>
      </c>
      <c r="F1320" t="s">
        <v>29</v>
      </c>
      <c r="T1320">
        <v>1</v>
      </c>
      <c r="AJ1320">
        <f>SUM(Post[[#This Row],[47]:[75]])</f>
        <v>1</v>
      </c>
    </row>
    <row r="1321" spans="1:36" x14ac:dyDescent="0.2">
      <c r="A1321" t="s">
        <v>53</v>
      </c>
      <c r="B1321" t="s">
        <v>54</v>
      </c>
      <c r="C1321">
        <v>5945</v>
      </c>
      <c r="D1321" t="s">
        <v>22</v>
      </c>
      <c r="E1321" t="s">
        <v>8</v>
      </c>
      <c r="F1321" t="s">
        <v>23</v>
      </c>
      <c r="Y1321">
        <v>1</v>
      </c>
      <c r="AD1321">
        <v>1</v>
      </c>
      <c r="AH1321">
        <v>1</v>
      </c>
      <c r="AJ1321">
        <f>SUM(Post[[#This Row],[47]:[75]])</f>
        <v>3</v>
      </c>
    </row>
    <row r="1322" spans="1:36" x14ac:dyDescent="0.2">
      <c r="A1322" t="s">
        <v>53</v>
      </c>
      <c r="B1322" t="s">
        <v>54</v>
      </c>
      <c r="C1322">
        <v>5945</v>
      </c>
      <c r="D1322" t="s">
        <v>22</v>
      </c>
      <c r="E1322" t="s">
        <v>26</v>
      </c>
      <c r="F1322" t="s">
        <v>27</v>
      </c>
      <c r="AJ1322">
        <f>SUM(Post[[#This Row],[47]:[75]])</f>
        <v>0</v>
      </c>
    </row>
    <row r="1323" spans="1:36" x14ac:dyDescent="0.2">
      <c r="A1323" t="s">
        <v>53</v>
      </c>
      <c r="B1323" t="s">
        <v>54</v>
      </c>
      <c r="C1323">
        <v>10805</v>
      </c>
      <c r="D1323" t="s">
        <v>22</v>
      </c>
      <c r="E1323" t="s">
        <v>8</v>
      </c>
      <c r="F1323" t="s">
        <v>23</v>
      </c>
      <c r="I1323">
        <v>1</v>
      </c>
      <c r="AJ1323">
        <f>SUM(Post[[#This Row],[47]:[75]])</f>
        <v>1</v>
      </c>
    </row>
    <row r="1324" spans="1:36" x14ac:dyDescent="0.2">
      <c r="A1324" t="s">
        <v>53</v>
      </c>
      <c r="B1324" t="s">
        <v>54</v>
      </c>
      <c r="C1324">
        <v>16935</v>
      </c>
      <c r="D1324" t="s">
        <v>22</v>
      </c>
      <c r="E1324" t="s">
        <v>8</v>
      </c>
      <c r="F1324" t="s">
        <v>9</v>
      </c>
      <c r="K1324">
        <v>1</v>
      </c>
      <c r="X1324">
        <v>1</v>
      </c>
      <c r="AJ1324">
        <f>SUM(Post[[#This Row],[47]:[75]])</f>
        <v>2</v>
      </c>
    </row>
    <row r="1325" spans="1:36" x14ac:dyDescent="0.2">
      <c r="A1325" t="s">
        <v>53</v>
      </c>
      <c r="B1325" t="s">
        <v>54</v>
      </c>
      <c r="C1325">
        <v>20274</v>
      </c>
      <c r="D1325" t="s">
        <v>22</v>
      </c>
      <c r="E1325" t="s">
        <v>37</v>
      </c>
      <c r="F1325" t="s">
        <v>55</v>
      </c>
      <c r="S1325">
        <v>1</v>
      </c>
      <c r="AI1325">
        <v>1</v>
      </c>
      <c r="AJ1325">
        <f>SUM(Post[[#This Row],[47]:[75]])</f>
        <v>2</v>
      </c>
    </row>
    <row r="1326" spans="1:36" x14ac:dyDescent="0.2">
      <c r="A1326" t="s">
        <v>53</v>
      </c>
      <c r="B1326" t="s">
        <v>54</v>
      </c>
      <c r="C1326">
        <v>20274</v>
      </c>
      <c r="D1326" t="s">
        <v>22</v>
      </c>
      <c r="E1326" t="s">
        <v>26</v>
      </c>
      <c r="F1326" t="s">
        <v>27</v>
      </c>
      <c r="S1326">
        <v>1</v>
      </c>
      <c r="AI1326">
        <v>1</v>
      </c>
      <c r="AJ1326">
        <f>SUM(Post[[#This Row],[47]:[75]])</f>
        <v>2</v>
      </c>
    </row>
    <row r="1327" spans="1:36" x14ac:dyDescent="0.2">
      <c r="A1327" t="s">
        <v>56</v>
      </c>
      <c r="B1327" t="s">
        <v>54</v>
      </c>
      <c r="C1327">
        <v>755</v>
      </c>
      <c r="D1327" t="s">
        <v>7</v>
      </c>
      <c r="E1327" t="s">
        <v>14</v>
      </c>
      <c r="F1327" t="s">
        <v>21</v>
      </c>
      <c r="AJ1327">
        <f>SUM(Post[[#This Row],[47]:[75]])</f>
        <v>0</v>
      </c>
    </row>
    <row r="1328" spans="1:36" x14ac:dyDescent="0.2">
      <c r="A1328" t="s">
        <v>56</v>
      </c>
      <c r="B1328" t="s">
        <v>54</v>
      </c>
      <c r="C1328">
        <v>855</v>
      </c>
      <c r="D1328" t="s">
        <v>7</v>
      </c>
      <c r="E1328" t="s">
        <v>14</v>
      </c>
      <c r="F1328" t="s">
        <v>19</v>
      </c>
      <c r="H1328">
        <v>1</v>
      </c>
      <c r="N1328">
        <v>1</v>
      </c>
      <c r="R1328">
        <v>1</v>
      </c>
      <c r="V1328">
        <v>1</v>
      </c>
      <c r="AA1328">
        <v>1</v>
      </c>
      <c r="AD1328">
        <v>1</v>
      </c>
      <c r="AJ1328">
        <f>SUM(Post[[#This Row],[47]:[75]])</f>
        <v>6</v>
      </c>
    </row>
    <row r="1329" spans="1:36" x14ac:dyDescent="0.2">
      <c r="A1329" t="s">
        <v>56</v>
      </c>
      <c r="B1329" t="s">
        <v>54</v>
      </c>
      <c r="C1329">
        <v>1752</v>
      </c>
      <c r="D1329" t="s">
        <v>7</v>
      </c>
      <c r="E1329" t="s">
        <v>8</v>
      </c>
      <c r="F1329" t="s">
        <v>9</v>
      </c>
      <c r="P1329">
        <v>1</v>
      </c>
      <c r="AC1329">
        <v>1</v>
      </c>
      <c r="AJ1329">
        <f>SUM(Post[[#This Row],[47]:[75]])</f>
        <v>2</v>
      </c>
    </row>
    <row r="1330" spans="1:36" x14ac:dyDescent="0.2">
      <c r="A1330" t="s">
        <v>56</v>
      </c>
      <c r="B1330" t="s">
        <v>54</v>
      </c>
      <c r="C1330">
        <v>4237</v>
      </c>
      <c r="D1330" t="s">
        <v>7</v>
      </c>
      <c r="E1330" t="s">
        <v>8</v>
      </c>
      <c r="F1330" t="s">
        <v>23</v>
      </c>
      <c r="S1330">
        <v>1</v>
      </c>
      <c r="AJ1330">
        <f>SUM(Post[[#This Row],[47]:[75]])</f>
        <v>1</v>
      </c>
    </row>
    <row r="1331" spans="1:36" x14ac:dyDescent="0.2">
      <c r="A1331" t="s">
        <v>56</v>
      </c>
      <c r="B1331" t="s">
        <v>54</v>
      </c>
      <c r="C1331">
        <v>5926</v>
      </c>
      <c r="D1331" t="s">
        <v>7</v>
      </c>
      <c r="E1331" t="s">
        <v>10</v>
      </c>
      <c r="F1331" t="s">
        <v>11</v>
      </c>
      <c r="H1331">
        <v>1</v>
      </c>
      <c r="AB1331">
        <v>1</v>
      </c>
      <c r="AJ1331">
        <f>SUM(Post[[#This Row],[47]:[75]])</f>
        <v>2</v>
      </c>
    </row>
    <row r="1332" spans="1:36" x14ac:dyDescent="0.2">
      <c r="A1332" t="s">
        <v>56</v>
      </c>
      <c r="B1332" t="s">
        <v>54</v>
      </c>
      <c r="C1332">
        <v>9159</v>
      </c>
      <c r="D1332" t="s">
        <v>7</v>
      </c>
      <c r="E1332" t="s">
        <v>8</v>
      </c>
      <c r="F1332" t="s">
        <v>23</v>
      </c>
      <c r="P1332">
        <v>1</v>
      </c>
      <c r="AE1332">
        <v>1</v>
      </c>
      <c r="AJ1332">
        <f>SUM(Post[[#This Row],[47]:[75]])</f>
        <v>2</v>
      </c>
    </row>
    <row r="1333" spans="1:36" x14ac:dyDescent="0.2">
      <c r="A1333" t="s">
        <v>56</v>
      </c>
      <c r="B1333" t="s">
        <v>54</v>
      </c>
      <c r="C1333">
        <v>9773</v>
      </c>
      <c r="D1333" t="s">
        <v>7</v>
      </c>
      <c r="E1333" t="s">
        <v>8</v>
      </c>
      <c r="F1333" t="s">
        <v>9</v>
      </c>
      <c r="AJ1333">
        <f>SUM(Post[[#This Row],[47]:[75]])</f>
        <v>0</v>
      </c>
    </row>
    <row r="1334" spans="1:36" x14ac:dyDescent="0.2">
      <c r="A1334" t="s">
        <v>56</v>
      </c>
      <c r="B1334" t="s">
        <v>54</v>
      </c>
      <c r="C1334">
        <v>10044</v>
      </c>
      <c r="D1334" t="s">
        <v>7</v>
      </c>
      <c r="E1334" t="s">
        <v>8</v>
      </c>
      <c r="F1334" t="s">
        <v>9</v>
      </c>
      <c r="J1334">
        <v>1</v>
      </c>
      <c r="V1334">
        <v>2</v>
      </c>
      <c r="AF1334">
        <v>1</v>
      </c>
      <c r="AJ1334">
        <f>SUM(Post[[#This Row],[47]:[75]])</f>
        <v>4</v>
      </c>
    </row>
    <row r="1335" spans="1:36" x14ac:dyDescent="0.2">
      <c r="A1335" t="s">
        <v>56</v>
      </c>
      <c r="B1335" t="s">
        <v>54</v>
      </c>
      <c r="C1335">
        <v>10044</v>
      </c>
      <c r="D1335" t="s">
        <v>7</v>
      </c>
      <c r="E1335" t="s">
        <v>26</v>
      </c>
      <c r="F1335" t="s">
        <v>27</v>
      </c>
      <c r="J1335">
        <v>1</v>
      </c>
      <c r="V1335">
        <v>2</v>
      </c>
      <c r="AF1335">
        <v>1</v>
      </c>
      <c r="AJ1335">
        <f>SUM(Post[[#This Row],[47]:[75]])</f>
        <v>4</v>
      </c>
    </row>
    <row r="1336" spans="1:36" x14ac:dyDescent="0.2">
      <c r="A1336" t="s">
        <v>56</v>
      </c>
      <c r="B1336" t="s">
        <v>54</v>
      </c>
      <c r="C1336">
        <v>10686</v>
      </c>
      <c r="D1336" t="s">
        <v>7</v>
      </c>
      <c r="E1336" t="s">
        <v>10</v>
      </c>
      <c r="F1336" t="s">
        <v>11</v>
      </c>
      <c r="AJ1336">
        <f>SUM(Post[[#This Row],[47]:[75]])</f>
        <v>0</v>
      </c>
    </row>
    <row r="1337" spans="1:36" x14ac:dyDescent="0.2">
      <c r="A1337" t="s">
        <v>56</v>
      </c>
      <c r="B1337" t="s">
        <v>54</v>
      </c>
      <c r="C1337">
        <v>10808</v>
      </c>
      <c r="D1337" t="s">
        <v>7</v>
      </c>
      <c r="E1337" t="s">
        <v>8</v>
      </c>
      <c r="F1337" t="s">
        <v>23</v>
      </c>
      <c r="R1337">
        <v>1</v>
      </c>
      <c r="AD1337">
        <v>1</v>
      </c>
      <c r="AI1337">
        <v>2</v>
      </c>
      <c r="AJ1337">
        <f>SUM(Post[[#This Row],[47]:[75]])</f>
        <v>4</v>
      </c>
    </row>
    <row r="1338" spans="1:36" x14ac:dyDescent="0.2">
      <c r="A1338" t="s">
        <v>56</v>
      </c>
      <c r="B1338" t="s">
        <v>54</v>
      </c>
      <c r="C1338">
        <v>12899</v>
      </c>
      <c r="D1338" t="s">
        <v>7</v>
      </c>
      <c r="E1338" t="s">
        <v>12</v>
      </c>
      <c r="F1338" t="s">
        <v>13</v>
      </c>
      <c r="AJ1338">
        <f>SUM(Post[[#This Row],[47]:[75]])</f>
        <v>0</v>
      </c>
    </row>
    <row r="1339" spans="1:36" x14ac:dyDescent="0.2">
      <c r="A1339" t="s">
        <v>56</v>
      </c>
      <c r="B1339" t="s">
        <v>54</v>
      </c>
      <c r="C1339">
        <v>13036</v>
      </c>
      <c r="D1339" t="s">
        <v>7</v>
      </c>
      <c r="E1339" t="s">
        <v>8</v>
      </c>
      <c r="F1339" t="s">
        <v>9</v>
      </c>
      <c r="L1339">
        <v>3</v>
      </c>
      <c r="AJ1339">
        <f>SUM(Post[[#This Row],[47]:[75]])</f>
        <v>3</v>
      </c>
    </row>
    <row r="1340" spans="1:36" x14ac:dyDescent="0.2">
      <c r="A1340" t="s">
        <v>56</v>
      </c>
      <c r="B1340" t="s">
        <v>54</v>
      </c>
      <c r="C1340">
        <v>13099</v>
      </c>
      <c r="D1340" t="s">
        <v>7</v>
      </c>
      <c r="E1340" t="s">
        <v>14</v>
      </c>
      <c r="F1340" t="s">
        <v>19</v>
      </c>
      <c r="G1340">
        <v>1</v>
      </c>
      <c r="AJ1340">
        <f>SUM(Post[[#This Row],[47]:[75]])</f>
        <v>1</v>
      </c>
    </row>
    <row r="1341" spans="1:36" x14ac:dyDescent="0.2">
      <c r="A1341" t="s">
        <v>56</v>
      </c>
      <c r="B1341" t="s">
        <v>54</v>
      </c>
      <c r="C1341">
        <v>13099</v>
      </c>
      <c r="D1341" t="s">
        <v>7</v>
      </c>
      <c r="E1341" t="s">
        <v>14</v>
      </c>
      <c r="F1341" t="s">
        <v>20</v>
      </c>
      <c r="AJ1341">
        <f>SUM(Post[[#This Row],[47]:[75]])</f>
        <v>0</v>
      </c>
    </row>
    <row r="1342" spans="1:36" x14ac:dyDescent="0.2">
      <c r="A1342" t="s">
        <v>56</v>
      </c>
      <c r="B1342" t="s">
        <v>54</v>
      </c>
      <c r="C1342">
        <v>13549</v>
      </c>
      <c r="D1342" t="s">
        <v>7</v>
      </c>
      <c r="E1342" t="s">
        <v>8</v>
      </c>
      <c r="F1342" t="s">
        <v>9</v>
      </c>
      <c r="V1342">
        <v>1</v>
      </c>
      <c r="AI1342">
        <v>1</v>
      </c>
      <c r="AJ1342">
        <f>SUM(Post[[#This Row],[47]:[75]])</f>
        <v>2</v>
      </c>
    </row>
    <row r="1343" spans="1:36" x14ac:dyDescent="0.2">
      <c r="A1343" t="s">
        <v>56</v>
      </c>
      <c r="B1343" t="s">
        <v>54</v>
      </c>
      <c r="C1343">
        <v>14671</v>
      </c>
      <c r="D1343" t="s">
        <v>7</v>
      </c>
      <c r="E1343" t="s">
        <v>14</v>
      </c>
      <c r="F1343" t="s">
        <v>15</v>
      </c>
      <c r="AJ1343">
        <f>SUM(Post[[#This Row],[47]:[75]])</f>
        <v>0</v>
      </c>
    </row>
    <row r="1344" spans="1:36" x14ac:dyDescent="0.2">
      <c r="A1344" t="s">
        <v>56</v>
      </c>
      <c r="B1344" t="s">
        <v>54</v>
      </c>
      <c r="C1344">
        <v>18798</v>
      </c>
      <c r="D1344" t="s">
        <v>7</v>
      </c>
      <c r="E1344" t="s">
        <v>8</v>
      </c>
      <c r="F1344" t="s">
        <v>9</v>
      </c>
      <c r="R1344">
        <v>1</v>
      </c>
      <c r="AJ1344">
        <f>SUM(Post[[#This Row],[47]:[75]])</f>
        <v>1</v>
      </c>
    </row>
    <row r="1345" spans="1:36" x14ac:dyDescent="0.2">
      <c r="A1345" t="s">
        <v>56</v>
      </c>
      <c r="B1345" t="s">
        <v>54</v>
      </c>
      <c r="C1345">
        <v>18914</v>
      </c>
      <c r="D1345" t="s">
        <v>7</v>
      </c>
      <c r="E1345" t="s">
        <v>8</v>
      </c>
      <c r="F1345" t="s">
        <v>9</v>
      </c>
      <c r="J1345">
        <v>2</v>
      </c>
      <c r="X1345">
        <v>2</v>
      </c>
      <c r="AJ1345">
        <f>SUM(Post[[#This Row],[47]:[75]])</f>
        <v>4</v>
      </c>
    </row>
    <row r="1346" spans="1:36" x14ac:dyDescent="0.2">
      <c r="A1346" t="s">
        <v>56</v>
      </c>
      <c r="B1346" t="s">
        <v>54</v>
      </c>
      <c r="C1346">
        <v>21202</v>
      </c>
      <c r="D1346" t="s">
        <v>7</v>
      </c>
      <c r="E1346" t="s">
        <v>14</v>
      </c>
      <c r="F1346" t="s">
        <v>20</v>
      </c>
      <c r="R1346">
        <v>1</v>
      </c>
      <c r="AJ1346">
        <f>SUM(Post[[#This Row],[47]:[75]])</f>
        <v>1</v>
      </c>
    </row>
    <row r="1347" spans="1:36" x14ac:dyDescent="0.2">
      <c r="A1347" t="s">
        <v>56</v>
      </c>
      <c r="B1347" t="s">
        <v>54</v>
      </c>
      <c r="C1347">
        <v>22625</v>
      </c>
      <c r="D1347" t="s">
        <v>7</v>
      </c>
      <c r="E1347" t="s">
        <v>14</v>
      </c>
      <c r="F1347" t="s">
        <v>20</v>
      </c>
      <c r="S1347">
        <v>1</v>
      </c>
      <c r="AE1347">
        <v>1</v>
      </c>
      <c r="AJ1347">
        <f>SUM(Post[[#This Row],[47]:[75]])</f>
        <v>2</v>
      </c>
    </row>
    <row r="1348" spans="1:36" x14ac:dyDescent="0.2">
      <c r="A1348" t="s">
        <v>56</v>
      </c>
      <c r="B1348" t="s">
        <v>54</v>
      </c>
      <c r="C1348">
        <v>22846</v>
      </c>
      <c r="D1348" t="s">
        <v>7</v>
      </c>
      <c r="E1348" t="s">
        <v>8</v>
      </c>
      <c r="F1348" t="s">
        <v>23</v>
      </c>
      <c r="J1348">
        <v>1</v>
      </c>
      <c r="X1348">
        <v>2</v>
      </c>
      <c r="AJ1348">
        <f>SUM(Post[[#This Row],[47]:[75]])</f>
        <v>3</v>
      </c>
    </row>
    <row r="1349" spans="1:36" x14ac:dyDescent="0.2">
      <c r="A1349" t="s">
        <v>56</v>
      </c>
      <c r="B1349" t="s">
        <v>54</v>
      </c>
      <c r="C1349">
        <v>22846</v>
      </c>
      <c r="D1349" t="s">
        <v>7</v>
      </c>
      <c r="E1349" t="s">
        <v>14</v>
      </c>
      <c r="F1349" t="s">
        <v>20</v>
      </c>
      <c r="AA1349">
        <v>2</v>
      </c>
      <c r="AJ1349">
        <f>SUM(Post[[#This Row],[47]:[75]])</f>
        <v>2</v>
      </c>
    </row>
    <row r="1350" spans="1:36" x14ac:dyDescent="0.2">
      <c r="A1350" t="s">
        <v>56</v>
      </c>
      <c r="B1350" t="s">
        <v>54</v>
      </c>
      <c r="C1350">
        <v>29657</v>
      </c>
      <c r="D1350" t="s">
        <v>7</v>
      </c>
      <c r="E1350" t="s">
        <v>8</v>
      </c>
      <c r="F1350" t="s">
        <v>9</v>
      </c>
      <c r="AH1350">
        <v>1</v>
      </c>
      <c r="AJ1350">
        <f>SUM(Post[[#This Row],[47]:[75]])</f>
        <v>1</v>
      </c>
    </row>
    <row r="1351" spans="1:36" x14ac:dyDescent="0.2">
      <c r="A1351" t="s">
        <v>56</v>
      </c>
      <c r="B1351" t="s">
        <v>54</v>
      </c>
      <c r="C1351">
        <v>4190</v>
      </c>
      <c r="D1351" t="s">
        <v>22</v>
      </c>
      <c r="E1351" t="s">
        <v>8</v>
      </c>
      <c r="F1351" t="s">
        <v>23</v>
      </c>
      <c r="J1351">
        <v>1</v>
      </c>
      <c r="V1351">
        <v>1</v>
      </c>
      <c r="AI1351">
        <v>1</v>
      </c>
      <c r="AJ1351">
        <f>SUM(Post[[#This Row],[47]:[75]])</f>
        <v>3</v>
      </c>
    </row>
    <row r="1352" spans="1:36" x14ac:dyDescent="0.2">
      <c r="A1352" t="s">
        <v>56</v>
      </c>
      <c r="B1352" t="s">
        <v>54</v>
      </c>
      <c r="C1352">
        <v>4190</v>
      </c>
      <c r="D1352" t="s">
        <v>22</v>
      </c>
      <c r="E1352" t="s">
        <v>14</v>
      </c>
      <c r="F1352" t="s">
        <v>20</v>
      </c>
      <c r="P1352">
        <v>1</v>
      </c>
      <c r="AB1352">
        <v>2</v>
      </c>
      <c r="AJ1352">
        <f>SUM(Post[[#This Row],[47]:[75]])</f>
        <v>3</v>
      </c>
    </row>
    <row r="1353" spans="1:36" x14ac:dyDescent="0.2">
      <c r="A1353" t="s">
        <v>56</v>
      </c>
      <c r="B1353" t="s">
        <v>54</v>
      </c>
      <c r="C1353">
        <v>5035</v>
      </c>
      <c r="D1353" t="s">
        <v>22</v>
      </c>
      <c r="E1353" t="s">
        <v>8</v>
      </c>
      <c r="F1353" t="s">
        <v>9</v>
      </c>
      <c r="R1353">
        <v>1</v>
      </c>
      <c r="AJ1353">
        <f>SUM(Post[[#This Row],[47]:[75]])</f>
        <v>1</v>
      </c>
    </row>
    <row r="1354" spans="1:36" x14ac:dyDescent="0.2">
      <c r="A1354" t="s">
        <v>56</v>
      </c>
      <c r="B1354" t="s">
        <v>54</v>
      </c>
      <c r="C1354">
        <v>12799</v>
      </c>
      <c r="D1354" t="s">
        <v>22</v>
      </c>
      <c r="E1354" t="s">
        <v>8</v>
      </c>
      <c r="F1354" t="s">
        <v>23</v>
      </c>
      <c r="G1354">
        <v>1</v>
      </c>
      <c r="W1354">
        <v>1</v>
      </c>
      <c r="AJ1354">
        <f>SUM(Post[[#This Row],[47]:[75]])</f>
        <v>2</v>
      </c>
    </row>
    <row r="1355" spans="1:36" x14ac:dyDescent="0.2">
      <c r="A1355" t="s">
        <v>56</v>
      </c>
      <c r="B1355" t="s">
        <v>54</v>
      </c>
      <c r="C1355">
        <v>14128</v>
      </c>
      <c r="D1355" t="s">
        <v>22</v>
      </c>
      <c r="E1355" t="s">
        <v>8</v>
      </c>
      <c r="F1355" t="s">
        <v>9</v>
      </c>
      <c r="AJ1355">
        <f>SUM(Post[[#This Row],[47]:[75]])</f>
        <v>0</v>
      </c>
    </row>
    <row r="1356" spans="1:36" x14ac:dyDescent="0.2">
      <c r="A1356" t="s">
        <v>56</v>
      </c>
      <c r="B1356" t="s">
        <v>54</v>
      </c>
      <c r="C1356">
        <v>21949</v>
      </c>
      <c r="D1356" t="s">
        <v>22</v>
      </c>
      <c r="E1356" t="s">
        <v>8</v>
      </c>
      <c r="F1356" t="s">
        <v>9</v>
      </c>
      <c r="K1356">
        <v>1</v>
      </c>
      <c r="X1356">
        <v>1</v>
      </c>
      <c r="AJ1356">
        <f>SUM(Post[[#This Row],[47]:[75]])</f>
        <v>2</v>
      </c>
    </row>
    <row r="1357" spans="1:36" x14ac:dyDescent="0.2">
      <c r="A1357" t="s">
        <v>56</v>
      </c>
      <c r="B1357" t="s">
        <v>54</v>
      </c>
      <c r="C1357">
        <v>246</v>
      </c>
      <c r="D1357" t="s">
        <v>7</v>
      </c>
      <c r="E1357" t="s">
        <v>8</v>
      </c>
      <c r="F1357" t="s">
        <v>9</v>
      </c>
      <c r="G1357">
        <v>1</v>
      </c>
      <c r="J1357">
        <v>1</v>
      </c>
      <c r="K1357">
        <v>1</v>
      </c>
      <c r="P1357">
        <v>1</v>
      </c>
      <c r="T1357">
        <v>1</v>
      </c>
      <c r="X1357">
        <v>1</v>
      </c>
      <c r="AB1357">
        <v>1</v>
      </c>
      <c r="AF1357">
        <v>2</v>
      </c>
      <c r="AJ1357">
        <f>SUM(Post[[#This Row],[47]:[75]])</f>
        <v>9</v>
      </c>
    </row>
    <row r="1358" spans="1:36" x14ac:dyDescent="0.2">
      <c r="A1358" t="s">
        <v>56</v>
      </c>
      <c r="B1358" t="s">
        <v>54</v>
      </c>
      <c r="C1358">
        <v>922</v>
      </c>
      <c r="D1358" t="s">
        <v>7</v>
      </c>
      <c r="E1358" t="s">
        <v>10</v>
      </c>
      <c r="F1358" t="s">
        <v>11</v>
      </c>
      <c r="AJ1358">
        <f>SUM(Post[[#This Row],[47]:[75]])</f>
        <v>0</v>
      </c>
    </row>
    <row r="1359" spans="1:36" x14ac:dyDescent="0.2">
      <c r="A1359" t="s">
        <v>56</v>
      </c>
      <c r="B1359" t="s">
        <v>54</v>
      </c>
      <c r="C1359">
        <v>922</v>
      </c>
      <c r="D1359" t="s">
        <v>7</v>
      </c>
      <c r="E1359" t="s">
        <v>8</v>
      </c>
      <c r="F1359" t="s">
        <v>23</v>
      </c>
      <c r="H1359">
        <v>1</v>
      </c>
      <c r="K1359">
        <v>1</v>
      </c>
      <c r="P1359">
        <v>1</v>
      </c>
      <c r="U1359">
        <v>1</v>
      </c>
      <c r="X1359">
        <v>1</v>
      </c>
      <c r="AB1359">
        <v>1</v>
      </c>
      <c r="AF1359">
        <v>1</v>
      </c>
      <c r="AJ1359">
        <f>SUM(Post[[#This Row],[47]:[75]])</f>
        <v>7</v>
      </c>
    </row>
    <row r="1360" spans="1:36" x14ac:dyDescent="0.2">
      <c r="A1360" t="s">
        <v>56</v>
      </c>
      <c r="B1360" t="s">
        <v>54</v>
      </c>
      <c r="C1360">
        <v>1368</v>
      </c>
      <c r="D1360" t="s">
        <v>7</v>
      </c>
      <c r="E1360" t="s">
        <v>10</v>
      </c>
      <c r="F1360" t="s">
        <v>16</v>
      </c>
      <c r="AJ1360">
        <f>SUM(Post[[#This Row],[47]:[75]])</f>
        <v>0</v>
      </c>
    </row>
    <row r="1361" spans="1:36" x14ac:dyDescent="0.2">
      <c r="A1361" t="s">
        <v>56</v>
      </c>
      <c r="B1361" t="s">
        <v>54</v>
      </c>
      <c r="C1361">
        <v>2115</v>
      </c>
      <c r="D1361" t="s">
        <v>7</v>
      </c>
      <c r="E1361" t="s">
        <v>8</v>
      </c>
      <c r="F1361" t="s">
        <v>23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J1361">
        <f>SUM(Post[[#This Row],[47]:[75]])</f>
        <v>27</v>
      </c>
    </row>
    <row r="1362" spans="1:36" x14ac:dyDescent="0.2">
      <c r="A1362" t="s">
        <v>56</v>
      </c>
      <c r="B1362" t="s">
        <v>54</v>
      </c>
      <c r="C1362">
        <v>2158</v>
      </c>
      <c r="D1362" t="s">
        <v>7</v>
      </c>
      <c r="E1362" t="s">
        <v>8</v>
      </c>
      <c r="F1362" t="s">
        <v>9</v>
      </c>
      <c r="AJ1362">
        <f>SUM(Post[[#This Row],[47]:[75]])</f>
        <v>0</v>
      </c>
    </row>
    <row r="1363" spans="1:36" x14ac:dyDescent="0.2">
      <c r="A1363" t="s">
        <v>56</v>
      </c>
      <c r="B1363" t="s">
        <v>54</v>
      </c>
      <c r="C1363">
        <v>2295</v>
      </c>
      <c r="D1363" t="s">
        <v>7</v>
      </c>
      <c r="E1363" t="s">
        <v>8</v>
      </c>
      <c r="F1363" t="s">
        <v>23</v>
      </c>
      <c r="J1363">
        <v>1</v>
      </c>
      <c r="O1363">
        <v>1</v>
      </c>
      <c r="S1363">
        <v>1</v>
      </c>
      <c r="W1363">
        <v>1</v>
      </c>
      <c r="Z1363">
        <v>1</v>
      </c>
      <c r="AD1363">
        <v>1</v>
      </c>
      <c r="AI1363">
        <v>1</v>
      </c>
      <c r="AJ1363">
        <f>SUM(Post[[#This Row],[47]:[75]])</f>
        <v>7</v>
      </c>
    </row>
    <row r="1364" spans="1:36" x14ac:dyDescent="0.2">
      <c r="A1364" t="s">
        <v>56</v>
      </c>
      <c r="B1364" t="s">
        <v>54</v>
      </c>
      <c r="C1364">
        <v>2295</v>
      </c>
      <c r="D1364" t="s">
        <v>7</v>
      </c>
      <c r="E1364" t="s">
        <v>14</v>
      </c>
      <c r="F1364" t="s">
        <v>20</v>
      </c>
      <c r="J1364">
        <v>1</v>
      </c>
      <c r="O1364">
        <v>1</v>
      </c>
      <c r="S1364">
        <v>1</v>
      </c>
      <c r="W1364">
        <v>1</v>
      </c>
      <c r="Z1364">
        <v>1</v>
      </c>
      <c r="AD1364">
        <v>1</v>
      </c>
      <c r="AI1364">
        <v>1</v>
      </c>
      <c r="AJ1364">
        <f>SUM(Post[[#This Row],[47]:[75]])</f>
        <v>7</v>
      </c>
    </row>
    <row r="1365" spans="1:36" x14ac:dyDescent="0.2">
      <c r="A1365" t="s">
        <v>56</v>
      </c>
      <c r="B1365" t="s">
        <v>54</v>
      </c>
      <c r="C1365">
        <v>2299</v>
      </c>
      <c r="D1365" t="s">
        <v>7</v>
      </c>
      <c r="E1365" t="s">
        <v>8</v>
      </c>
      <c r="F1365" t="s">
        <v>9</v>
      </c>
      <c r="AJ1365">
        <f>SUM(Post[[#This Row],[47]:[75]])</f>
        <v>0</v>
      </c>
    </row>
    <row r="1366" spans="1:36" x14ac:dyDescent="0.2">
      <c r="A1366" t="s">
        <v>56</v>
      </c>
      <c r="B1366" t="s">
        <v>54</v>
      </c>
      <c r="C1366">
        <v>2643</v>
      </c>
      <c r="D1366" t="s">
        <v>7</v>
      </c>
      <c r="E1366" t="s">
        <v>8</v>
      </c>
      <c r="F1366" t="s">
        <v>9</v>
      </c>
      <c r="U1366">
        <v>1</v>
      </c>
      <c r="AG1366">
        <v>1</v>
      </c>
      <c r="AJ1366">
        <f>SUM(Post[[#This Row],[47]:[75]])</f>
        <v>2</v>
      </c>
    </row>
    <row r="1367" spans="1:36" x14ac:dyDescent="0.2">
      <c r="A1367" t="s">
        <v>56</v>
      </c>
      <c r="B1367" t="s">
        <v>54</v>
      </c>
      <c r="C1367">
        <v>3939</v>
      </c>
      <c r="D1367" t="s">
        <v>7</v>
      </c>
      <c r="E1367" t="s">
        <v>14</v>
      </c>
      <c r="F1367" t="s">
        <v>20</v>
      </c>
      <c r="I1367">
        <v>1</v>
      </c>
      <c r="V1367">
        <v>1</v>
      </c>
      <c r="AJ1367">
        <f>SUM(Post[[#This Row],[47]:[75]])</f>
        <v>2</v>
      </c>
    </row>
    <row r="1368" spans="1:36" x14ac:dyDescent="0.2">
      <c r="A1368" t="s">
        <v>56</v>
      </c>
      <c r="B1368" t="s">
        <v>54</v>
      </c>
      <c r="C1368">
        <v>3973</v>
      </c>
      <c r="D1368" t="s">
        <v>7</v>
      </c>
      <c r="E1368" t="s">
        <v>14</v>
      </c>
      <c r="F1368" t="s">
        <v>35</v>
      </c>
      <c r="I1368">
        <v>1</v>
      </c>
      <c r="V1368">
        <v>1</v>
      </c>
      <c r="AA1368">
        <v>2</v>
      </c>
      <c r="AJ1368">
        <f>SUM(Post[[#This Row],[47]:[75]])</f>
        <v>4</v>
      </c>
    </row>
    <row r="1369" spans="1:36" x14ac:dyDescent="0.2">
      <c r="A1369" t="s">
        <v>56</v>
      </c>
      <c r="B1369" t="s">
        <v>54</v>
      </c>
      <c r="C1369">
        <v>4012</v>
      </c>
      <c r="D1369" t="s">
        <v>7</v>
      </c>
      <c r="E1369" t="s">
        <v>14</v>
      </c>
      <c r="F1369" t="s">
        <v>20</v>
      </c>
      <c r="AD1369">
        <v>1</v>
      </c>
      <c r="AJ1369">
        <f>SUM(Post[[#This Row],[47]:[75]])</f>
        <v>1</v>
      </c>
    </row>
    <row r="1370" spans="1:36" x14ac:dyDescent="0.2">
      <c r="A1370" t="s">
        <v>56</v>
      </c>
      <c r="B1370" t="s">
        <v>54</v>
      </c>
      <c r="C1370">
        <v>4080</v>
      </c>
      <c r="D1370" t="s">
        <v>7</v>
      </c>
      <c r="E1370" t="s">
        <v>8</v>
      </c>
      <c r="F1370" t="s">
        <v>23</v>
      </c>
      <c r="V1370">
        <v>1</v>
      </c>
      <c r="AH1370">
        <v>1</v>
      </c>
      <c r="AJ1370">
        <f>SUM(Post[[#This Row],[47]:[75]])</f>
        <v>2</v>
      </c>
    </row>
    <row r="1371" spans="1:36" x14ac:dyDescent="0.2">
      <c r="A1371" t="s">
        <v>56</v>
      </c>
      <c r="B1371" t="s">
        <v>54</v>
      </c>
      <c r="C1371">
        <v>4177</v>
      </c>
      <c r="D1371" t="s">
        <v>7</v>
      </c>
      <c r="E1371" t="s">
        <v>8</v>
      </c>
      <c r="F1371" t="s">
        <v>9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f>SUM(Post[[#This Row],[47]:[75]])</f>
        <v>28</v>
      </c>
    </row>
    <row r="1372" spans="1:36" x14ac:dyDescent="0.2">
      <c r="A1372" t="s">
        <v>56</v>
      </c>
      <c r="B1372" t="s">
        <v>54</v>
      </c>
      <c r="C1372">
        <v>4177</v>
      </c>
      <c r="D1372" t="s">
        <v>7</v>
      </c>
      <c r="E1372" t="s">
        <v>14</v>
      </c>
      <c r="F1372" t="s">
        <v>20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f>SUM(Post[[#This Row],[47]:[75]])</f>
        <v>28</v>
      </c>
    </row>
    <row r="1373" spans="1:36" x14ac:dyDescent="0.2">
      <c r="A1373" t="s">
        <v>56</v>
      </c>
      <c r="B1373" t="s">
        <v>54</v>
      </c>
      <c r="C1373">
        <v>4221</v>
      </c>
      <c r="D1373" t="s">
        <v>7</v>
      </c>
      <c r="E1373" t="s">
        <v>8</v>
      </c>
      <c r="F1373" t="s">
        <v>23</v>
      </c>
      <c r="S1373">
        <v>1</v>
      </c>
      <c r="AJ1373">
        <f>SUM(Post[[#This Row],[47]:[75]])</f>
        <v>1</v>
      </c>
    </row>
    <row r="1374" spans="1:36" x14ac:dyDescent="0.2">
      <c r="A1374" t="s">
        <v>56</v>
      </c>
      <c r="B1374" t="s">
        <v>54</v>
      </c>
      <c r="C1374">
        <v>4330</v>
      </c>
      <c r="D1374" t="s">
        <v>7</v>
      </c>
      <c r="E1374" t="s">
        <v>14</v>
      </c>
      <c r="F1374" t="s">
        <v>35</v>
      </c>
      <c r="O1374">
        <v>1</v>
      </c>
      <c r="AD1374">
        <v>1</v>
      </c>
      <c r="AJ1374">
        <f>SUM(Post[[#This Row],[47]:[75]])</f>
        <v>2</v>
      </c>
    </row>
    <row r="1375" spans="1:36" x14ac:dyDescent="0.2">
      <c r="A1375" t="s">
        <v>56</v>
      </c>
      <c r="B1375" t="s">
        <v>54</v>
      </c>
      <c r="C1375">
        <v>4706</v>
      </c>
      <c r="D1375" t="s">
        <v>7</v>
      </c>
      <c r="E1375" t="s">
        <v>8</v>
      </c>
      <c r="F1375" t="s">
        <v>9</v>
      </c>
      <c r="S1375">
        <v>1</v>
      </c>
      <c r="AH1375">
        <v>1</v>
      </c>
      <c r="AJ1375">
        <f>SUM(Post[[#This Row],[47]:[75]])</f>
        <v>2</v>
      </c>
    </row>
    <row r="1376" spans="1:36" x14ac:dyDescent="0.2">
      <c r="A1376" t="s">
        <v>56</v>
      </c>
      <c r="B1376" t="s">
        <v>54</v>
      </c>
      <c r="C1376">
        <v>5141</v>
      </c>
      <c r="D1376" t="s">
        <v>7</v>
      </c>
      <c r="E1376" t="s">
        <v>14</v>
      </c>
      <c r="F1376" t="s">
        <v>21</v>
      </c>
      <c r="R1376">
        <v>1</v>
      </c>
      <c r="AC1376">
        <v>2</v>
      </c>
      <c r="AJ1376">
        <f>SUM(Post[[#This Row],[47]:[75]])</f>
        <v>3</v>
      </c>
    </row>
    <row r="1377" spans="1:36" x14ac:dyDescent="0.2">
      <c r="A1377" t="s">
        <v>56</v>
      </c>
      <c r="B1377" t="s">
        <v>54</v>
      </c>
      <c r="C1377">
        <v>5581</v>
      </c>
      <c r="D1377" t="s">
        <v>7</v>
      </c>
      <c r="E1377" t="s">
        <v>8</v>
      </c>
      <c r="F1377" t="s">
        <v>23</v>
      </c>
      <c r="G1377">
        <v>1</v>
      </c>
      <c r="W1377">
        <v>1</v>
      </c>
      <c r="X1377">
        <v>1</v>
      </c>
      <c r="AJ1377">
        <f>SUM(Post[[#This Row],[47]:[75]])</f>
        <v>3</v>
      </c>
    </row>
    <row r="1378" spans="1:36" x14ac:dyDescent="0.2">
      <c r="A1378" t="s">
        <v>56</v>
      </c>
      <c r="B1378" t="s">
        <v>54</v>
      </c>
      <c r="C1378">
        <v>5581</v>
      </c>
      <c r="D1378" t="s">
        <v>7</v>
      </c>
      <c r="E1378" t="s">
        <v>14</v>
      </c>
      <c r="F1378" t="s">
        <v>20</v>
      </c>
      <c r="G1378">
        <v>1</v>
      </c>
      <c r="P1378">
        <v>1</v>
      </c>
      <c r="X1378">
        <v>1</v>
      </c>
      <c r="AJ1378">
        <f>SUM(Post[[#This Row],[47]:[75]])</f>
        <v>3</v>
      </c>
    </row>
    <row r="1379" spans="1:36" x14ac:dyDescent="0.2">
      <c r="A1379" t="s">
        <v>56</v>
      </c>
      <c r="B1379" t="s">
        <v>54</v>
      </c>
      <c r="C1379">
        <v>5582</v>
      </c>
      <c r="D1379" t="s">
        <v>7</v>
      </c>
      <c r="E1379" t="s">
        <v>10</v>
      </c>
      <c r="F1379" t="s">
        <v>11</v>
      </c>
      <c r="AB1379">
        <v>1</v>
      </c>
      <c r="AF1379">
        <v>1</v>
      </c>
      <c r="AJ1379">
        <f>SUM(Post[[#This Row],[47]:[75]])</f>
        <v>2</v>
      </c>
    </row>
    <row r="1380" spans="1:36" x14ac:dyDescent="0.2">
      <c r="A1380" t="s">
        <v>56</v>
      </c>
      <c r="B1380" t="s">
        <v>54</v>
      </c>
      <c r="C1380">
        <v>5699</v>
      </c>
      <c r="D1380" t="s">
        <v>7</v>
      </c>
      <c r="E1380" t="s">
        <v>8</v>
      </c>
      <c r="F1380" t="s">
        <v>23</v>
      </c>
      <c r="N1380">
        <v>1</v>
      </c>
      <c r="AC1380">
        <v>1</v>
      </c>
      <c r="AJ1380">
        <f>SUM(Post[[#This Row],[47]:[75]])</f>
        <v>2</v>
      </c>
    </row>
    <row r="1381" spans="1:36" x14ac:dyDescent="0.2">
      <c r="A1381" t="s">
        <v>56</v>
      </c>
      <c r="B1381" t="s">
        <v>54</v>
      </c>
      <c r="C1381">
        <v>5766</v>
      </c>
      <c r="D1381" t="s">
        <v>7</v>
      </c>
      <c r="E1381" t="s">
        <v>14</v>
      </c>
      <c r="F1381" t="s">
        <v>20</v>
      </c>
      <c r="J1381">
        <v>1</v>
      </c>
      <c r="Y1381">
        <v>1</v>
      </c>
      <c r="AJ1381">
        <f>SUM(Post[[#This Row],[47]:[75]])</f>
        <v>2</v>
      </c>
    </row>
    <row r="1382" spans="1:36" x14ac:dyDescent="0.2">
      <c r="A1382" t="s">
        <v>56</v>
      </c>
      <c r="B1382" t="s">
        <v>54</v>
      </c>
      <c r="C1382">
        <v>6182</v>
      </c>
      <c r="D1382" t="s">
        <v>7</v>
      </c>
      <c r="E1382" t="s">
        <v>8</v>
      </c>
      <c r="F1382" t="s">
        <v>29</v>
      </c>
      <c r="J1382">
        <v>1</v>
      </c>
      <c r="O1382">
        <v>1</v>
      </c>
      <c r="S1382">
        <v>1</v>
      </c>
      <c r="W1382">
        <v>1</v>
      </c>
      <c r="AA1382">
        <v>1</v>
      </c>
      <c r="AE1382">
        <v>1</v>
      </c>
      <c r="AJ1382">
        <f>SUM(Post[[#This Row],[47]:[75]])</f>
        <v>6</v>
      </c>
    </row>
    <row r="1383" spans="1:36" x14ac:dyDescent="0.2">
      <c r="A1383" t="s">
        <v>56</v>
      </c>
      <c r="B1383" t="s">
        <v>54</v>
      </c>
      <c r="C1383">
        <v>6474</v>
      </c>
      <c r="D1383" t="s">
        <v>7</v>
      </c>
      <c r="E1383" t="s">
        <v>14</v>
      </c>
      <c r="F1383" t="s">
        <v>21</v>
      </c>
      <c r="V1383">
        <v>1</v>
      </c>
      <c r="AJ1383">
        <f>SUM(Post[[#This Row],[47]:[75]])</f>
        <v>1</v>
      </c>
    </row>
    <row r="1384" spans="1:36" x14ac:dyDescent="0.2">
      <c r="A1384" t="s">
        <v>56</v>
      </c>
      <c r="B1384" t="s">
        <v>54</v>
      </c>
      <c r="C1384">
        <v>6675</v>
      </c>
      <c r="D1384" t="s">
        <v>7</v>
      </c>
      <c r="E1384" t="s">
        <v>8</v>
      </c>
      <c r="F1384" t="s">
        <v>9</v>
      </c>
      <c r="S1384">
        <v>1</v>
      </c>
      <c r="W1384">
        <v>1</v>
      </c>
      <c r="AF1384">
        <v>1</v>
      </c>
      <c r="AJ1384">
        <f>SUM(Post[[#This Row],[47]:[75]])</f>
        <v>3</v>
      </c>
    </row>
    <row r="1385" spans="1:36" x14ac:dyDescent="0.2">
      <c r="A1385" t="s">
        <v>56</v>
      </c>
      <c r="B1385" t="s">
        <v>54</v>
      </c>
      <c r="C1385">
        <v>6997</v>
      </c>
      <c r="D1385" t="s">
        <v>7</v>
      </c>
      <c r="E1385" t="s">
        <v>8</v>
      </c>
      <c r="F1385" t="s">
        <v>23</v>
      </c>
      <c r="P1385">
        <v>1</v>
      </c>
      <c r="AB1385">
        <v>1</v>
      </c>
      <c r="AJ1385">
        <f>SUM(Post[[#This Row],[47]:[75]])</f>
        <v>2</v>
      </c>
    </row>
    <row r="1386" spans="1:36" x14ac:dyDescent="0.2">
      <c r="A1386" t="s">
        <v>56</v>
      </c>
      <c r="B1386" t="s">
        <v>54</v>
      </c>
      <c r="C1386">
        <v>7109</v>
      </c>
      <c r="D1386" t="s">
        <v>7</v>
      </c>
      <c r="E1386" t="s">
        <v>14</v>
      </c>
      <c r="F1386" t="s">
        <v>20</v>
      </c>
      <c r="R1386">
        <v>1</v>
      </c>
      <c r="AJ1386">
        <f>SUM(Post[[#This Row],[47]:[75]])</f>
        <v>1</v>
      </c>
    </row>
    <row r="1387" spans="1:36" x14ac:dyDescent="0.2">
      <c r="A1387" t="s">
        <v>56</v>
      </c>
      <c r="B1387" t="s">
        <v>54</v>
      </c>
      <c r="C1387">
        <v>7156</v>
      </c>
      <c r="D1387" t="s">
        <v>7</v>
      </c>
      <c r="E1387" t="s">
        <v>14</v>
      </c>
      <c r="F1387" t="s">
        <v>20</v>
      </c>
      <c r="AJ1387">
        <f>SUM(Post[[#This Row],[47]:[75]])</f>
        <v>0</v>
      </c>
    </row>
    <row r="1388" spans="1:36" x14ac:dyDescent="0.2">
      <c r="A1388" t="s">
        <v>56</v>
      </c>
      <c r="B1388" t="s">
        <v>54</v>
      </c>
      <c r="C1388">
        <v>7849</v>
      </c>
      <c r="D1388" t="s">
        <v>7</v>
      </c>
      <c r="E1388" t="s">
        <v>14</v>
      </c>
      <c r="F1388" t="s">
        <v>15</v>
      </c>
      <c r="Q1388">
        <v>1</v>
      </c>
      <c r="AD1388">
        <v>1</v>
      </c>
      <c r="AJ1388">
        <f>SUM(Post[[#This Row],[47]:[75]])</f>
        <v>2</v>
      </c>
    </row>
    <row r="1389" spans="1:36" x14ac:dyDescent="0.2">
      <c r="A1389" t="s">
        <v>56</v>
      </c>
      <c r="B1389" t="s">
        <v>54</v>
      </c>
      <c r="C1389">
        <v>7952</v>
      </c>
      <c r="D1389" t="s">
        <v>7</v>
      </c>
      <c r="E1389" t="s">
        <v>14</v>
      </c>
      <c r="F1389" t="s">
        <v>21</v>
      </c>
      <c r="I1389">
        <v>1</v>
      </c>
      <c r="O1389">
        <v>1</v>
      </c>
      <c r="R1389">
        <v>1</v>
      </c>
      <c r="AF1389">
        <v>3</v>
      </c>
      <c r="AJ1389">
        <f>SUM(Post[[#This Row],[47]:[75]])</f>
        <v>6</v>
      </c>
    </row>
    <row r="1390" spans="1:36" x14ac:dyDescent="0.2">
      <c r="A1390" t="s">
        <v>56</v>
      </c>
      <c r="B1390" t="s">
        <v>54</v>
      </c>
      <c r="C1390">
        <v>8163</v>
      </c>
      <c r="D1390" t="s">
        <v>7</v>
      </c>
      <c r="E1390" t="s">
        <v>8</v>
      </c>
      <c r="F1390" t="s">
        <v>9</v>
      </c>
      <c r="I1390">
        <v>1</v>
      </c>
      <c r="W1390">
        <v>1</v>
      </c>
      <c r="AJ1390">
        <f>SUM(Post[[#This Row],[47]:[75]])</f>
        <v>2</v>
      </c>
    </row>
    <row r="1391" spans="1:36" x14ac:dyDescent="0.2">
      <c r="A1391" t="s">
        <v>56</v>
      </c>
      <c r="B1391" t="s">
        <v>54</v>
      </c>
      <c r="C1391">
        <v>8285</v>
      </c>
      <c r="D1391" t="s">
        <v>7</v>
      </c>
      <c r="E1391" t="s">
        <v>40</v>
      </c>
      <c r="F1391" t="s">
        <v>52</v>
      </c>
      <c r="G1391">
        <v>1</v>
      </c>
      <c r="L1391">
        <v>1</v>
      </c>
      <c r="U1391">
        <v>1</v>
      </c>
      <c r="Z1391">
        <v>1</v>
      </c>
      <c r="AD1391">
        <v>1</v>
      </c>
      <c r="AH1391">
        <v>2</v>
      </c>
      <c r="AJ1391">
        <f>SUM(Post[[#This Row],[47]:[75]])</f>
        <v>7</v>
      </c>
    </row>
    <row r="1392" spans="1:36" x14ac:dyDescent="0.2">
      <c r="A1392" t="s">
        <v>56</v>
      </c>
      <c r="B1392" t="s">
        <v>54</v>
      </c>
      <c r="C1392">
        <v>8285</v>
      </c>
      <c r="D1392" t="s">
        <v>7</v>
      </c>
      <c r="E1392" t="s">
        <v>8</v>
      </c>
      <c r="F1392" t="s">
        <v>23</v>
      </c>
      <c r="V1392">
        <v>1</v>
      </c>
      <c r="AJ1392">
        <f>SUM(Post[[#This Row],[47]:[75]])</f>
        <v>1</v>
      </c>
    </row>
    <row r="1393" spans="1:36" x14ac:dyDescent="0.2">
      <c r="A1393" t="s">
        <v>56</v>
      </c>
      <c r="B1393" t="s">
        <v>54</v>
      </c>
      <c r="C1393">
        <v>8929</v>
      </c>
      <c r="D1393" t="s">
        <v>7</v>
      </c>
      <c r="E1393" t="s">
        <v>14</v>
      </c>
      <c r="F1393" t="s">
        <v>20</v>
      </c>
      <c r="K1393">
        <v>1</v>
      </c>
      <c r="AD1393">
        <v>1</v>
      </c>
      <c r="AJ1393">
        <f>SUM(Post[[#This Row],[47]:[75]])</f>
        <v>2</v>
      </c>
    </row>
    <row r="1394" spans="1:36" x14ac:dyDescent="0.2">
      <c r="A1394" t="s">
        <v>56</v>
      </c>
      <c r="B1394" t="s">
        <v>54</v>
      </c>
      <c r="C1394">
        <v>8950</v>
      </c>
      <c r="D1394" t="s">
        <v>7</v>
      </c>
      <c r="E1394" t="s">
        <v>12</v>
      </c>
      <c r="F1394" t="s">
        <v>13</v>
      </c>
      <c r="AJ1394">
        <f>SUM(Post[[#This Row],[47]:[75]])</f>
        <v>0</v>
      </c>
    </row>
    <row r="1395" spans="1:36" x14ac:dyDescent="0.2">
      <c r="A1395" t="s">
        <v>56</v>
      </c>
      <c r="B1395" t="s">
        <v>54</v>
      </c>
      <c r="C1395">
        <v>9419</v>
      </c>
      <c r="D1395" t="s">
        <v>7</v>
      </c>
      <c r="E1395" t="s">
        <v>32</v>
      </c>
      <c r="F1395" t="s">
        <v>33</v>
      </c>
      <c r="AJ1395">
        <f>SUM(Post[[#This Row],[47]:[75]])</f>
        <v>0</v>
      </c>
    </row>
    <row r="1396" spans="1:36" x14ac:dyDescent="0.2">
      <c r="A1396" t="s">
        <v>56</v>
      </c>
      <c r="B1396" t="s">
        <v>54</v>
      </c>
      <c r="C1396">
        <v>9419</v>
      </c>
      <c r="D1396" t="s">
        <v>7</v>
      </c>
      <c r="E1396" t="s">
        <v>14</v>
      </c>
      <c r="F1396" t="s">
        <v>21</v>
      </c>
      <c r="S1396">
        <v>1</v>
      </c>
      <c r="AG1396">
        <v>1</v>
      </c>
      <c r="AJ1396">
        <f>SUM(Post[[#This Row],[47]:[75]])</f>
        <v>2</v>
      </c>
    </row>
    <row r="1397" spans="1:36" x14ac:dyDescent="0.2">
      <c r="A1397" t="s">
        <v>56</v>
      </c>
      <c r="B1397" t="s">
        <v>54</v>
      </c>
      <c r="C1397">
        <v>9534</v>
      </c>
      <c r="D1397" t="s">
        <v>7</v>
      </c>
      <c r="E1397" t="s">
        <v>8</v>
      </c>
      <c r="F1397" t="s">
        <v>9</v>
      </c>
      <c r="V1397">
        <v>1</v>
      </c>
      <c r="AF1397">
        <v>1</v>
      </c>
      <c r="AJ1397">
        <f>SUM(Post[[#This Row],[47]:[75]])</f>
        <v>2</v>
      </c>
    </row>
    <row r="1398" spans="1:36" x14ac:dyDescent="0.2">
      <c r="A1398" t="s">
        <v>56</v>
      </c>
      <c r="B1398" t="s">
        <v>54</v>
      </c>
      <c r="C1398">
        <v>10339</v>
      </c>
      <c r="D1398" t="s">
        <v>7</v>
      </c>
      <c r="E1398" t="s">
        <v>14</v>
      </c>
      <c r="F1398" t="s">
        <v>35</v>
      </c>
      <c r="N1398">
        <v>1</v>
      </c>
      <c r="Z1398">
        <v>1</v>
      </c>
      <c r="AJ1398">
        <f>SUM(Post[[#This Row],[47]:[75]])</f>
        <v>2</v>
      </c>
    </row>
    <row r="1399" spans="1:36" x14ac:dyDescent="0.2">
      <c r="A1399" t="s">
        <v>56</v>
      </c>
      <c r="B1399" t="s">
        <v>54</v>
      </c>
      <c r="C1399">
        <v>11846</v>
      </c>
      <c r="D1399" t="s">
        <v>7</v>
      </c>
      <c r="E1399" t="s">
        <v>14</v>
      </c>
      <c r="F1399" t="s">
        <v>31</v>
      </c>
      <c r="AJ1399">
        <f>SUM(Post[[#This Row],[47]:[75]])</f>
        <v>0</v>
      </c>
    </row>
    <row r="1400" spans="1:36" x14ac:dyDescent="0.2">
      <c r="A1400" t="s">
        <v>56</v>
      </c>
      <c r="B1400" t="s">
        <v>54</v>
      </c>
      <c r="C1400">
        <v>11846</v>
      </c>
      <c r="D1400" t="s">
        <v>7</v>
      </c>
      <c r="E1400" t="s">
        <v>14</v>
      </c>
      <c r="F1400" t="s">
        <v>20</v>
      </c>
      <c r="I1400">
        <v>1</v>
      </c>
      <c r="O1400">
        <v>1</v>
      </c>
      <c r="AJ1400">
        <f>SUM(Post[[#This Row],[47]:[75]])</f>
        <v>2</v>
      </c>
    </row>
    <row r="1401" spans="1:36" x14ac:dyDescent="0.2">
      <c r="A1401" t="s">
        <v>56</v>
      </c>
      <c r="B1401" t="s">
        <v>54</v>
      </c>
      <c r="C1401">
        <v>13005</v>
      </c>
      <c r="D1401" t="s">
        <v>7</v>
      </c>
      <c r="E1401" t="s">
        <v>40</v>
      </c>
      <c r="F1401" t="s">
        <v>41</v>
      </c>
      <c r="I1401">
        <v>1</v>
      </c>
      <c r="K1401">
        <v>1</v>
      </c>
      <c r="Q1401">
        <v>1</v>
      </c>
      <c r="T1401">
        <v>1</v>
      </c>
      <c r="V1401">
        <v>1</v>
      </c>
      <c r="AJ1401">
        <f>SUM(Post[[#This Row],[47]:[75]])</f>
        <v>5</v>
      </c>
    </row>
    <row r="1402" spans="1:36" x14ac:dyDescent="0.2">
      <c r="A1402" t="s">
        <v>56</v>
      </c>
      <c r="B1402" t="s">
        <v>54</v>
      </c>
      <c r="C1402">
        <v>13005</v>
      </c>
      <c r="D1402" t="s">
        <v>7</v>
      </c>
      <c r="E1402" t="s">
        <v>8</v>
      </c>
      <c r="F1402" t="s">
        <v>9</v>
      </c>
      <c r="G1402">
        <v>1</v>
      </c>
      <c r="H1402">
        <v>1</v>
      </c>
      <c r="I1402">
        <v>1</v>
      </c>
      <c r="J1402">
        <v>2</v>
      </c>
      <c r="L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1</v>
      </c>
      <c r="Z1402">
        <v>3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2</v>
      </c>
      <c r="AI1402">
        <v>1</v>
      </c>
      <c r="AJ1402">
        <f>SUM(Post[[#This Row],[47]:[75]])</f>
        <v>31</v>
      </c>
    </row>
    <row r="1403" spans="1:36" x14ac:dyDescent="0.2">
      <c r="A1403" t="s">
        <v>56</v>
      </c>
      <c r="B1403" t="s">
        <v>54</v>
      </c>
      <c r="C1403">
        <v>13587</v>
      </c>
      <c r="D1403" t="s">
        <v>7</v>
      </c>
      <c r="E1403" t="s">
        <v>14</v>
      </c>
      <c r="F1403" t="s">
        <v>20</v>
      </c>
      <c r="G1403">
        <v>1</v>
      </c>
      <c r="AD1403">
        <v>1</v>
      </c>
      <c r="AJ1403">
        <f>SUM(Post[[#This Row],[47]:[75]])</f>
        <v>2</v>
      </c>
    </row>
    <row r="1404" spans="1:36" x14ac:dyDescent="0.2">
      <c r="A1404" t="s">
        <v>56</v>
      </c>
      <c r="B1404" t="s">
        <v>54</v>
      </c>
      <c r="C1404">
        <v>14200</v>
      </c>
      <c r="D1404" t="s">
        <v>7</v>
      </c>
      <c r="E1404" t="s">
        <v>8</v>
      </c>
      <c r="F1404" t="s">
        <v>9</v>
      </c>
      <c r="O1404">
        <v>1</v>
      </c>
      <c r="AC1404">
        <v>1</v>
      </c>
      <c r="AJ1404">
        <f>SUM(Post[[#This Row],[47]:[75]])</f>
        <v>2</v>
      </c>
    </row>
    <row r="1405" spans="1:36" x14ac:dyDescent="0.2">
      <c r="A1405" t="s">
        <v>56</v>
      </c>
      <c r="B1405" t="s">
        <v>54</v>
      </c>
      <c r="C1405">
        <v>14205</v>
      </c>
      <c r="D1405" t="s">
        <v>7</v>
      </c>
      <c r="E1405" t="s">
        <v>14</v>
      </c>
      <c r="F1405" t="s">
        <v>20</v>
      </c>
      <c r="H1405">
        <v>1</v>
      </c>
      <c r="AH1405">
        <v>1</v>
      </c>
      <c r="AJ1405">
        <f>SUM(Post[[#This Row],[47]:[75]])</f>
        <v>2</v>
      </c>
    </row>
    <row r="1406" spans="1:36" x14ac:dyDescent="0.2">
      <c r="A1406" t="s">
        <v>56</v>
      </c>
      <c r="B1406" t="s">
        <v>54</v>
      </c>
      <c r="C1406">
        <v>14512</v>
      </c>
      <c r="D1406" t="s">
        <v>7</v>
      </c>
      <c r="E1406" t="s">
        <v>8</v>
      </c>
      <c r="F1406" t="s">
        <v>9</v>
      </c>
      <c r="K1406">
        <v>2</v>
      </c>
      <c r="AB1406">
        <v>1</v>
      </c>
      <c r="AJ1406">
        <f>SUM(Post[[#This Row],[47]:[75]])</f>
        <v>3</v>
      </c>
    </row>
    <row r="1407" spans="1:36" x14ac:dyDescent="0.2">
      <c r="A1407" t="s">
        <v>56</v>
      </c>
      <c r="B1407" t="s">
        <v>54</v>
      </c>
      <c r="C1407">
        <v>14696</v>
      </c>
      <c r="D1407" t="s">
        <v>7</v>
      </c>
      <c r="E1407" t="s">
        <v>8</v>
      </c>
      <c r="F1407" t="s">
        <v>9</v>
      </c>
      <c r="S1407">
        <v>1</v>
      </c>
      <c r="AE1407">
        <v>2</v>
      </c>
      <c r="AJ1407">
        <f>SUM(Post[[#This Row],[47]:[75]])</f>
        <v>3</v>
      </c>
    </row>
    <row r="1408" spans="1:36" x14ac:dyDescent="0.2">
      <c r="A1408" t="s">
        <v>56</v>
      </c>
      <c r="B1408" t="s">
        <v>54</v>
      </c>
      <c r="C1408">
        <v>14969</v>
      </c>
      <c r="D1408" t="s">
        <v>7</v>
      </c>
      <c r="E1408" t="s">
        <v>14</v>
      </c>
      <c r="F1408" t="s">
        <v>35</v>
      </c>
      <c r="J1408">
        <v>1</v>
      </c>
      <c r="AJ1408">
        <f>SUM(Post[[#This Row],[47]:[75]])</f>
        <v>1</v>
      </c>
    </row>
    <row r="1409" spans="1:36" x14ac:dyDescent="0.2">
      <c r="A1409" t="s">
        <v>56</v>
      </c>
      <c r="B1409" t="s">
        <v>54</v>
      </c>
      <c r="C1409">
        <v>15491</v>
      </c>
      <c r="D1409" t="s">
        <v>7</v>
      </c>
      <c r="E1409" t="s">
        <v>14</v>
      </c>
      <c r="F1409" t="s">
        <v>20</v>
      </c>
      <c r="AJ1409">
        <f>SUM(Post[[#This Row],[47]:[75]])</f>
        <v>0</v>
      </c>
    </row>
    <row r="1410" spans="1:36" x14ac:dyDescent="0.2">
      <c r="A1410" t="s">
        <v>56</v>
      </c>
      <c r="B1410" t="s">
        <v>54</v>
      </c>
      <c r="C1410">
        <v>16926</v>
      </c>
      <c r="D1410" t="s">
        <v>7</v>
      </c>
      <c r="E1410" t="s">
        <v>8</v>
      </c>
      <c r="F1410" t="s">
        <v>9</v>
      </c>
      <c r="H1410">
        <v>1</v>
      </c>
      <c r="AD1410">
        <v>1</v>
      </c>
      <c r="AJ1410">
        <f>SUM(Post[[#This Row],[47]:[75]])</f>
        <v>2</v>
      </c>
    </row>
    <row r="1411" spans="1:36" x14ac:dyDescent="0.2">
      <c r="A1411" t="s">
        <v>56</v>
      </c>
      <c r="B1411" t="s">
        <v>54</v>
      </c>
      <c r="C1411">
        <v>17768</v>
      </c>
      <c r="D1411" t="s">
        <v>7</v>
      </c>
      <c r="E1411" t="s">
        <v>14</v>
      </c>
      <c r="F1411" t="s">
        <v>20</v>
      </c>
      <c r="G1411">
        <v>1</v>
      </c>
      <c r="AJ1411">
        <f>SUM(Post[[#This Row],[47]:[75]])</f>
        <v>1</v>
      </c>
    </row>
    <row r="1412" spans="1:36" x14ac:dyDescent="0.2">
      <c r="A1412" t="s">
        <v>56</v>
      </c>
      <c r="B1412" t="s">
        <v>54</v>
      </c>
      <c r="C1412">
        <v>18625</v>
      </c>
      <c r="D1412" t="s">
        <v>7</v>
      </c>
      <c r="E1412" t="s">
        <v>10</v>
      </c>
      <c r="F1412" t="s">
        <v>11</v>
      </c>
      <c r="AE1412">
        <v>1</v>
      </c>
      <c r="AJ1412">
        <f>SUM(Post[[#This Row],[47]:[75]])</f>
        <v>1</v>
      </c>
    </row>
    <row r="1413" spans="1:36" x14ac:dyDescent="0.2">
      <c r="A1413" t="s">
        <v>56</v>
      </c>
      <c r="B1413" t="s">
        <v>54</v>
      </c>
      <c r="C1413">
        <v>18625</v>
      </c>
      <c r="D1413" t="s">
        <v>7</v>
      </c>
      <c r="E1413" t="s">
        <v>14</v>
      </c>
      <c r="F1413" t="s">
        <v>21</v>
      </c>
      <c r="P1413">
        <v>1</v>
      </c>
      <c r="Q1413">
        <v>1</v>
      </c>
      <c r="AE1413">
        <v>1</v>
      </c>
      <c r="AG1413">
        <v>1</v>
      </c>
      <c r="AJ1413">
        <f>SUM(Post[[#This Row],[47]:[75]])</f>
        <v>4</v>
      </c>
    </row>
    <row r="1414" spans="1:36" x14ac:dyDescent="0.2">
      <c r="A1414" t="s">
        <v>56</v>
      </c>
      <c r="B1414" t="s">
        <v>54</v>
      </c>
      <c r="C1414">
        <v>19096</v>
      </c>
      <c r="D1414" t="s">
        <v>7</v>
      </c>
      <c r="E1414" t="s">
        <v>8</v>
      </c>
      <c r="F1414" t="s">
        <v>23</v>
      </c>
      <c r="H1414">
        <v>1</v>
      </c>
      <c r="L1414">
        <v>1</v>
      </c>
      <c r="Q1414">
        <v>1</v>
      </c>
      <c r="U1414">
        <v>1</v>
      </c>
      <c r="X1414">
        <v>1</v>
      </c>
      <c r="AB1414">
        <v>1</v>
      </c>
      <c r="AF1414">
        <v>1</v>
      </c>
      <c r="AJ1414">
        <f>SUM(Post[[#This Row],[47]:[75]])</f>
        <v>7</v>
      </c>
    </row>
    <row r="1415" spans="1:36" x14ac:dyDescent="0.2">
      <c r="A1415" t="s">
        <v>56</v>
      </c>
      <c r="B1415" t="s">
        <v>54</v>
      </c>
      <c r="C1415">
        <v>19166</v>
      </c>
      <c r="D1415" t="s">
        <v>7</v>
      </c>
      <c r="E1415" t="s">
        <v>14</v>
      </c>
      <c r="F1415" t="s">
        <v>35</v>
      </c>
      <c r="AJ1415">
        <f>SUM(Post[[#This Row],[47]:[75]])</f>
        <v>0</v>
      </c>
    </row>
    <row r="1416" spans="1:36" x14ac:dyDescent="0.2">
      <c r="A1416" t="s">
        <v>56</v>
      </c>
      <c r="B1416" t="s">
        <v>54</v>
      </c>
      <c r="C1416">
        <v>20219</v>
      </c>
      <c r="D1416" t="s">
        <v>7</v>
      </c>
      <c r="E1416" t="s">
        <v>8</v>
      </c>
      <c r="F1416" t="s">
        <v>9</v>
      </c>
      <c r="H1416">
        <v>1</v>
      </c>
      <c r="V1416">
        <v>1</v>
      </c>
      <c r="AI1416">
        <v>1</v>
      </c>
      <c r="AJ1416">
        <f>SUM(Post[[#This Row],[47]:[75]])</f>
        <v>3</v>
      </c>
    </row>
    <row r="1417" spans="1:36" x14ac:dyDescent="0.2">
      <c r="A1417" t="s">
        <v>56</v>
      </c>
      <c r="B1417" t="s">
        <v>54</v>
      </c>
      <c r="C1417">
        <v>20783</v>
      </c>
      <c r="D1417" t="s">
        <v>7</v>
      </c>
      <c r="E1417" t="s">
        <v>10</v>
      </c>
      <c r="F1417" t="s">
        <v>11</v>
      </c>
      <c r="AB1417">
        <v>1</v>
      </c>
      <c r="AJ1417">
        <f>SUM(Post[[#This Row],[47]:[75]])</f>
        <v>1</v>
      </c>
    </row>
    <row r="1418" spans="1:36" x14ac:dyDescent="0.2">
      <c r="A1418" t="s">
        <v>56</v>
      </c>
      <c r="B1418" t="s">
        <v>54</v>
      </c>
      <c r="C1418">
        <v>21358</v>
      </c>
      <c r="D1418" t="s">
        <v>7</v>
      </c>
      <c r="E1418" t="s">
        <v>8</v>
      </c>
      <c r="F1418" t="s">
        <v>23</v>
      </c>
      <c r="P1418">
        <v>1</v>
      </c>
      <c r="AB1418">
        <v>1</v>
      </c>
      <c r="AJ1418">
        <f>SUM(Post[[#This Row],[47]:[75]])</f>
        <v>2</v>
      </c>
    </row>
    <row r="1419" spans="1:36" x14ac:dyDescent="0.2">
      <c r="A1419" t="s">
        <v>56</v>
      </c>
      <c r="B1419" t="s">
        <v>54</v>
      </c>
      <c r="C1419">
        <v>21454</v>
      </c>
      <c r="D1419" t="s">
        <v>7</v>
      </c>
      <c r="E1419" t="s">
        <v>40</v>
      </c>
      <c r="F1419" t="s">
        <v>44</v>
      </c>
      <c r="AJ1419">
        <f>SUM(Post[[#This Row],[47]:[75]])</f>
        <v>0</v>
      </c>
    </row>
    <row r="1420" spans="1:36" x14ac:dyDescent="0.2">
      <c r="A1420" t="s">
        <v>56</v>
      </c>
      <c r="B1420" t="s">
        <v>54</v>
      </c>
      <c r="C1420">
        <v>21631</v>
      </c>
      <c r="D1420" t="s">
        <v>7</v>
      </c>
      <c r="E1420" t="s">
        <v>14</v>
      </c>
      <c r="F1420" t="s">
        <v>20</v>
      </c>
      <c r="AD1420">
        <v>1</v>
      </c>
      <c r="AJ1420">
        <f>SUM(Post[[#This Row],[47]:[75]])</f>
        <v>1</v>
      </c>
    </row>
    <row r="1421" spans="1:36" x14ac:dyDescent="0.2">
      <c r="A1421" t="s">
        <v>56</v>
      </c>
      <c r="B1421" t="s">
        <v>54</v>
      </c>
      <c r="C1421">
        <v>21684</v>
      </c>
      <c r="D1421" t="s">
        <v>7</v>
      </c>
      <c r="E1421" t="s">
        <v>14</v>
      </c>
      <c r="F1421" t="s">
        <v>19</v>
      </c>
      <c r="AJ1421">
        <f>SUM(Post[[#This Row],[47]:[75]])</f>
        <v>0</v>
      </c>
    </row>
    <row r="1422" spans="1:36" x14ac:dyDescent="0.2">
      <c r="A1422" t="s">
        <v>56</v>
      </c>
      <c r="B1422" t="s">
        <v>54</v>
      </c>
      <c r="C1422">
        <v>21883</v>
      </c>
      <c r="D1422" t="s">
        <v>7</v>
      </c>
      <c r="E1422" t="s">
        <v>14</v>
      </c>
      <c r="F1422" t="s">
        <v>20</v>
      </c>
      <c r="N1422">
        <v>1</v>
      </c>
      <c r="AH1422">
        <v>1</v>
      </c>
      <c r="AJ1422">
        <f>SUM(Post[[#This Row],[47]:[75]])</f>
        <v>2</v>
      </c>
    </row>
    <row r="1423" spans="1:36" x14ac:dyDescent="0.2">
      <c r="A1423" t="s">
        <v>56</v>
      </c>
      <c r="B1423" t="s">
        <v>54</v>
      </c>
      <c r="C1423">
        <v>25350</v>
      </c>
      <c r="D1423" t="s">
        <v>7</v>
      </c>
      <c r="E1423" t="s">
        <v>8</v>
      </c>
      <c r="F1423" t="s">
        <v>23</v>
      </c>
      <c r="AJ1423">
        <f>SUM(Post[[#This Row],[47]:[75]])</f>
        <v>0</v>
      </c>
    </row>
    <row r="1424" spans="1:36" x14ac:dyDescent="0.2">
      <c r="A1424" t="s">
        <v>56</v>
      </c>
      <c r="B1424" t="s">
        <v>54</v>
      </c>
      <c r="C1424">
        <v>25350</v>
      </c>
      <c r="D1424" t="s">
        <v>7</v>
      </c>
      <c r="E1424" t="s">
        <v>14</v>
      </c>
      <c r="F1424" t="s">
        <v>21</v>
      </c>
      <c r="I1424">
        <v>2</v>
      </c>
      <c r="AE1424">
        <v>1</v>
      </c>
      <c r="AJ1424">
        <f>SUM(Post[[#This Row],[47]:[75]])</f>
        <v>3</v>
      </c>
    </row>
    <row r="1425" spans="1:36" x14ac:dyDescent="0.2">
      <c r="A1425" t="s">
        <v>56</v>
      </c>
      <c r="B1425" t="s">
        <v>54</v>
      </c>
      <c r="C1425">
        <v>26522</v>
      </c>
      <c r="D1425" t="s">
        <v>7</v>
      </c>
      <c r="E1425" t="s">
        <v>14</v>
      </c>
      <c r="F1425" t="s">
        <v>35</v>
      </c>
      <c r="K1425">
        <v>1</v>
      </c>
      <c r="Z1425">
        <v>2</v>
      </c>
      <c r="AC1425">
        <v>1</v>
      </c>
      <c r="AF1425">
        <v>1</v>
      </c>
      <c r="AJ1425">
        <f>SUM(Post[[#This Row],[47]:[75]])</f>
        <v>5</v>
      </c>
    </row>
    <row r="1426" spans="1:36" x14ac:dyDescent="0.2">
      <c r="A1426" t="s">
        <v>56</v>
      </c>
      <c r="B1426" t="s">
        <v>54</v>
      </c>
      <c r="C1426">
        <v>28093</v>
      </c>
      <c r="D1426" t="s">
        <v>7</v>
      </c>
      <c r="E1426" t="s">
        <v>10</v>
      </c>
      <c r="F1426" t="s">
        <v>11</v>
      </c>
      <c r="G1426">
        <v>1</v>
      </c>
      <c r="AI1426">
        <v>1</v>
      </c>
      <c r="AJ1426">
        <f>SUM(Post[[#This Row],[47]:[75]])</f>
        <v>2</v>
      </c>
    </row>
    <row r="1427" spans="1:36" x14ac:dyDescent="0.2">
      <c r="A1427" t="s">
        <v>56</v>
      </c>
      <c r="B1427" t="s">
        <v>54</v>
      </c>
      <c r="C1427">
        <v>28093</v>
      </c>
      <c r="D1427" t="s">
        <v>7</v>
      </c>
      <c r="E1427" t="s">
        <v>8</v>
      </c>
      <c r="F1427" t="s">
        <v>23</v>
      </c>
      <c r="G1427">
        <v>1</v>
      </c>
      <c r="V1427">
        <v>1</v>
      </c>
      <c r="AJ1427">
        <f>SUM(Post[[#This Row],[47]:[75]])</f>
        <v>2</v>
      </c>
    </row>
    <row r="1428" spans="1:36" x14ac:dyDescent="0.2">
      <c r="A1428" t="s">
        <v>56</v>
      </c>
      <c r="B1428" t="s">
        <v>54</v>
      </c>
      <c r="C1428">
        <v>30721</v>
      </c>
      <c r="D1428" t="s">
        <v>7</v>
      </c>
      <c r="E1428" t="s">
        <v>10</v>
      </c>
      <c r="F1428" t="s">
        <v>11</v>
      </c>
      <c r="AC1428">
        <v>1</v>
      </c>
      <c r="AJ1428">
        <f>SUM(Post[[#This Row],[47]:[75]])</f>
        <v>1</v>
      </c>
    </row>
    <row r="1429" spans="1:36" x14ac:dyDescent="0.2">
      <c r="A1429" t="s">
        <v>56</v>
      </c>
      <c r="B1429" t="s">
        <v>54</v>
      </c>
      <c r="C1429">
        <v>30721</v>
      </c>
      <c r="D1429" t="s">
        <v>7</v>
      </c>
      <c r="E1429" t="s">
        <v>14</v>
      </c>
      <c r="F1429" t="s">
        <v>35</v>
      </c>
      <c r="AJ1429">
        <f>SUM(Post[[#This Row],[47]:[75]])</f>
        <v>0</v>
      </c>
    </row>
    <row r="1430" spans="1:36" x14ac:dyDescent="0.2">
      <c r="A1430" t="s">
        <v>56</v>
      </c>
      <c r="B1430" t="s">
        <v>54</v>
      </c>
      <c r="C1430">
        <v>30983</v>
      </c>
      <c r="D1430" t="s">
        <v>7</v>
      </c>
      <c r="E1430" t="s">
        <v>14</v>
      </c>
      <c r="F1430" t="s">
        <v>20</v>
      </c>
      <c r="AJ1430">
        <f>SUM(Post[[#This Row],[47]:[75]])</f>
        <v>0</v>
      </c>
    </row>
    <row r="1431" spans="1:36" x14ac:dyDescent="0.2">
      <c r="A1431" t="s">
        <v>56</v>
      </c>
      <c r="B1431" t="s">
        <v>54</v>
      </c>
      <c r="C1431">
        <v>31373</v>
      </c>
      <c r="D1431" t="s">
        <v>7</v>
      </c>
      <c r="E1431" t="s">
        <v>14</v>
      </c>
      <c r="F1431" t="s">
        <v>35</v>
      </c>
      <c r="H1431">
        <v>2</v>
      </c>
      <c r="X1431">
        <v>1</v>
      </c>
      <c r="AJ1431">
        <f>SUM(Post[[#This Row],[47]:[75]])</f>
        <v>3</v>
      </c>
    </row>
    <row r="1432" spans="1:36" x14ac:dyDescent="0.2">
      <c r="A1432" t="s">
        <v>56</v>
      </c>
      <c r="B1432" t="s">
        <v>54</v>
      </c>
      <c r="C1432">
        <v>31758</v>
      </c>
      <c r="D1432" t="s">
        <v>7</v>
      </c>
      <c r="E1432" t="s">
        <v>14</v>
      </c>
      <c r="F1432" t="s">
        <v>20</v>
      </c>
      <c r="P1432">
        <v>1</v>
      </c>
      <c r="AG1432">
        <v>1</v>
      </c>
      <c r="AJ1432">
        <f>SUM(Post[[#This Row],[47]:[75]])</f>
        <v>2</v>
      </c>
    </row>
    <row r="1433" spans="1:36" x14ac:dyDescent="0.2">
      <c r="A1433" t="s">
        <v>56</v>
      </c>
      <c r="B1433" t="s">
        <v>54</v>
      </c>
      <c r="C1433">
        <v>32149</v>
      </c>
      <c r="D1433" t="s">
        <v>7</v>
      </c>
      <c r="E1433" t="s">
        <v>14</v>
      </c>
      <c r="F1433" t="s">
        <v>19</v>
      </c>
      <c r="AJ1433">
        <f>SUM(Post[[#This Row],[47]:[75]])</f>
        <v>0</v>
      </c>
    </row>
    <row r="1434" spans="1:36" x14ac:dyDescent="0.2">
      <c r="A1434" t="s">
        <v>56</v>
      </c>
      <c r="B1434" t="s">
        <v>54</v>
      </c>
      <c r="C1434">
        <v>32747</v>
      </c>
      <c r="D1434" t="s">
        <v>7</v>
      </c>
      <c r="E1434" t="s">
        <v>26</v>
      </c>
      <c r="F1434" t="s">
        <v>27</v>
      </c>
      <c r="AJ1434">
        <f>SUM(Post[[#This Row],[47]:[75]])</f>
        <v>0</v>
      </c>
    </row>
    <row r="1435" spans="1:36" x14ac:dyDescent="0.2">
      <c r="A1435" t="s">
        <v>56</v>
      </c>
      <c r="B1435" t="s">
        <v>54</v>
      </c>
      <c r="C1435">
        <v>32747</v>
      </c>
      <c r="D1435" t="s">
        <v>7</v>
      </c>
      <c r="E1435" t="s">
        <v>14</v>
      </c>
      <c r="F1435" t="s">
        <v>20</v>
      </c>
      <c r="AJ1435">
        <f>SUM(Post[[#This Row],[47]:[75]])</f>
        <v>0</v>
      </c>
    </row>
    <row r="1436" spans="1:36" x14ac:dyDescent="0.2">
      <c r="A1436" t="s">
        <v>56</v>
      </c>
      <c r="B1436" t="s">
        <v>54</v>
      </c>
      <c r="C1436">
        <v>33634</v>
      </c>
      <c r="D1436" t="s">
        <v>7</v>
      </c>
      <c r="E1436" t="s">
        <v>8</v>
      </c>
      <c r="F1436" t="s">
        <v>9</v>
      </c>
      <c r="AJ1436">
        <f>SUM(Post[[#This Row],[47]:[75]])</f>
        <v>0</v>
      </c>
    </row>
    <row r="1437" spans="1:36" x14ac:dyDescent="0.2">
      <c r="A1437" t="s">
        <v>56</v>
      </c>
      <c r="B1437" t="s">
        <v>54</v>
      </c>
      <c r="C1437">
        <v>33634</v>
      </c>
      <c r="D1437" t="s">
        <v>7</v>
      </c>
      <c r="E1437" t="s">
        <v>8</v>
      </c>
      <c r="F1437" t="s">
        <v>29</v>
      </c>
      <c r="T1437">
        <v>1</v>
      </c>
      <c r="AJ1437">
        <f>SUM(Post[[#This Row],[47]:[75]])</f>
        <v>1</v>
      </c>
    </row>
    <row r="1438" spans="1:36" x14ac:dyDescent="0.2">
      <c r="A1438" t="s">
        <v>56</v>
      </c>
      <c r="B1438" t="s">
        <v>54</v>
      </c>
      <c r="C1438">
        <v>45</v>
      </c>
      <c r="D1438" t="s">
        <v>22</v>
      </c>
      <c r="E1438" t="s">
        <v>8</v>
      </c>
      <c r="F1438" t="s">
        <v>45</v>
      </c>
      <c r="AD1438">
        <v>1</v>
      </c>
      <c r="AJ1438">
        <f>SUM(Post[[#This Row],[47]:[75]])</f>
        <v>1</v>
      </c>
    </row>
    <row r="1439" spans="1:36" x14ac:dyDescent="0.2">
      <c r="A1439" t="s">
        <v>56</v>
      </c>
      <c r="B1439" t="s">
        <v>54</v>
      </c>
      <c r="C1439">
        <v>45</v>
      </c>
      <c r="D1439" t="s">
        <v>22</v>
      </c>
      <c r="E1439" t="s">
        <v>26</v>
      </c>
      <c r="F1439" t="s">
        <v>27</v>
      </c>
      <c r="AB1439">
        <v>1</v>
      </c>
      <c r="AJ1439">
        <f>SUM(Post[[#This Row],[47]:[75]])</f>
        <v>1</v>
      </c>
    </row>
    <row r="1440" spans="1:36" x14ac:dyDescent="0.2">
      <c r="A1440" t="s">
        <v>56</v>
      </c>
      <c r="B1440" t="s">
        <v>54</v>
      </c>
      <c r="C1440">
        <v>4079</v>
      </c>
      <c r="D1440" t="s">
        <v>22</v>
      </c>
      <c r="E1440" t="s">
        <v>8</v>
      </c>
      <c r="F1440" t="s">
        <v>23</v>
      </c>
      <c r="K1440">
        <v>1</v>
      </c>
      <c r="X1440">
        <v>1</v>
      </c>
      <c r="AJ1440">
        <f>SUM(Post[[#This Row],[47]:[75]])</f>
        <v>2</v>
      </c>
    </row>
    <row r="1441" spans="1:36" x14ac:dyDescent="0.2">
      <c r="A1441" t="s">
        <v>56</v>
      </c>
      <c r="B1441" t="s">
        <v>54</v>
      </c>
      <c r="C1441">
        <v>5767</v>
      </c>
      <c r="D1441" t="s">
        <v>22</v>
      </c>
      <c r="E1441" t="s">
        <v>8</v>
      </c>
      <c r="F1441" t="s">
        <v>9</v>
      </c>
      <c r="U1441">
        <v>1</v>
      </c>
      <c r="AH1441">
        <v>1</v>
      </c>
      <c r="AJ1441">
        <f>SUM(Post[[#This Row],[47]:[75]])</f>
        <v>2</v>
      </c>
    </row>
    <row r="1442" spans="1:36" x14ac:dyDescent="0.2">
      <c r="A1442" t="s">
        <v>56</v>
      </c>
      <c r="B1442" t="s">
        <v>54</v>
      </c>
      <c r="C1442">
        <v>5805</v>
      </c>
      <c r="D1442" t="s">
        <v>22</v>
      </c>
      <c r="E1442" t="s">
        <v>37</v>
      </c>
      <c r="F1442" t="s">
        <v>55</v>
      </c>
      <c r="O1442">
        <v>1</v>
      </c>
      <c r="AB1442">
        <v>1</v>
      </c>
      <c r="AJ1442">
        <f>SUM(Post[[#This Row],[47]:[75]])</f>
        <v>2</v>
      </c>
    </row>
    <row r="1443" spans="1:36" x14ac:dyDescent="0.2">
      <c r="A1443" t="s">
        <v>56</v>
      </c>
      <c r="B1443" t="s">
        <v>54</v>
      </c>
      <c r="C1443">
        <v>5805</v>
      </c>
      <c r="D1443" t="s">
        <v>22</v>
      </c>
      <c r="E1443" t="s">
        <v>26</v>
      </c>
      <c r="F1443" t="s">
        <v>27</v>
      </c>
      <c r="O1443">
        <v>1</v>
      </c>
      <c r="AB1443">
        <v>1</v>
      </c>
      <c r="AJ1443">
        <f>SUM(Post[[#This Row],[47]:[75]])</f>
        <v>2</v>
      </c>
    </row>
    <row r="1444" spans="1:36" x14ac:dyDescent="0.2">
      <c r="A1444" t="s">
        <v>56</v>
      </c>
      <c r="B1444" t="s">
        <v>54</v>
      </c>
      <c r="C1444">
        <v>6190</v>
      </c>
      <c r="D1444" t="s">
        <v>22</v>
      </c>
      <c r="E1444" t="s">
        <v>8</v>
      </c>
      <c r="F1444" t="s">
        <v>9</v>
      </c>
      <c r="AJ1444">
        <f>SUM(Post[[#This Row],[47]:[75]])</f>
        <v>0</v>
      </c>
    </row>
    <row r="1445" spans="1:36" x14ac:dyDescent="0.2">
      <c r="A1445" t="s">
        <v>56</v>
      </c>
      <c r="B1445" t="s">
        <v>54</v>
      </c>
      <c r="C1445">
        <v>7498</v>
      </c>
      <c r="D1445" t="s">
        <v>22</v>
      </c>
      <c r="E1445" t="s">
        <v>8</v>
      </c>
      <c r="F1445" t="s">
        <v>9</v>
      </c>
      <c r="Q1445">
        <v>1</v>
      </c>
      <c r="AC1445">
        <v>1</v>
      </c>
      <c r="AJ1445">
        <f>SUM(Post[[#This Row],[47]:[75]])</f>
        <v>2</v>
      </c>
    </row>
    <row r="1446" spans="1:36" x14ac:dyDescent="0.2">
      <c r="A1446" t="s">
        <v>56</v>
      </c>
      <c r="B1446" t="s">
        <v>54</v>
      </c>
      <c r="C1446">
        <v>7932</v>
      </c>
      <c r="D1446" t="s">
        <v>22</v>
      </c>
      <c r="E1446" t="s">
        <v>8</v>
      </c>
      <c r="F1446" t="s">
        <v>23</v>
      </c>
      <c r="I1446">
        <v>1</v>
      </c>
      <c r="L1446">
        <v>1</v>
      </c>
      <c r="R1446">
        <v>1</v>
      </c>
      <c r="V1446">
        <v>1</v>
      </c>
      <c r="Z1446">
        <v>1</v>
      </c>
      <c r="AD1446">
        <v>1</v>
      </c>
      <c r="AH1446">
        <v>1</v>
      </c>
      <c r="AJ1446">
        <f>SUM(Post[[#This Row],[47]:[75]])</f>
        <v>7</v>
      </c>
    </row>
    <row r="1447" spans="1:36" x14ac:dyDescent="0.2">
      <c r="A1447" t="s">
        <v>56</v>
      </c>
      <c r="B1447" t="s">
        <v>54</v>
      </c>
      <c r="C1447">
        <v>8164</v>
      </c>
      <c r="D1447" t="s">
        <v>22</v>
      </c>
      <c r="E1447" t="s">
        <v>8</v>
      </c>
      <c r="F1447" t="s">
        <v>9</v>
      </c>
      <c r="AJ1447">
        <f>SUM(Post[[#This Row],[47]:[75]])</f>
        <v>0</v>
      </c>
    </row>
    <row r="1448" spans="1:36" x14ac:dyDescent="0.2">
      <c r="A1448" t="s">
        <v>56</v>
      </c>
      <c r="B1448" t="s">
        <v>54</v>
      </c>
      <c r="C1448">
        <v>13110</v>
      </c>
      <c r="D1448" t="s">
        <v>22</v>
      </c>
      <c r="E1448" t="s">
        <v>8</v>
      </c>
      <c r="F1448" t="s">
        <v>9</v>
      </c>
      <c r="G1448">
        <v>2</v>
      </c>
      <c r="J1448">
        <v>2</v>
      </c>
      <c r="L1448">
        <v>2</v>
      </c>
      <c r="Q1448">
        <v>2</v>
      </c>
      <c r="U1448">
        <v>2</v>
      </c>
      <c r="V1448">
        <v>2</v>
      </c>
      <c r="X1448">
        <v>2</v>
      </c>
      <c r="AC1448">
        <v>2</v>
      </c>
      <c r="AG1448">
        <v>2</v>
      </c>
      <c r="AJ1448">
        <f>SUM(Post[[#This Row],[47]:[75]])</f>
        <v>18</v>
      </c>
    </row>
    <row r="1449" spans="1:36" x14ac:dyDescent="0.2">
      <c r="A1449" t="s">
        <v>56</v>
      </c>
      <c r="B1449" t="s">
        <v>54</v>
      </c>
      <c r="C1449">
        <v>18763</v>
      </c>
      <c r="D1449" t="s">
        <v>22</v>
      </c>
      <c r="E1449" t="s">
        <v>14</v>
      </c>
      <c r="F1449" t="s">
        <v>35</v>
      </c>
      <c r="H1449">
        <v>1</v>
      </c>
      <c r="O1449">
        <v>1</v>
      </c>
      <c r="R1449">
        <v>1</v>
      </c>
      <c r="X1449">
        <v>1</v>
      </c>
      <c r="AB1449">
        <v>1</v>
      </c>
      <c r="AG1449">
        <v>1</v>
      </c>
      <c r="AJ1449">
        <f>SUM(Post[[#This Row],[47]:[75]])</f>
        <v>6</v>
      </c>
    </row>
    <row r="1450" spans="1:36" x14ac:dyDescent="0.2">
      <c r="A1450" t="s">
        <v>56</v>
      </c>
      <c r="B1450" t="s">
        <v>54</v>
      </c>
      <c r="C1450">
        <v>19067</v>
      </c>
      <c r="D1450" t="s">
        <v>22</v>
      </c>
      <c r="E1450" t="s">
        <v>14</v>
      </c>
      <c r="F1450" t="s">
        <v>21</v>
      </c>
      <c r="AJ1450">
        <f>SUM(Post[[#This Row],[47]:[75]])</f>
        <v>0</v>
      </c>
    </row>
    <row r="1451" spans="1:36" x14ac:dyDescent="0.2">
      <c r="A1451" t="s">
        <v>56</v>
      </c>
      <c r="B1451" t="s">
        <v>54</v>
      </c>
      <c r="C1451">
        <v>21236</v>
      </c>
      <c r="D1451" t="s">
        <v>22</v>
      </c>
      <c r="E1451" t="s">
        <v>8</v>
      </c>
      <c r="F1451" t="s">
        <v>9</v>
      </c>
      <c r="S1451">
        <v>1</v>
      </c>
      <c r="AH1451">
        <v>2</v>
      </c>
      <c r="AJ1451">
        <f>SUM(Post[[#This Row],[47]:[75]])</f>
        <v>3</v>
      </c>
    </row>
    <row r="1452" spans="1:36" x14ac:dyDescent="0.2">
      <c r="A1452" t="s">
        <v>56</v>
      </c>
      <c r="B1452" t="s">
        <v>54</v>
      </c>
      <c r="C1452">
        <v>26445</v>
      </c>
      <c r="D1452" t="s">
        <v>22</v>
      </c>
      <c r="E1452" t="s">
        <v>14</v>
      </c>
      <c r="F1452" t="s">
        <v>35</v>
      </c>
      <c r="J1452">
        <v>1</v>
      </c>
      <c r="AJ1452">
        <f>SUM(Post[[#This Row],[47]:[75]])</f>
        <v>1</v>
      </c>
    </row>
    <row r="1453" spans="1:36" x14ac:dyDescent="0.2">
      <c r="A1453" t="s">
        <v>56</v>
      </c>
      <c r="B1453" t="s">
        <v>54</v>
      </c>
      <c r="C1453">
        <v>26688</v>
      </c>
      <c r="D1453" t="s">
        <v>22</v>
      </c>
      <c r="E1453" t="s">
        <v>14</v>
      </c>
      <c r="F1453" t="s">
        <v>35</v>
      </c>
      <c r="H1453">
        <v>1</v>
      </c>
      <c r="S1453">
        <v>1</v>
      </c>
      <c r="X1453">
        <v>2</v>
      </c>
      <c r="AF1453">
        <v>1</v>
      </c>
      <c r="AJ1453">
        <f>SUM(Post[[#This Row],[47]:[75]])</f>
        <v>5</v>
      </c>
    </row>
    <row r="1454" spans="1:36" x14ac:dyDescent="0.2">
      <c r="A1454" t="s">
        <v>56</v>
      </c>
      <c r="B1454" t="s">
        <v>54</v>
      </c>
      <c r="C1454">
        <v>13174</v>
      </c>
      <c r="D1454" t="s">
        <v>22</v>
      </c>
      <c r="E1454" t="s">
        <v>14</v>
      </c>
      <c r="F1454" t="s">
        <v>20</v>
      </c>
      <c r="AJ1454">
        <f>SUM(Post[[#This Row],[47]:[75]])</f>
        <v>0</v>
      </c>
    </row>
    <row r="1455" spans="1:36" x14ac:dyDescent="0.2">
      <c r="A1455" t="s">
        <v>56</v>
      </c>
      <c r="B1455" t="s">
        <v>54</v>
      </c>
      <c r="C1455">
        <v>14485</v>
      </c>
      <c r="D1455" t="s">
        <v>22</v>
      </c>
      <c r="E1455" t="s">
        <v>14</v>
      </c>
      <c r="F1455" t="s">
        <v>20</v>
      </c>
      <c r="AJ1455">
        <f>SUM(Post[[#This Row],[47]:[75]])</f>
        <v>0</v>
      </c>
    </row>
    <row r="1456" spans="1:36" x14ac:dyDescent="0.2">
      <c r="A1456" t="s">
        <v>56</v>
      </c>
      <c r="B1456" t="s">
        <v>54</v>
      </c>
      <c r="C1456">
        <v>1009</v>
      </c>
      <c r="D1456" t="s">
        <v>7</v>
      </c>
      <c r="E1456" t="s">
        <v>10</v>
      </c>
      <c r="F1456" t="s">
        <v>11</v>
      </c>
      <c r="AI1456">
        <v>1</v>
      </c>
      <c r="AJ1456">
        <f>SUM(Post[[#This Row],[47]:[75]])</f>
        <v>1</v>
      </c>
    </row>
    <row r="1457" spans="1:36" x14ac:dyDescent="0.2">
      <c r="A1457" t="s">
        <v>56</v>
      </c>
      <c r="B1457" t="s">
        <v>54</v>
      </c>
      <c r="C1457">
        <v>2115</v>
      </c>
      <c r="D1457" t="s">
        <v>7</v>
      </c>
      <c r="E1457" t="s">
        <v>14</v>
      </c>
      <c r="F1457" t="s">
        <v>35</v>
      </c>
      <c r="AG1457">
        <v>1</v>
      </c>
      <c r="AJ1457">
        <f>SUM(Post[[#This Row],[47]:[75]])</f>
        <v>1</v>
      </c>
    </row>
    <row r="1458" spans="1:36" x14ac:dyDescent="0.2">
      <c r="A1458" t="s">
        <v>56</v>
      </c>
      <c r="B1458" t="s">
        <v>54</v>
      </c>
      <c r="C1458">
        <v>2115</v>
      </c>
      <c r="D1458" t="s">
        <v>7</v>
      </c>
      <c r="E1458" t="s">
        <v>14</v>
      </c>
      <c r="F1458" t="s">
        <v>31</v>
      </c>
      <c r="L1458">
        <v>1</v>
      </c>
      <c r="Q1458">
        <v>1</v>
      </c>
      <c r="U1458">
        <v>1</v>
      </c>
      <c r="Y1458">
        <v>1</v>
      </c>
      <c r="AC1458">
        <v>1</v>
      </c>
      <c r="AJ1458">
        <f>SUM(Post[[#This Row],[47]:[75]])</f>
        <v>5</v>
      </c>
    </row>
    <row r="1459" spans="1:36" x14ac:dyDescent="0.2">
      <c r="A1459" t="s">
        <v>56</v>
      </c>
      <c r="B1459" t="s">
        <v>54</v>
      </c>
      <c r="C1459">
        <v>2115</v>
      </c>
      <c r="D1459" t="s">
        <v>7</v>
      </c>
      <c r="E1459" t="s">
        <v>14</v>
      </c>
      <c r="F1459" t="s">
        <v>21</v>
      </c>
      <c r="K1459">
        <v>1</v>
      </c>
      <c r="L1459">
        <v>1</v>
      </c>
      <c r="AH1459">
        <v>1</v>
      </c>
      <c r="AJ1459">
        <f>SUM(Post[[#This Row],[47]:[75]])</f>
        <v>3</v>
      </c>
    </row>
    <row r="1460" spans="1:36" x14ac:dyDescent="0.2">
      <c r="A1460" t="s">
        <v>56</v>
      </c>
      <c r="B1460" t="s">
        <v>54</v>
      </c>
      <c r="C1460">
        <v>2158</v>
      </c>
      <c r="D1460" t="s">
        <v>7</v>
      </c>
      <c r="E1460" t="s">
        <v>10</v>
      </c>
      <c r="F1460" t="s">
        <v>11</v>
      </c>
      <c r="AJ1460">
        <f>SUM(Post[[#This Row],[47]:[75]])</f>
        <v>0</v>
      </c>
    </row>
    <row r="1461" spans="1:36" x14ac:dyDescent="0.2">
      <c r="A1461" t="s">
        <v>56</v>
      </c>
      <c r="B1461" t="s">
        <v>54</v>
      </c>
      <c r="C1461">
        <v>2158</v>
      </c>
      <c r="D1461" t="s">
        <v>7</v>
      </c>
      <c r="E1461" t="s">
        <v>14</v>
      </c>
      <c r="F1461" t="s">
        <v>20</v>
      </c>
      <c r="AJ1461">
        <f>SUM(Post[[#This Row],[47]:[75]])</f>
        <v>0</v>
      </c>
    </row>
    <row r="1462" spans="1:36" x14ac:dyDescent="0.2">
      <c r="A1462" t="s">
        <v>56</v>
      </c>
      <c r="B1462" t="s">
        <v>54</v>
      </c>
      <c r="C1462">
        <v>3787</v>
      </c>
      <c r="D1462" t="s">
        <v>7</v>
      </c>
      <c r="E1462" t="s">
        <v>14</v>
      </c>
      <c r="F1462" t="s">
        <v>35</v>
      </c>
      <c r="Q1462">
        <v>1</v>
      </c>
      <c r="AJ1462">
        <f>SUM(Post[[#This Row],[47]:[75]])</f>
        <v>1</v>
      </c>
    </row>
    <row r="1463" spans="1:36" x14ac:dyDescent="0.2">
      <c r="A1463" t="s">
        <v>56</v>
      </c>
      <c r="B1463" t="s">
        <v>54</v>
      </c>
      <c r="C1463">
        <v>4576</v>
      </c>
      <c r="D1463" t="s">
        <v>7</v>
      </c>
      <c r="E1463" t="s">
        <v>14</v>
      </c>
      <c r="F1463" t="s">
        <v>20</v>
      </c>
      <c r="O1463">
        <v>1</v>
      </c>
      <c r="AC1463">
        <v>1</v>
      </c>
      <c r="AF1463">
        <v>1</v>
      </c>
      <c r="AJ1463">
        <f>SUM(Post[[#This Row],[47]:[75]])</f>
        <v>3</v>
      </c>
    </row>
    <row r="1464" spans="1:36" x14ac:dyDescent="0.2">
      <c r="A1464" t="s">
        <v>56</v>
      </c>
      <c r="B1464" t="s">
        <v>54</v>
      </c>
      <c r="C1464">
        <v>5935</v>
      </c>
      <c r="D1464" t="s">
        <v>7</v>
      </c>
      <c r="E1464" t="s">
        <v>14</v>
      </c>
      <c r="F1464" t="s">
        <v>20</v>
      </c>
      <c r="G1464">
        <v>1</v>
      </c>
      <c r="V1464">
        <v>1</v>
      </c>
      <c r="AJ1464">
        <f>SUM(Post[[#This Row],[47]:[75]])</f>
        <v>2</v>
      </c>
    </row>
    <row r="1465" spans="1:36" x14ac:dyDescent="0.2">
      <c r="A1465" t="s">
        <v>56</v>
      </c>
      <c r="B1465" t="s">
        <v>54</v>
      </c>
      <c r="C1465">
        <v>7704</v>
      </c>
      <c r="D1465" t="s">
        <v>7</v>
      </c>
      <c r="E1465" t="s">
        <v>14</v>
      </c>
      <c r="F1465" t="s">
        <v>19</v>
      </c>
      <c r="AE1465">
        <v>1</v>
      </c>
      <c r="AJ1465">
        <f>SUM(Post[[#This Row],[47]:[75]])</f>
        <v>1</v>
      </c>
    </row>
    <row r="1466" spans="1:36" x14ac:dyDescent="0.2">
      <c r="A1466" t="s">
        <v>56</v>
      </c>
      <c r="B1466" t="s">
        <v>54</v>
      </c>
      <c r="C1466">
        <v>10141</v>
      </c>
      <c r="D1466" t="s">
        <v>7</v>
      </c>
      <c r="E1466" t="s">
        <v>14</v>
      </c>
      <c r="F1466" t="s">
        <v>20</v>
      </c>
      <c r="I1466">
        <v>1</v>
      </c>
      <c r="L1466">
        <v>1</v>
      </c>
      <c r="AJ1466">
        <f>SUM(Post[[#This Row],[47]:[75]])</f>
        <v>2</v>
      </c>
    </row>
    <row r="1467" spans="1:36" x14ac:dyDescent="0.2">
      <c r="A1467" t="s">
        <v>56</v>
      </c>
      <c r="B1467" t="s">
        <v>54</v>
      </c>
      <c r="C1467">
        <v>11082</v>
      </c>
      <c r="D1467" t="s">
        <v>7</v>
      </c>
      <c r="E1467" t="s">
        <v>14</v>
      </c>
      <c r="F1467" t="s">
        <v>35</v>
      </c>
      <c r="H1467">
        <v>1</v>
      </c>
      <c r="L1467">
        <v>1</v>
      </c>
      <c r="S1467">
        <v>1</v>
      </c>
      <c r="W1467">
        <v>1</v>
      </c>
      <c r="AJ1467">
        <f>SUM(Post[[#This Row],[47]:[75]])</f>
        <v>4</v>
      </c>
    </row>
    <row r="1468" spans="1:36" x14ac:dyDescent="0.2">
      <c r="A1468" t="s">
        <v>56</v>
      </c>
      <c r="B1468" t="s">
        <v>54</v>
      </c>
      <c r="C1468">
        <v>11494</v>
      </c>
      <c r="D1468" t="s">
        <v>7</v>
      </c>
      <c r="E1468" t="s">
        <v>14</v>
      </c>
      <c r="F1468" t="s">
        <v>35</v>
      </c>
      <c r="AJ1468">
        <f>SUM(Post[[#This Row],[47]:[75]])</f>
        <v>0</v>
      </c>
    </row>
    <row r="1469" spans="1:36" x14ac:dyDescent="0.2">
      <c r="A1469" t="s">
        <v>56</v>
      </c>
      <c r="B1469" t="s">
        <v>54</v>
      </c>
      <c r="C1469">
        <v>11624</v>
      </c>
      <c r="D1469" t="s">
        <v>7</v>
      </c>
      <c r="E1469" t="s">
        <v>14</v>
      </c>
      <c r="F1469" t="s">
        <v>20</v>
      </c>
      <c r="AJ1469">
        <f>SUM(Post[[#This Row],[47]:[75]])</f>
        <v>0</v>
      </c>
    </row>
    <row r="1470" spans="1:36" x14ac:dyDescent="0.2">
      <c r="A1470" t="s">
        <v>56</v>
      </c>
      <c r="B1470" t="s">
        <v>54</v>
      </c>
      <c r="C1470">
        <v>13005</v>
      </c>
      <c r="D1470" t="s">
        <v>7</v>
      </c>
      <c r="E1470" t="s">
        <v>14</v>
      </c>
      <c r="F1470" t="s">
        <v>35</v>
      </c>
      <c r="W1470">
        <v>1</v>
      </c>
      <c r="X1470">
        <v>1</v>
      </c>
      <c r="Y1470">
        <v>1</v>
      </c>
      <c r="Z1470">
        <v>3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2</v>
      </c>
      <c r="AI1470">
        <v>1</v>
      </c>
      <c r="AJ1470">
        <f>SUM(Post[[#This Row],[47]:[75]])</f>
        <v>15</v>
      </c>
    </row>
    <row r="1471" spans="1:36" x14ac:dyDescent="0.2">
      <c r="A1471" t="s">
        <v>56</v>
      </c>
      <c r="B1471" t="s">
        <v>54</v>
      </c>
      <c r="C1471">
        <v>13005</v>
      </c>
      <c r="D1471" t="s">
        <v>7</v>
      </c>
      <c r="E1471" t="s">
        <v>14</v>
      </c>
      <c r="F1471" t="s">
        <v>31</v>
      </c>
      <c r="G1471">
        <v>1</v>
      </c>
      <c r="H1471">
        <v>1</v>
      </c>
      <c r="I1471">
        <v>1</v>
      </c>
      <c r="J1471">
        <v>2</v>
      </c>
      <c r="L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AJ1471">
        <f>SUM(Post[[#This Row],[47]:[75]])</f>
        <v>16</v>
      </c>
    </row>
    <row r="1472" spans="1:36" x14ac:dyDescent="0.2">
      <c r="A1472" t="s">
        <v>56</v>
      </c>
      <c r="B1472" t="s">
        <v>54</v>
      </c>
      <c r="C1472">
        <v>13380</v>
      </c>
      <c r="D1472" t="s">
        <v>7</v>
      </c>
      <c r="E1472" t="s">
        <v>14</v>
      </c>
      <c r="F1472" t="s">
        <v>20</v>
      </c>
      <c r="AJ1472">
        <f>SUM(Post[[#This Row],[47]:[75]])</f>
        <v>0</v>
      </c>
    </row>
    <row r="1473" spans="1:36" x14ac:dyDescent="0.2">
      <c r="A1473" t="s">
        <v>56</v>
      </c>
      <c r="B1473" t="s">
        <v>54</v>
      </c>
      <c r="C1473">
        <v>18546</v>
      </c>
      <c r="D1473" t="s">
        <v>7</v>
      </c>
      <c r="E1473" t="s">
        <v>14</v>
      </c>
      <c r="F1473" t="s">
        <v>31</v>
      </c>
      <c r="I1473">
        <v>1</v>
      </c>
      <c r="Z1473">
        <v>1</v>
      </c>
      <c r="AJ1473">
        <f>SUM(Post[[#This Row],[47]:[75]])</f>
        <v>2</v>
      </c>
    </row>
    <row r="1474" spans="1:36" x14ac:dyDescent="0.2">
      <c r="A1474" t="s">
        <v>56</v>
      </c>
      <c r="B1474" t="s">
        <v>54</v>
      </c>
      <c r="C1474">
        <v>20428</v>
      </c>
      <c r="D1474" t="s">
        <v>7</v>
      </c>
      <c r="E1474" t="s">
        <v>14</v>
      </c>
      <c r="F1474" t="s">
        <v>35</v>
      </c>
      <c r="R1474">
        <v>1</v>
      </c>
      <c r="AD1474">
        <v>1</v>
      </c>
      <c r="AJ1474">
        <f>SUM(Post[[#This Row],[47]:[75]])</f>
        <v>2</v>
      </c>
    </row>
    <row r="1475" spans="1:36" x14ac:dyDescent="0.2">
      <c r="A1475" t="s">
        <v>56</v>
      </c>
      <c r="B1475" t="s">
        <v>54</v>
      </c>
      <c r="C1475">
        <v>22446</v>
      </c>
      <c r="D1475" t="s">
        <v>7</v>
      </c>
      <c r="E1475" t="s">
        <v>10</v>
      </c>
      <c r="F1475" t="s">
        <v>11</v>
      </c>
      <c r="J1475">
        <v>1</v>
      </c>
      <c r="Y1475">
        <v>1</v>
      </c>
      <c r="AF1475">
        <v>2</v>
      </c>
      <c r="AJ1475">
        <f>SUM(Post[[#This Row],[47]:[75]])</f>
        <v>4</v>
      </c>
    </row>
    <row r="1476" spans="1:36" x14ac:dyDescent="0.2">
      <c r="A1476" t="s">
        <v>56</v>
      </c>
      <c r="B1476" t="s">
        <v>54</v>
      </c>
      <c r="C1476">
        <v>23367</v>
      </c>
      <c r="D1476" t="s">
        <v>7</v>
      </c>
      <c r="E1476" t="s">
        <v>10</v>
      </c>
      <c r="F1476" t="s">
        <v>11</v>
      </c>
      <c r="AF1476">
        <v>1</v>
      </c>
      <c r="AJ1476">
        <f>SUM(Post[[#This Row],[47]:[75]])</f>
        <v>1</v>
      </c>
    </row>
    <row r="1477" spans="1:36" x14ac:dyDescent="0.2">
      <c r="A1477" t="s">
        <v>56</v>
      </c>
      <c r="B1477" t="s">
        <v>54</v>
      </c>
      <c r="C1477">
        <v>31749</v>
      </c>
      <c r="D1477" t="s">
        <v>7</v>
      </c>
      <c r="E1477" t="s">
        <v>14</v>
      </c>
      <c r="F1477" t="s">
        <v>31</v>
      </c>
      <c r="G1477">
        <v>1</v>
      </c>
      <c r="U1477">
        <v>1</v>
      </c>
      <c r="AF1477">
        <v>1</v>
      </c>
      <c r="AJ1477">
        <f>SUM(Post[[#This Row],[47]:[75]])</f>
        <v>3</v>
      </c>
    </row>
    <row r="1478" spans="1:36" x14ac:dyDescent="0.2">
      <c r="A1478" t="s">
        <v>56</v>
      </c>
      <c r="B1478" t="s">
        <v>54</v>
      </c>
      <c r="C1478">
        <v>45</v>
      </c>
      <c r="D1478" t="s">
        <v>22</v>
      </c>
      <c r="E1478" t="s">
        <v>14</v>
      </c>
      <c r="F1478" t="s">
        <v>35</v>
      </c>
      <c r="L1478">
        <v>1</v>
      </c>
      <c r="AB1478">
        <v>1</v>
      </c>
      <c r="AD1478">
        <v>1</v>
      </c>
      <c r="AJ1478">
        <f>SUM(Post[[#This Row],[47]:[75]])</f>
        <v>3</v>
      </c>
    </row>
    <row r="1479" spans="1:36" x14ac:dyDescent="0.2">
      <c r="A1479" t="s">
        <v>56</v>
      </c>
      <c r="B1479" t="s">
        <v>54</v>
      </c>
      <c r="C1479">
        <v>1646</v>
      </c>
      <c r="D1479" t="s">
        <v>22</v>
      </c>
      <c r="E1479" t="s">
        <v>14</v>
      </c>
      <c r="F1479" t="s">
        <v>35</v>
      </c>
      <c r="AJ1479">
        <f>SUM(Post[[#This Row],[47]:[75]])</f>
        <v>0</v>
      </c>
    </row>
    <row r="1480" spans="1:36" x14ac:dyDescent="0.2">
      <c r="A1480" t="s">
        <v>56</v>
      </c>
      <c r="B1480" t="s">
        <v>54</v>
      </c>
      <c r="C1480">
        <v>18798</v>
      </c>
      <c r="D1480" t="s">
        <v>7</v>
      </c>
      <c r="E1480" t="s">
        <v>14</v>
      </c>
      <c r="F1480" t="s">
        <v>20</v>
      </c>
      <c r="R1480">
        <v>1</v>
      </c>
      <c r="AJ1480">
        <f>SUM(Post[[#This Row],[47]:[75]])</f>
        <v>1</v>
      </c>
    </row>
    <row r="1481" spans="1:36" x14ac:dyDescent="0.2">
      <c r="A1481" t="s">
        <v>56</v>
      </c>
      <c r="B1481" t="s">
        <v>54</v>
      </c>
      <c r="C1481">
        <v>246</v>
      </c>
      <c r="D1481" t="s">
        <v>7</v>
      </c>
      <c r="E1481" t="s">
        <v>14</v>
      </c>
      <c r="F1481" t="s">
        <v>31</v>
      </c>
      <c r="G1481">
        <v>1</v>
      </c>
      <c r="J1481">
        <v>1</v>
      </c>
      <c r="K1481">
        <v>1</v>
      </c>
      <c r="P1481">
        <v>1</v>
      </c>
      <c r="T1481">
        <v>1</v>
      </c>
      <c r="X1481">
        <v>1</v>
      </c>
      <c r="AB1481">
        <v>1</v>
      </c>
      <c r="AF1481">
        <v>1</v>
      </c>
      <c r="AJ1481">
        <f>SUM(Post[[#This Row],[47]:[75]])</f>
        <v>8</v>
      </c>
    </row>
    <row r="1482" spans="1:36" x14ac:dyDescent="0.2">
      <c r="A1482" t="s">
        <v>56</v>
      </c>
      <c r="B1482" t="s">
        <v>54</v>
      </c>
      <c r="C1482">
        <v>2643</v>
      </c>
      <c r="D1482" t="s">
        <v>7</v>
      </c>
      <c r="E1482" t="s">
        <v>14</v>
      </c>
      <c r="F1482" t="s">
        <v>35</v>
      </c>
      <c r="L1482">
        <v>1</v>
      </c>
      <c r="U1482">
        <v>1</v>
      </c>
      <c r="AG1482">
        <v>1</v>
      </c>
      <c r="AJ1482">
        <f>SUM(Post[[#This Row],[47]:[75]])</f>
        <v>3</v>
      </c>
    </row>
    <row r="1483" spans="1:36" x14ac:dyDescent="0.2">
      <c r="A1483" t="s">
        <v>56</v>
      </c>
      <c r="B1483" t="s">
        <v>54</v>
      </c>
      <c r="C1483">
        <v>9534</v>
      </c>
      <c r="D1483" t="s">
        <v>7</v>
      </c>
      <c r="E1483" t="s">
        <v>10</v>
      </c>
      <c r="F1483" t="s">
        <v>11</v>
      </c>
      <c r="V1483">
        <v>1</v>
      </c>
      <c r="AJ1483">
        <f>SUM(Post[[#This Row],[47]:[75]])</f>
        <v>1</v>
      </c>
    </row>
    <row r="1484" spans="1:36" x14ac:dyDescent="0.2">
      <c r="A1484" t="s">
        <v>56</v>
      </c>
      <c r="B1484" t="s">
        <v>54</v>
      </c>
      <c r="C1484">
        <v>12740</v>
      </c>
      <c r="D1484" t="s">
        <v>7</v>
      </c>
      <c r="E1484" t="s">
        <v>14</v>
      </c>
      <c r="F1484" t="s">
        <v>21</v>
      </c>
      <c r="I1484">
        <v>1</v>
      </c>
      <c r="L1484">
        <v>1</v>
      </c>
      <c r="R1484">
        <v>1</v>
      </c>
      <c r="V1484">
        <v>1</v>
      </c>
      <c r="Z1484">
        <v>1</v>
      </c>
      <c r="AD1484">
        <v>1</v>
      </c>
      <c r="AH1484">
        <v>1</v>
      </c>
      <c r="AJ1484">
        <f>SUM(Post[[#This Row],[47]:[75]])</f>
        <v>7</v>
      </c>
    </row>
    <row r="1485" spans="1:36" x14ac:dyDescent="0.2">
      <c r="A1485" t="s">
        <v>56</v>
      </c>
      <c r="B1485" t="s">
        <v>54</v>
      </c>
      <c r="C1485">
        <v>19638</v>
      </c>
      <c r="D1485" t="s">
        <v>7</v>
      </c>
      <c r="E1485" t="s">
        <v>14</v>
      </c>
      <c r="F1485" t="s">
        <v>31</v>
      </c>
      <c r="AJ1485">
        <f>SUM(Post[[#This Row],[47]:[75]])</f>
        <v>0</v>
      </c>
    </row>
    <row r="1486" spans="1:36" x14ac:dyDescent="0.2">
      <c r="A1486" t="s">
        <v>56</v>
      </c>
      <c r="B1486" t="s">
        <v>54</v>
      </c>
      <c r="C1486">
        <v>13110</v>
      </c>
      <c r="D1486" t="s">
        <v>22</v>
      </c>
      <c r="E1486" t="s">
        <v>14</v>
      </c>
      <c r="F1486" t="s">
        <v>20</v>
      </c>
      <c r="G1486">
        <v>1</v>
      </c>
      <c r="J1486">
        <v>1</v>
      </c>
      <c r="L1486">
        <v>1</v>
      </c>
      <c r="Q1486">
        <v>1</v>
      </c>
      <c r="U1486">
        <v>2</v>
      </c>
      <c r="V1486">
        <v>1</v>
      </c>
      <c r="X1486">
        <v>1</v>
      </c>
      <c r="AC1486">
        <v>1</v>
      </c>
      <c r="AG1486">
        <v>1</v>
      </c>
      <c r="AJ1486">
        <f>SUM(Post[[#This Row],[47]:[75]])</f>
        <v>10</v>
      </c>
    </row>
    <row r="1487" spans="1:36" x14ac:dyDescent="0.2">
      <c r="A1487" t="s">
        <v>56</v>
      </c>
      <c r="B1487" t="s">
        <v>54</v>
      </c>
      <c r="C1487">
        <v>4992</v>
      </c>
      <c r="D1487" t="s">
        <v>7</v>
      </c>
      <c r="E1487" t="s">
        <v>14</v>
      </c>
      <c r="F1487" t="s">
        <v>20</v>
      </c>
      <c r="J1487">
        <v>1</v>
      </c>
      <c r="X1487">
        <v>1</v>
      </c>
      <c r="AB1487">
        <v>1</v>
      </c>
      <c r="AJ1487">
        <f>SUM(Post[[#This Row],[47]:[75]])</f>
        <v>3</v>
      </c>
    </row>
    <row r="1488" spans="1:36" x14ac:dyDescent="0.2">
      <c r="A1488" t="s">
        <v>56</v>
      </c>
      <c r="B1488" t="s">
        <v>54</v>
      </c>
      <c r="C1488">
        <v>6997</v>
      </c>
      <c r="D1488" t="s">
        <v>7</v>
      </c>
      <c r="E1488" t="s">
        <v>14</v>
      </c>
      <c r="F1488" t="s">
        <v>21</v>
      </c>
      <c r="P1488">
        <v>1</v>
      </c>
      <c r="AB1488">
        <v>1</v>
      </c>
      <c r="AJ1488">
        <f>SUM(Post[[#This Row],[47]:[75]])</f>
        <v>2</v>
      </c>
    </row>
    <row r="1489" spans="1:36" x14ac:dyDescent="0.2">
      <c r="A1489" t="s">
        <v>56</v>
      </c>
      <c r="B1489" t="s">
        <v>54</v>
      </c>
      <c r="C1489">
        <v>8163</v>
      </c>
      <c r="D1489" t="s">
        <v>7</v>
      </c>
      <c r="E1489" t="s">
        <v>14</v>
      </c>
      <c r="F1489" t="s">
        <v>20</v>
      </c>
      <c r="I1489">
        <v>1</v>
      </c>
      <c r="W1489">
        <v>2</v>
      </c>
      <c r="AJ1489">
        <f>SUM(Post[[#This Row],[47]:[75]])</f>
        <v>3</v>
      </c>
    </row>
    <row r="1490" spans="1:36" x14ac:dyDescent="0.2">
      <c r="A1490" t="s">
        <v>56</v>
      </c>
      <c r="B1490" t="s">
        <v>54</v>
      </c>
      <c r="C1490">
        <v>19096</v>
      </c>
      <c r="D1490" t="s">
        <v>7</v>
      </c>
      <c r="E1490" t="s">
        <v>14</v>
      </c>
      <c r="F1490" t="s">
        <v>20</v>
      </c>
      <c r="H1490">
        <v>1</v>
      </c>
      <c r="L1490">
        <v>1</v>
      </c>
      <c r="Q1490">
        <v>1</v>
      </c>
      <c r="U1490">
        <v>1</v>
      </c>
      <c r="X1490">
        <v>1</v>
      </c>
      <c r="AB1490">
        <v>1</v>
      </c>
      <c r="AF1490">
        <v>1</v>
      </c>
      <c r="AJ1490">
        <f>SUM(Post[[#This Row],[47]:[75]])</f>
        <v>7</v>
      </c>
    </row>
    <row r="1491" spans="1:36" x14ac:dyDescent="0.2">
      <c r="A1491" t="s">
        <v>56</v>
      </c>
      <c r="B1491" t="s">
        <v>54</v>
      </c>
      <c r="C1491">
        <v>6190</v>
      </c>
      <c r="D1491" t="s">
        <v>22</v>
      </c>
      <c r="E1491" t="s">
        <v>14</v>
      </c>
      <c r="F1491" t="s">
        <v>35</v>
      </c>
      <c r="O1491">
        <v>1</v>
      </c>
      <c r="AD1491">
        <v>1</v>
      </c>
      <c r="AJ1491">
        <f>SUM(Post[[#This Row],[47]:[75]])</f>
        <v>2</v>
      </c>
    </row>
    <row r="1492" spans="1:36" x14ac:dyDescent="0.2">
      <c r="A1492" t="s">
        <v>56</v>
      </c>
      <c r="B1492" t="s">
        <v>54</v>
      </c>
      <c r="C1492">
        <v>7498</v>
      </c>
      <c r="D1492" t="s">
        <v>22</v>
      </c>
      <c r="E1492" t="s">
        <v>14</v>
      </c>
      <c r="F1492" t="s">
        <v>20</v>
      </c>
      <c r="Z1492">
        <v>1</v>
      </c>
      <c r="AC1492">
        <v>1</v>
      </c>
      <c r="AJ1492">
        <f>SUM(Post[[#This Row],[47]:[75]])</f>
        <v>2</v>
      </c>
    </row>
    <row r="1493" spans="1:36" x14ac:dyDescent="0.2">
      <c r="A1493" t="s">
        <v>56</v>
      </c>
      <c r="B1493" t="s">
        <v>54</v>
      </c>
      <c r="C1493">
        <v>755</v>
      </c>
      <c r="D1493" t="s">
        <v>7</v>
      </c>
      <c r="E1493" t="s">
        <v>8</v>
      </c>
      <c r="F1493" t="s">
        <v>45</v>
      </c>
      <c r="I1493">
        <v>1</v>
      </c>
      <c r="T1493">
        <v>1</v>
      </c>
      <c r="U1493">
        <v>1</v>
      </c>
      <c r="AE1493">
        <v>2</v>
      </c>
      <c r="AJ1493">
        <f>SUM(Post[[#This Row],[47]:[75]])</f>
        <v>5</v>
      </c>
    </row>
    <row r="1494" spans="1:36" x14ac:dyDescent="0.2">
      <c r="A1494" t="s">
        <v>56</v>
      </c>
      <c r="B1494" t="s">
        <v>54</v>
      </c>
      <c r="C1494">
        <v>855</v>
      </c>
      <c r="D1494" t="s">
        <v>7</v>
      </c>
      <c r="E1494" t="s">
        <v>8</v>
      </c>
      <c r="F1494" t="s">
        <v>9</v>
      </c>
      <c r="K1494">
        <v>1</v>
      </c>
      <c r="P1494">
        <v>1</v>
      </c>
      <c r="T1494">
        <v>1</v>
      </c>
      <c r="Y1494">
        <v>1</v>
      </c>
      <c r="AC1494">
        <v>1</v>
      </c>
      <c r="AG1494">
        <v>1</v>
      </c>
      <c r="AJ1494">
        <f>SUM(Post[[#This Row],[47]:[75]])</f>
        <v>6</v>
      </c>
    </row>
    <row r="1495" spans="1:36" x14ac:dyDescent="0.2">
      <c r="A1495" t="s">
        <v>56</v>
      </c>
      <c r="B1495" t="s">
        <v>54</v>
      </c>
      <c r="C1495">
        <v>1478</v>
      </c>
      <c r="D1495" t="s">
        <v>7</v>
      </c>
      <c r="E1495" t="s">
        <v>8</v>
      </c>
      <c r="F1495" t="s">
        <v>9</v>
      </c>
      <c r="AJ1495">
        <f>SUM(Post[[#This Row],[47]:[75]])</f>
        <v>0</v>
      </c>
    </row>
    <row r="1496" spans="1:36" x14ac:dyDescent="0.2">
      <c r="A1496" t="s">
        <v>56</v>
      </c>
      <c r="B1496" t="s">
        <v>54</v>
      </c>
      <c r="C1496">
        <v>3960</v>
      </c>
      <c r="D1496" t="s">
        <v>7</v>
      </c>
      <c r="E1496" t="s">
        <v>8</v>
      </c>
      <c r="F1496" t="s">
        <v>9</v>
      </c>
      <c r="H1496">
        <v>1</v>
      </c>
      <c r="W1496">
        <v>1</v>
      </c>
      <c r="AJ1496">
        <f>SUM(Post[[#This Row],[47]:[75]])</f>
        <v>2</v>
      </c>
    </row>
    <row r="1497" spans="1:36" x14ac:dyDescent="0.2">
      <c r="A1497" t="s">
        <v>56</v>
      </c>
      <c r="B1497" t="s">
        <v>54</v>
      </c>
      <c r="C1497">
        <v>5926</v>
      </c>
      <c r="D1497" t="s">
        <v>7</v>
      </c>
      <c r="E1497" t="s">
        <v>8</v>
      </c>
      <c r="F1497" t="s">
        <v>9</v>
      </c>
      <c r="H1497">
        <v>1</v>
      </c>
      <c r="V1497">
        <v>1</v>
      </c>
      <c r="AJ1497">
        <f>SUM(Post[[#This Row],[47]:[75]])</f>
        <v>2</v>
      </c>
    </row>
    <row r="1498" spans="1:36" x14ac:dyDescent="0.2">
      <c r="A1498" t="s">
        <v>56</v>
      </c>
      <c r="B1498" t="s">
        <v>54</v>
      </c>
      <c r="C1498">
        <v>8165</v>
      </c>
      <c r="D1498" t="s">
        <v>7</v>
      </c>
      <c r="E1498" t="s">
        <v>8</v>
      </c>
      <c r="F1498" t="s">
        <v>9</v>
      </c>
      <c r="H1498">
        <v>1</v>
      </c>
      <c r="L1498">
        <v>1</v>
      </c>
      <c r="Q1498">
        <v>1</v>
      </c>
      <c r="U1498">
        <v>1</v>
      </c>
      <c r="Y1498">
        <v>1</v>
      </c>
      <c r="AC1498">
        <v>1</v>
      </c>
      <c r="AH1498">
        <v>1</v>
      </c>
      <c r="AJ1498">
        <f>SUM(Post[[#This Row],[47]:[75]])</f>
        <v>7</v>
      </c>
    </row>
    <row r="1499" spans="1:36" x14ac:dyDescent="0.2">
      <c r="A1499" t="s">
        <v>56</v>
      </c>
      <c r="B1499" t="s">
        <v>54</v>
      </c>
      <c r="C1499">
        <v>8286</v>
      </c>
      <c r="D1499" t="s">
        <v>7</v>
      </c>
      <c r="E1499" t="s">
        <v>8</v>
      </c>
      <c r="F1499" t="s">
        <v>23</v>
      </c>
      <c r="AB1499">
        <v>1</v>
      </c>
      <c r="AJ1499">
        <f>SUM(Post[[#This Row],[47]:[75]])</f>
        <v>1</v>
      </c>
    </row>
    <row r="1500" spans="1:36" x14ac:dyDescent="0.2">
      <c r="A1500" t="s">
        <v>56</v>
      </c>
      <c r="B1500" t="s">
        <v>54</v>
      </c>
      <c r="C1500">
        <v>11087</v>
      </c>
      <c r="D1500" t="s">
        <v>7</v>
      </c>
      <c r="E1500" t="s">
        <v>8</v>
      </c>
      <c r="F1500" t="s">
        <v>9</v>
      </c>
      <c r="AJ1500">
        <f>SUM(Post[[#This Row],[47]:[75]])</f>
        <v>0</v>
      </c>
    </row>
    <row r="1501" spans="1:36" x14ac:dyDescent="0.2">
      <c r="A1501" t="s">
        <v>56</v>
      </c>
      <c r="B1501" t="s">
        <v>54</v>
      </c>
      <c r="C1501">
        <v>11635</v>
      </c>
      <c r="D1501" t="s">
        <v>7</v>
      </c>
      <c r="E1501" t="s">
        <v>8</v>
      </c>
      <c r="F1501" t="s">
        <v>30</v>
      </c>
      <c r="K1501">
        <v>1</v>
      </c>
      <c r="Y1501">
        <v>1</v>
      </c>
      <c r="AJ1501">
        <f>SUM(Post[[#This Row],[47]:[75]])</f>
        <v>2</v>
      </c>
    </row>
    <row r="1502" spans="1:36" x14ac:dyDescent="0.2">
      <c r="A1502" t="s">
        <v>56</v>
      </c>
      <c r="B1502" t="s">
        <v>54</v>
      </c>
      <c r="C1502">
        <v>13697</v>
      </c>
      <c r="D1502" t="s">
        <v>7</v>
      </c>
      <c r="E1502" t="s">
        <v>8</v>
      </c>
      <c r="F1502" t="s">
        <v>9</v>
      </c>
      <c r="H1502">
        <v>1</v>
      </c>
      <c r="Y1502">
        <v>1</v>
      </c>
      <c r="AJ1502">
        <f>SUM(Post[[#This Row],[47]:[75]])</f>
        <v>2</v>
      </c>
    </row>
    <row r="1503" spans="1:36" x14ac:dyDescent="0.2">
      <c r="A1503" t="s">
        <v>56</v>
      </c>
      <c r="B1503" t="s">
        <v>54</v>
      </c>
      <c r="C1503">
        <v>16925</v>
      </c>
      <c r="D1503" t="s">
        <v>7</v>
      </c>
      <c r="E1503" t="s">
        <v>8</v>
      </c>
      <c r="F1503" t="s">
        <v>23</v>
      </c>
      <c r="T1503">
        <v>1</v>
      </c>
      <c r="Z1503">
        <v>1</v>
      </c>
      <c r="AJ1503">
        <f>SUM(Post[[#This Row],[47]:[75]])</f>
        <v>2</v>
      </c>
    </row>
    <row r="1504" spans="1:36" x14ac:dyDescent="0.2">
      <c r="A1504" t="s">
        <v>56</v>
      </c>
      <c r="B1504" t="s">
        <v>54</v>
      </c>
      <c r="C1504">
        <v>22625</v>
      </c>
      <c r="D1504" t="s">
        <v>7</v>
      </c>
      <c r="E1504" t="s">
        <v>8</v>
      </c>
      <c r="F1504" t="s">
        <v>9</v>
      </c>
      <c r="G1504">
        <v>1</v>
      </c>
      <c r="K1504">
        <v>1</v>
      </c>
      <c r="Q1504">
        <v>1</v>
      </c>
      <c r="AD1504">
        <v>1</v>
      </c>
      <c r="AJ1504">
        <f>SUM(Post[[#This Row],[47]:[75]])</f>
        <v>4</v>
      </c>
    </row>
    <row r="1505" spans="1:36" x14ac:dyDescent="0.2">
      <c r="A1505" t="s">
        <v>56</v>
      </c>
      <c r="B1505" t="s">
        <v>54</v>
      </c>
      <c r="C1505">
        <v>25168</v>
      </c>
      <c r="D1505" t="s">
        <v>7</v>
      </c>
      <c r="E1505" t="s">
        <v>8</v>
      </c>
      <c r="F1505" t="s">
        <v>9</v>
      </c>
      <c r="Z1505">
        <v>1</v>
      </c>
      <c r="AF1505">
        <v>1</v>
      </c>
      <c r="AJ1505">
        <f>SUM(Post[[#This Row],[47]:[75]])</f>
        <v>2</v>
      </c>
    </row>
    <row r="1506" spans="1:36" x14ac:dyDescent="0.2">
      <c r="A1506" t="s">
        <v>56</v>
      </c>
      <c r="B1506" t="s">
        <v>54</v>
      </c>
      <c r="C1506">
        <v>30113</v>
      </c>
      <c r="D1506" t="s">
        <v>7</v>
      </c>
      <c r="E1506" t="s">
        <v>8</v>
      </c>
      <c r="F1506" t="s">
        <v>30</v>
      </c>
      <c r="N1506">
        <v>1</v>
      </c>
      <c r="AC1506">
        <v>1</v>
      </c>
      <c r="AJ1506">
        <f>SUM(Post[[#This Row],[47]:[75]])</f>
        <v>2</v>
      </c>
    </row>
    <row r="1507" spans="1:36" x14ac:dyDescent="0.2">
      <c r="A1507" t="s">
        <v>56</v>
      </c>
      <c r="B1507" t="s">
        <v>54</v>
      </c>
      <c r="C1507">
        <v>984</v>
      </c>
      <c r="D1507" t="s">
        <v>22</v>
      </c>
      <c r="E1507" t="s">
        <v>8</v>
      </c>
      <c r="F1507" t="s">
        <v>9</v>
      </c>
      <c r="Y1507">
        <v>1</v>
      </c>
      <c r="AJ1507">
        <f>SUM(Post[[#This Row],[47]:[75]])</f>
        <v>1</v>
      </c>
    </row>
    <row r="1508" spans="1:36" x14ac:dyDescent="0.2">
      <c r="A1508" t="s">
        <v>56</v>
      </c>
      <c r="B1508" t="s">
        <v>54</v>
      </c>
      <c r="C1508">
        <v>6832</v>
      </c>
      <c r="D1508" t="s">
        <v>22</v>
      </c>
      <c r="E1508" t="s">
        <v>8</v>
      </c>
      <c r="F1508" t="s">
        <v>9</v>
      </c>
      <c r="T1508">
        <v>1</v>
      </c>
      <c r="X1508">
        <v>1</v>
      </c>
      <c r="Y1508">
        <v>1</v>
      </c>
      <c r="AJ1508">
        <f>SUM(Post[[#This Row],[47]:[75]])</f>
        <v>3</v>
      </c>
    </row>
    <row r="1509" spans="1:36" x14ac:dyDescent="0.2">
      <c r="A1509" t="s">
        <v>56</v>
      </c>
      <c r="B1509" t="s">
        <v>54</v>
      </c>
      <c r="C1509">
        <v>11495</v>
      </c>
      <c r="D1509" t="s">
        <v>22</v>
      </c>
      <c r="E1509" t="s">
        <v>8</v>
      </c>
      <c r="F1509" t="s">
        <v>9</v>
      </c>
      <c r="Y1509">
        <v>1</v>
      </c>
      <c r="AJ1509">
        <f>SUM(Post[[#This Row],[47]:[75]])</f>
        <v>1</v>
      </c>
    </row>
    <row r="1510" spans="1:36" x14ac:dyDescent="0.2">
      <c r="A1510" t="s">
        <v>56</v>
      </c>
      <c r="B1510" t="s">
        <v>54</v>
      </c>
      <c r="C1510">
        <v>12593</v>
      </c>
      <c r="D1510" t="s">
        <v>22</v>
      </c>
      <c r="E1510" t="s">
        <v>8</v>
      </c>
      <c r="F1510" t="s">
        <v>9</v>
      </c>
      <c r="J1510">
        <v>1</v>
      </c>
      <c r="Y1510">
        <v>1</v>
      </c>
      <c r="AJ1510">
        <f>SUM(Post[[#This Row],[47]:[75]])</f>
        <v>2</v>
      </c>
    </row>
    <row r="1511" spans="1:36" x14ac:dyDescent="0.2">
      <c r="A1511" t="s">
        <v>56</v>
      </c>
      <c r="B1511" t="s">
        <v>54</v>
      </c>
      <c r="C1511">
        <v>22087</v>
      </c>
      <c r="D1511" t="s">
        <v>22</v>
      </c>
      <c r="E1511" t="s">
        <v>8</v>
      </c>
      <c r="F1511" t="s">
        <v>9</v>
      </c>
      <c r="K1511">
        <v>3</v>
      </c>
      <c r="X1511">
        <v>1</v>
      </c>
      <c r="AJ1511">
        <f>SUM(Post[[#This Row],[47]:[75]])</f>
        <v>4</v>
      </c>
    </row>
    <row r="1512" spans="1:36" x14ac:dyDescent="0.2">
      <c r="A1512" t="s">
        <v>56</v>
      </c>
      <c r="B1512" t="s">
        <v>54</v>
      </c>
      <c r="C1512">
        <v>1261</v>
      </c>
      <c r="D1512" t="s">
        <v>7</v>
      </c>
      <c r="E1512" t="s">
        <v>37</v>
      </c>
      <c r="F1512" t="s">
        <v>49</v>
      </c>
      <c r="L1512">
        <v>1</v>
      </c>
      <c r="AH1512">
        <v>1</v>
      </c>
      <c r="AJ1512">
        <f>SUM(Post[[#This Row],[47]:[75]])</f>
        <v>2</v>
      </c>
    </row>
    <row r="1513" spans="1:36" x14ac:dyDescent="0.2">
      <c r="A1513" t="s">
        <v>56</v>
      </c>
      <c r="B1513" t="s">
        <v>54</v>
      </c>
      <c r="C1513">
        <v>1261</v>
      </c>
      <c r="D1513" t="s">
        <v>7</v>
      </c>
      <c r="E1513" t="s">
        <v>8</v>
      </c>
      <c r="F1513" t="s">
        <v>23</v>
      </c>
      <c r="L1513">
        <v>1</v>
      </c>
      <c r="AH1513">
        <v>1</v>
      </c>
      <c r="AJ1513">
        <f>SUM(Post[[#This Row],[47]:[75]])</f>
        <v>2</v>
      </c>
    </row>
    <row r="1514" spans="1:36" x14ac:dyDescent="0.2">
      <c r="A1514" t="s">
        <v>56</v>
      </c>
      <c r="B1514" t="s">
        <v>54</v>
      </c>
      <c r="C1514">
        <v>4248</v>
      </c>
      <c r="D1514" t="s">
        <v>7</v>
      </c>
      <c r="E1514" t="s">
        <v>37</v>
      </c>
      <c r="F1514" t="s">
        <v>55</v>
      </c>
      <c r="G1514">
        <v>1</v>
      </c>
      <c r="V1514">
        <v>1</v>
      </c>
      <c r="AJ1514">
        <f>SUM(Post[[#This Row],[47]:[75]])</f>
        <v>2</v>
      </c>
    </row>
    <row r="1515" spans="1:36" x14ac:dyDescent="0.2">
      <c r="A1515" t="s">
        <v>56</v>
      </c>
      <c r="B1515" t="s">
        <v>54</v>
      </c>
      <c r="C1515">
        <v>4248</v>
      </c>
      <c r="D1515" t="s">
        <v>7</v>
      </c>
      <c r="E1515" t="s">
        <v>8</v>
      </c>
      <c r="F1515" t="s">
        <v>9</v>
      </c>
      <c r="G1515">
        <v>1</v>
      </c>
      <c r="V1515">
        <v>1</v>
      </c>
      <c r="AJ1515">
        <f>SUM(Post[[#This Row],[47]:[75]])</f>
        <v>2</v>
      </c>
    </row>
    <row r="1516" spans="1:36" x14ac:dyDescent="0.2">
      <c r="A1516" t="s">
        <v>56</v>
      </c>
      <c r="B1516" t="s">
        <v>54</v>
      </c>
      <c r="C1516">
        <v>4248</v>
      </c>
      <c r="D1516" t="s">
        <v>7</v>
      </c>
      <c r="E1516" t="s">
        <v>26</v>
      </c>
      <c r="F1516" t="s">
        <v>27</v>
      </c>
      <c r="G1516">
        <v>1</v>
      </c>
      <c r="V1516">
        <v>1</v>
      </c>
      <c r="AJ1516">
        <f>SUM(Post[[#This Row],[47]:[75]])</f>
        <v>2</v>
      </c>
    </row>
    <row r="1517" spans="1:36" x14ac:dyDescent="0.2">
      <c r="A1517" t="s">
        <v>56</v>
      </c>
      <c r="B1517" t="s">
        <v>54</v>
      </c>
      <c r="C1517">
        <v>4867</v>
      </c>
      <c r="D1517" t="s">
        <v>7</v>
      </c>
      <c r="E1517" t="s">
        <v>8</v>
      </c>
      <c r="F1517" t="s">
        <v>9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2</v>
      </c>
      <c r="AG1517">
        <v>1</v>
      </c>
      <c r="AH1517">
        <v>1</v>
      </c>
      <c r="AJ1517">
        <f>SUM(Post[[#This Row],[47]:[75]])</f>
        <v>28</v>
      </c>
    </row>
    <row r="1518" spans="1:36" x14ac:dyDescent="0.2">
      <c r="A1518" t="s">
        <v>56</v>
      </c>
      <c r="B1518" t="s">
        <v>54</v>
      </c>
      <c r="C1518">
        <v>5141</v>
      </c>
      <c r="D1518" t="s">
        <v>7</v>
      </c>
      <c r="E1518" t="s">
        <v>8</v>
      </c>
      <c r="F1518" t="s">
        <v>9</v>
      </c>
      <c r="N1518">
        <v>1</v>
      </c>
      <c r="W1518">
        <v>1</v>
      </c>
      <c r="AC1518">
        <v>2</v>
      </c>
      <c r="AJ1518">
        <f>SUM(Post[[#This Row],[47]:[75]])</f>
        <v>4</v>
      </c>
    </row>
    <row r="1519" spans="1:36" x14ac:dyDescent="0.2">
      <c r="A1519" t="s">
        <v>56</v>
      </c>
      <c r="B1519" t="s">
        <v>54</v>
      </c>
      <c r="C1519">
        <v>5935</v>
      </c>
      <c r="D1519" t="s">
        <v>7</v>
      </c>
      <c r="E1519" t="s">
        <v>37</v>
      </c>
      <c r="F1519" t="s">
        <v>38</v>
      </c>
      <c r="G1519">
        <v>1</v>
      </c>
      <c r="V1519">
        <v>1</v>
      </c>
      <c r="AI1519">
        <v>1</v>
      </c>
      <c r="AJ1519">
        <f>SUM(Post[[#This Row],[47]:[75]])</f>
        <v>3</v>
      </c>
    </row>
    <row r="1520" spans="1:36" x14ac:dyDescent="0.2">
      <c r="A1520" t="s">
        <v>56</v>
      </c>
      <c r="B1520" t="s">
        <v>54</v>
      </c>
      <c r="C1520">
        <v>7952</v>
      </c>
      <c r="D1520" t="s">
        <v>7</v>
      </c>
      <c r="E1520" t="s">
        <v>8</v>
      </c>
      <c r="F1520" t="s">
        <v>9</v>
      </c>
      <c r="I1520">
        <v>1</v>
      </c>
      <c r="O1520">
        <v>1</v>
      </c>
      <c r="R1520">
        <v>1</v>
      </c>
      <c r="AF1520">
        <v>2</v>
      </c>
      <c r="AJ1520">
        <f>SUM(Post[[#This Row],[47]:[75]])</f>
        <v>5</v>
      </c>
    </row>
    <row r="1521" spans="1:36" x14ac:dyDescent="0.2">
      <c r="A1521" t="s">
        <v>56</v>
      </c>
      <c r="B1521" t="s">
        <v>54</v>
      </c>
      <c r="C1521">
        <v>8648</v>
      </c>
      <c r="D1521" t="s">
        <v>7</v>
      </c>
      <c r="E1521" t="s">
        <v>8</v>
      </c>
      <c r="F1521" t="s">
        <v>9</v>
      </c>
      <c r="AJ1521">
        <f>SUM(Post[[#This Row],[47]:[75]])</f>
        <v>0</v>
      </c>
    </row>
    <row r="1522" spans="1:36" x14ac:dyDescent="0.2">
      <c r="A1522" t="s">
        <v>56</v>
      </c>
      <c r="B1522" t="s">
        <v>54</v>
      </c>
      <c r="C1522">
        <v>8930</v>
      </c>
      <c r="D1522" t="s">
        <v>7</v>
      </c>
      <c r="E1522" t="s">
        <v>8</v>
      </c>
      <c r="F1522" t="s">
        <v>23</v>
      </c>
      <c r="J1522">
        <v>1</v>
      </c>
      <c r="Y1522">
        <v>1</v>
      </c>
      <c r="AJ1522">
        <f>SUM(Post[[#This Row],[47]:[75]])</f>
        <v>2</v>
      </c>
    </row>
    <row r="1523" spans="1:36" x14ac:dyDescent="0.2">
      <c r="A1523" t="s">
        <v>56</v>
      </c>
      <c r="B1523" t="s">
        <v>54</v>
      </c>
      <c r="C1523">
        <v>9062</v>
      </c>
      <c r="D1523" t="s">
        <v>7</v>
      </c>
      <c r="E1523" t="s">
        <v>8</v>
      </c>
      <c r="F1523" t="s">
        <v>9</v>
      </c>
      <c r="T1523">
        <v>1</v>
      </c>
      <c r="AJ1523">
        <f>SUM(Post[[#This Row],[47]:[75]])</f>
        <v>1</v>
      </c>
    </row>
    <row r="1524" spans="1:36" x14ac:dyDescent="0.2">
      <c r="A1524" t="s">
        <v>56</v>
      </c>
      <c r="B1524" t="s">
        <v>54</v>
      </c>
      <c r="C1524">
        <v>9492</v>
      </c>
      <c r="D1524" t="s">
        <v>7</v>
      </c>
      <c r="E1524" t="s">
        <v>8</v>
      </c>
      <c r="F1524" t="s">
        <v>9</v>
      </c>
      <c r="AE1524">
        <v>2</v>
      </c>
      <c r="AJ1524">
        <f>SUM(Post[[#This Row],[47]:[75]])</f>
        <v>2</v>
      </c>
    </row>
    <row r="1525" spans="1:36" x14ac:dyDescent="0.2">
      <c r="A1525" t="s">
        <v>56</v>
      </c>
      <c r="B1525" t="s">
        <v>54</v>
      </c>
      <c r="C1525">
        <v>9891</v>
      </c>
      <c r="D1525" t="s">
        <v>7</v>
      </c>
      <c r="E1525" t="s">
        <v>8</v>
      </c>
      <c r="F1525" t="s">
        <v>9</v>
      </c>
      <c r="I1525">
        <v>1</v>
      </c>
      <c r="W1525">
        <v>1</v>
      </c>
      <c r="AJ1525">
        <f>SUM(Post[[#This Row],[47]:[75]])</f>
        <v>2</v>
      </c>
    </row>
    <row r="1526" spans="1:36" x14ac:dyDescent="0.2">
      <c r="A1526" t="s">
        <v>56</v>
      </c>
      <c r="B1526" t="s">
        <v>54</v>
      </c>
      <c r="C1526">
        <v>10392</v>
      </c>
      <c r="D1526" t="s">
        <v>7</v>
      </c>
      <c r="E1526" t="s">
        <v>8</v>
      </c>
      <c r="F1526" t="s">
        <v>9</v>
      </c>
      <c r="V1526">
        <v>1</v>
      </c>
      <c r="AH1526">
        <v>1</v>
      </c>
      <c r="AJ1526">
        <f>SUM(Post[[#This Row],[47]:[75]])</f>
        <v>2</v>
      </c>
    </row>
    <row r="1527" spans="1:36" x14ac:dyDescent="0.2">
      <c r="A1527" t="s">
        <v>56</v>
      </c>
      <c r="B1527" t="s">
        <v>54</v>
      </c>
      <c r="C1527">
        <v>11624</v>
      </c>
      <c r="D1527" t="s">
        <v>7</v>
      </c>
      <c r="E1527" t="s">
        <v>8</v>
      </c>
      <c r="F1527" t="s">
        <v>9</v>
      </c>
      <c r="T1527">
        <v>1</v>
      </c>
      <c r="AJ1527">
        <f>SUM(Post[[#This Row],[47]:[75]])</f>
        <v>1</v>
      </c>
    </row>
    <row r="1528" spans="1:36" x14ac:dyDescent="0.2">
      <c r="A1528" t="s">
        <v>56</v>
      </c>
      <c r="B1528" t="s">
        <v>54</v>
      </c>
      <c r="C1528">
        <v>13587</v>
      </c>
      <c r="D1528" t="s">
        <v>7</v>
      </c>
      <c r="E1528" t="s">
        <v>8</v>
      </c>
      <c r="F1528" t="s">
        <v>9</v>
      </c>
      <c r="G1528">
        <v>1</v>
      </c>
      <c r="AD1528">
        <v>1</v>
      </c>
      <c r="AJ1528">
        <f>SUM(Post[[#This Row],[47]:[75]])</f>
        <v>2</v>
      </c>
    </row>
    <row r="1529" spans="1:36" x14ac:dyDescent="0.2">
      <c r="A1529" t="s">
        <v>56</v>
      </c>
      <c r="B1529" t="s">
        <v>54</v>
      </c>
      <c r="C1529">
        <v>14205</v>
      </c>
      <c r="D1529" t="s">
        <v>7</v>
      </c>
      <c r="E1529" t="s">
        <v>8</v>
      </c>
      <c r="F1529" t="s">
        <v>45</v>
      </c>
      <c r="O1529">
        <v>1</v>
      </c>
      <c r="AB1529">
        <v>1</v>
      </c>
      <c r="AJ1529">
        <f>SUM(Post[[#This Row],[47]:[75]])</f>
        <v>2</v>
      </c>
    </row>
    <row r="1530" spans="1:36" x14ac:dyDescent="0.2">
      <c r="A1530" t="s">
        <v>56</v>
      </c>
      <c r="B1530" t="s">
        <v>54</v>
      </c>
      <c r="C1530">
        <v>14356</v>
      </c>
      <c r="D1530" t="s">
        <v>7</v>
      </c>
      <c r="E1530" t="s">
        <v>8</v>
      </c>
      <c r="F1530" t="s">
        <v>9</v>
      </c>
      <c r="J1530">
        <v>1</v>
      </c>
      <c r="AE1530">
        <v>3</v>
      </c>
      <c r="AJ1530">
        <f>SUM(Post[[#This Row],[47]:[75]])</f>
        <v>4</v>
      </c>
    </row>
    <row r="1531" spans="1:36" x14ac:dyDescent="0.2">
      <c r="A1531" t="s">
        <v>56</v>
      </c>
      <c r="B1531" t="s">
        <v>54</v>
      </c>
      <c r="C1531">
        <v>14448</v>
      </c>
      <c r="D1531" t="s">
        <v>7</v>
      </c>
      <c r="E1531" t="s">
        <v>26</v>
      </c>
      <c r="F1531" t="s">
        <v>27</v>
      </c>
      <c r="Q1531">
        <v>1</v>
      </c>
      <c r="AD1531">
        <v>1</v>
      </c>
      <c r="AJ1531">
        <f>SUM(Post[[#This Row],[47]:[75]])</f>
        <v>2</v>
      </c>
    </row>
    <row r="1532" spans="1:36" x14ac:dyDescent="0.2">
      <c r="A1532" t="s">
        <v>56</v>
      </c>
      <c r="B1532" t="s">
        <v>54</v>
      </c>
      <c r="C1532">
        <v>19728</v>
      </c>
      <c r="D1532" t="s">
        <v>7</v>
      </c>
      <c r="E1532" t="s">
        <v>8</v>
      </c>
      <c r="F1532" t="s">
        <v>23</v>
      </c>
      <c r="T1532">
        <v>1</v>
      </c>
      <c r="AG1532">
        <v>1</v>
      </c>
      <c r="AJ1532">
        <f>SUM(Post[[#This Row],[47]:[75]])</f>
        <v>2</v>
      </c>
    </row>
    <row r="1533" spans="1:36" x14ac:dyDescent="0.2">
      <c r="A1533" t="s">
        <v>56</v>
      </c>
      <c r="B1533" t="s">
        <v>54</v>
      </c>
      <c r="C1533">
        <v>20502</v>
      </c>
      <c r="D1533" t="s">
        <v>7</v>
      </c>
      <c r="E1533" t="s">
        <v>8</v>
      </c>
      <c r="F1533" t="s">
        <v>9</v>
      </c>
      <c r="AJ1533">
        <f>SUM(Post[[#This Row],[47]:[75]])</f>
        <v>0</v>
      </c>
    </row>
    <row r="1534" spans="1:36" x14ac:dyDescent="0.2">
      <c r="A1534" t="s">
        <v>56</v>
      </c>
      <c r="B1534" t="s">
        <v>54</v>
      </c>
      <c r="C1534">
        <v>30582</v>
      </c>
      <c r="D1534" t="s">
        <v>7</v>
      </c>
      <c r="E1534" t="s">
        <v>37</v>
      </c>
      <c r="F1534" t="s">
        <v>38</v>
      </c>
      <c r="AJ1534">
        <f>SUM(Post[[#This Row],[47]:[75]])</f>
        <v>0</v>
      </c>
    </row>
    <row r="1535" spans="1:36" x14ac:dyDescent="0.2">
      <c r="A1535" t="s">
        <v>56</v>
      </c>
      <c r="B1535" t="s">
        <v>54</v>
      </c>
      <c r="C1535">
        <v>30582</v>
      </c>
      <c r="D1535" t="s">
        <v>7</v>
      </c>
      <c r="E1535" t="s">
        <v>37</v>
      </c>
      <c r="F1535" t="s">
        <v>49</v>
      </c>
      <c r="O1535">
        <v>1</v>
      </c>
      <c r="AC1535">
        <v>1</v>
      </c>
      <c r="AG1535">
        <v>1</v>
      </c>
      <c r="AJ1535">
        <f>SUM(Post[[#This Row],[47]:[75]])</f>
        <v>3</v>
      </c>
    </row>
    <row r="1536" spans="1:36" x14ac:dyDescent="0.2">
      <c r="A1536" t="s">
        <v>56</v>
      </c>
      <c r="B1536" t="s">
        <v>54</v>
      </c>
      <c r="C1536">
        <v>30582</v>
      </c>
      <c r="D1536" t="s">
        <v>7</v>
      </c>
      <c r="E1536" t="s">
        <v>8</v>
      </c>
      <c r="F1536" t="s">
        <v>30</v>
      </c>
      <c r="AG1536">
        <v>1</v>
      </c>
      <c r="AJ1536">
        <f>SUM(Post[[#This Row],[47]:[75]])</f>
        <v>1</v>
      </c>
    </row>
    <row r="1537" spans="1:36" x14ac:dyDescent="0.2">
      <c r="A1537" t="s">
        <v>56</v>
      </c>
      <c r="B1537" t="s">
        <v>54</v>
      </c>
      <c r="C1537">
        <v>31201</v>
      </c>
      <c r="D1537" t="s">
        <v>7</v>
      </c>
      <c r="E1537" t="s">
        <v>8</v>
      </c>
      <c r="F1537" t="s">
        <v>9</v>
      </c>
      <c r="U1537">
        <v>1</v>
      </c>
      <c r="AJ1537">
        <f>SUM(Post[[#This Row],[47]:[75]])</f>
        <v>1</v>
      </c>
    </row>
    <row r="1538" spans="1:36" x14ac:dyDescent="0.2">
      <c r="A1538" t="s">
        <v>56</v>
      </c>
      <c r="B1538" t="s">
        <v>54</v>
      </c>
      <c r="C1538">
        <v>1646</v>
      </c>
      <c r="D1538" t="s">
        <v>22</v>
      </c>
      <c r="E1538" t="s">
        <v>8</v>
      </c>
      <c r="F1538" t="s">
        <v>23</v>
      </c>
      <c r="T1538">
        <v>1</v>
      </c>
      <c r="AG1538">
        <v>1</v>
      </c>
      <c r="AJ1538">
        <f>SUM(Post[[#This Row],[47]:[75]])</f>
        <v>2</v>
      </c>
    </row>
    <row r="1539" spans="1:36" x14ac:dyDescent="0.2">
      <c r="A1539" t="s">
        <v>56</v>
      </c>
      <c r="B1539" t="s">
        <v>54</v>
      </c>
      <c r="C1539">
        <v>2157</v>
      </c>
      <c r="D1539" t="s">
        <v>22</v>
      </c>
      <c r="E1539" t="s">
        <v>8</v>
      </c>
      <c r="F1539" t="s">
        <v>23</v>
      </c>
      <c r="Q1539">
        <v>1</v>
      </c>
      <c r="AF1539">
        <v>1</v>
      </c>
      <c r="AJ1539">
        <f>SUM(Post[[#This Row],[47]:[75]])</f>
        <v>2</v>
      </c>
    </row>
    <row r="1540" spans="1:36" x14ac:dyDescent="0.2">
      <c r="A1540" t="s">
        <v>56</v>
      </c>
      <c r="B1540" t="s">
        <v>54</v>
      </c>
      <c r="C1540">
        <v>6746</v>
      </c>
      <c r="D1540" t="s">
        <v>22</v>
      </c>
      <c r="E1540" t="s">
        <v>8</v>
      </c>
      <c r="F1540" t="s">
        <v>9</v>
      </c>
      <c r="H1540">
        <v>1</v>
      </c>
      <c r="S1540">
        <v>1</v>
      </c>
      <c r="AF1540">
        <v>1</v>
      </c>
      <c r="AJ1540">
        <f>SUM(Post[[#This Row],[47]:[75]])</f>
        <v>3</v>
      </c>
    </row>
    <row r="1541" spans="1:36" x14ac:dyDescent="0.2">
      <c r="A1541" t="s">
        <v>56</v>
      </c>
      <c r="B1541" t="s">
        <v>54</v>
      </c>
      <c r="C1541">
        <v>31349</v>
      </c>
      <c r="D1541" t="s">
        <v>22</v>
      </c>
      <c r="E1541" t="s">
        <v>8</v>
      </c>
      <c r="F1541" t="s">
        <v>30</v>
      </c>
      <c r="I1541">
        <v>1</v>
      </c>
      <c r="X1541">
        <v>1</v>
      </c>
      <c r="AJ1541">
        <f>SUM(Post[[#This Row],[47]:[75]])</f>
        <v>2</v>
      </c>
    </row>
    <row r="1542" spans="1:36" x14ac:dyDescent="0.2">
      <c r="A1542" t="s">
        <v>57</v>
      </c>
      <c r="B1542" t="s">
        <v>54</v>
      </c>
      <c r="C1542">
        <v>1865</v>
      </c>
      <c r="D1542" t="s">
        <v>7</v>
      </c>
      <c r="E1542" t="s">
        <v>14</v>
      </c>
      <c r="F1542" t="s">
        <v>31</v>
      </c>
      <c r="G1542">
        <v>1</v>
      </c>
      <c r="AJ1542">
        <f>SUM(Post[[#This Row],[47]:[75]])</f>
        <v>1</v>
      </c>
    </row>
    <row r="1543" spans="1:36" x14ac:dyDescent="0.2">
      <c r="A1543" t="s">
        <v>57</v>
      </c>
      <c r="B1543" t="s">
        <v>54</v>
      </c>
      <c r="C1543">
        <v>1865</v>
      </c>
      <c r="D1543" t="s">
        <v>7</v>
      </c>
      <c r="E1543" t="s">
        <v>14</v>
      </c>
      <c r="F1543" t="s">
        <v>19</v>
      </c>
      <c r="AJ1543">
        <f>SUM(Post[[#This Row],[47]:[75]])</f>
        <v>0</v>
      </c>
    </row>
    <row r="1544" spans="1:36" x14ac:dyDescent="0.2">
      <c r="A1544" t="s">
        <v>57</v>
      </c>
      <c r="B1544" t="s">
        <v>54</v>
      </c>
      <c r="C1544">
        <v>3556</v>
      </c>
      <c r="D1544" t="s">
        <v>7</v>
      </c>
      <c r="E1544" t="s">
        <v>14</v>
      </c>
      <c r="F1544" t="s">
        <v>35</v>
      </c>
      <c r="H1544">
        <v>2</v>
      </c>
      <c r="AJ1544">
        <f>SUM(Post[[#This Row],[47]:[75]])</f>
        <v>2</v>
      </c>
    </row>
    <row r="1545" spans="1:36" x14ac:dyDescent="0.2">
      <c r="A1545" t="s">
        <v>57</v>
      </c>
      <c r="B1545" t="s">
        <v>54</v>
      </c>
      <c r="C1545">
        <v>3812</v>
      </c>
      <c r="D1545" t="s">
        <v>7</v>
      </c>
      <c r="E1545" t="s">
        <v>10</v>
      </c>
      <c r="F1545" t="s">
        <v>11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J1545">
        <f>SUM(Post[[#This Row],[47]:[75]])</f>
        <v>27</v>
      </c>
    </row>
    <row r="1546" spans="1:36" x14ac:dyDescent="0.2">
      <c r="A1546" t="s">
        <v>57</v>
      </c>
      <c r="B1546" t="s">
        <v>54</v>
      </c>
      <c r="C1546">
        <v>4951</v>
      </c>
      <c r="D1546" t="s">
        <v>7</v>
      </c>
      <c r="E1546" t="s">
        <v>8</v>
      </c>
      <c r="F1546" t="s">
        <v>23</v>
      </c>
      <c r="AJ1546">
        <f>SUM(Post[[#This Row],[47]:[75]])</f>
        <v>0</v>
      </c>
    </row>
    <row r="1547" spans="1:36" x14ac:dyDescent="0.2">
      <c r="A1547" t="s">
        <v>57</v>
      </c>
      <c r="B1547" t="s">
        <v>54</v>
      </c>
      <c r="C1547">
        <v>5258</v>
      </c>
      <c r="D1547" t="s">
        <v>7</v>
      </c>
      <c r="E1547" t="s">
        <v>8</v>
      </c>
      <c r="F1547" t="s">
        <v>30</v>
      </c>
      <c r="Z1547">
        <v>1</v>
      </c>
      <c r="AJ1547">
        <f>SUM(Post[[#This Row],[47]:[75]])</f>
        <v>1</v>
      </c>
    </row>
    <row r="1548" spans="1:36" x14ac:dyDescent="0.2">
      <c r="A1548" t="s">
        <v>57</v>
      </c>
      <c r="B1548" t="s">
        <v>54</v>
      </c>
      <c r="C1548">
        <v>5872</v>
      </c>
      <c r="D1548" t="s">
        <v>7</v>
      </c>
      <c r="E1548" t="s">
        <v>8</v>
      </c>
      <c r="F1548" t="s">
        <v>23</v>
      </c>
      <c r="K1548">
        <v>1</v>
      </c>
      <c r="AC1548">
        <v>1</v>
      </c>
      <c r="AJ1548">
        <f>SUM(Post[[#This Row],[47]:[75]])</f>
        <v>2</v>
      </c>
    </row>
    <row r="1549" spans="1:36" x14ac:dyDescent="0.2">
      <c r="A1549" t="s">
        <v>57</v>
      </c>
      <c r="B1549" t="s">
        <v>54</v>
      </c>
      <c r="C1549">
        <v>5872</v>
      </c>
      <c r="D1549" t="s">
        <v>7</v>
      </c>
      <c r="E1549" t="s">
        <v>14</v>
      </c>
      <c r="F1549" t="s">
        <v>19</v>
      </c>
      <c r="G1549">
        <v>2</v>
      </c>
      <c r="AJ1549">
        <f>SUM(Post[[#This Row],[47]:[75]])</f>
        <v>2</v>
      </c>
    </row>
    <row r="1550" spans="1:36" x14ac:dyDescent="0.2">
      <c r="A1550" t="s">
        <v>57</v>
      </c>
      <c r="B1550" t="s">
        <v>54</v>
      </c>
      <c r="C1550">
        <v>7244</v>
      </c>
      <c r="D1550" t="s">
        <v>7</v>
      </c>
      <c r="E1550" t="s">
        <v>14</v>
      </c>
      <c r="F1550" t="s">
        <v>31</v>
      </c>
      <c r="V1550">
        <v>1</v>
      </c>
      <c r="AJ1550">
        <f>SUM(Post[[#This Row],[47]:[75]])</f>
        <v>1</v>
      </c>
    </row>
    <row r="1551" spans="1:36" x14ac:dyDescent="0.2">
      <c r="A1551" t="s">
        <v>57</v>
      </c>
      <c r="B1551" t="s">
        <v>54</v>
      </c>
      <c r="C1551">
        <v>8050</v>
      </c>
      <c r="D1551" t="s">
        <v>7</v>
      </c>
      <c r="E1551" t="s">
        <v>14</v>
      </c>
      <c r="F1551" t="s">
        <v>21</v>
      </c>
      <c r="L1551">
        <v>1</v>
      </c>
      <c r="AA1551">
        <v>1</v>
      </c>
      <c r="AJ1551">
        <f>SUM(Post[[#This Row],[47]:[75]])</f>
        <v>2</v>
      </c>
    </row>
    <row r="1552" spans="1:36" x14ac:dyDescent="0.2">
      <c r="A1552" t="s">
        <v>57</v>
      </c>
      <c r="B1552" t="s">
        <v>54</v>
      </c>
      <c r="C1552">
        <v>8591</v>
      </c>
      <c r="D1552" t="s">
        <v>7</v>
      </c>
      <c r="E1552" t="s">
        <v>14</v>
      </c>
      <c r="F1552" t="s">
        <v>20</v>
      </c>
      <c r="AH1552">
        <v>1</v>
      </c>
      <c r="AJ1552">
        <f>SUM(Post[[#This Row],[47]:[75]])</f>
        <v>1</v>
      </c>
    </row>
    <row r="1553" spans="1:36" x14ac:dyDescent="0.2">
      <c r="A1553" t="s">
        <v>57</v>
      </c>
      <c r="B1553" t="s">
        <v>54</v>
      </c>
      <c r="C1553">
        <v>11345</v>
      </c>
      <c r="D1553" t="s">
        <v>7</v>
      </c>
      <c r="E1553" t="s">
        <v>8</v>
      </c>
      <c r="F1553" t="s">
        <v>23</v>
      </c>
      <c r="AJ1553">
        <f>SUM(Post[[#This Row],[47]:[75]])</f>
        <v>0</v>
      </c>
    </row>
    <row r="1554" spans="1:36" x14ac:dyDescent="0.2">
      <c r="A1554" t="s">
        <v>57</v>
      </c>
      <c r="B1554" t="s">
        <v>54</v>
      </c>
      <c r="C1554">
        <v>11345</v>
      </c>
      <c r="D1554" t="s">
        <v>7</v>
      </c>
      <c r="E1554" t="s">
        <v>8</v>
      </c>
      <c r="F1554" t="s">
        <v>9</v>
      </c>
      <c r="S1554">
        <v>1</v>
      </c>
      <c r="T1554">
        <v>1</v>
      </c>
      <c r="U1554">
        <v>2</v>
      </c>
      <c r="V1554">
        <v>1</v>
      </c>
      <c r="W1554">
        <v>1</v>
      </c>
      <c r="X1554">
        <v>2</v>
      </c>
      <c r="AC1554">
        <v>1</v>
      </c>
      <c r="AF1554">
        <v>2</v>
      </c>
      <c r="AJ1554">
        <f>SUM(Post[[#This Row],[47]:[75]])</f>
        <v>11</v>
      </c>
    </row>
    <row r="1555" spans="1:36" x14ac:dyDescent="0.2">
      <c r="A1555" t="s">
        <v>57</v>
      </c>
      <c r="B1555" t="s">
        <v>54</v>
      </c>
      <c r="C1555">
        <v>11359</v>
      </c>
      <c r="D1555" t="s">
        <v>7</v>
      </c>
      <c r="E1555" t="s">
        <v>14</v>
      </c>
      <c r="F1555" t="s">
        <v>20</v>
      </c>
      <c r="G1555">
        <v>1</v>
      </c>
      <c r="T1555">
        <v>1</v>
      </c>
      <c r="AG1555">
        <v>1</v>
      </c>
      <c r="AJ1555">
        <f>SUM(Post[[#This Row],[47]:[75]])</f>
        <v>3</v>
      </c>
    </row>
    <row r="1556" spans="1:36" x14ac:dyDescent="0.2">
      <c r="A1556" t="s">
        <v>57</v>
      </c>
      <c r="B1556" t="s">
        <v>54</v>
      </c>
      <c r="C1556">
        <v>15147</v>
      </c>
      <c r="D1556" t="s">
        <v>7</v>
      </c>
      <c r="E1556" t="s">
        <v>14</v>
      </c>
      <c r="F1556" t="s">
        <v>20</v>
      </c>
      <c r="K1556">
        <v>1</v>
      </c>
      <c r="AD1556">
        <v>1</v>
      </c>
      <c r="AH1556">
        <v>1</v>
      </c>
      <c r="AJ1556">
        <f>SUM(Post[[#This Row],[47]:[75]])</f>
        <v>3</v>
      </c>
    </row>
    <row r="1557" spans="1:36" x14ac:dyDescent="0.2">
      <c r="A1557" t="s">
        <v>57</v>
      </c>
      <c r="B1557" t="s">
        <v>54</v>
      </c>
      <c r="C1557">
        <v>20597</v>
      </c>
      <c r="D1557" t="s">
        <v>7</v>
      </c>
      <c r="E1557" t="s">
        <v>10</v>
      </c>
      <c r="F1557" t="s">
        <v>11</v>
      </c>
      <c r="R1557">
        <v>1</v>
      </c>
      <c r="AD1557">
        <v>1</v>
      </c>
      <c r="AJ1557">
        <f>SUM(Post[[#This Row],[47]:[75]])</f>
        <v>2</v>
      </c>
    </row>
    <row r="1558" spans="1:36" x14ac:dyDescent="0.2">
      <c r="A1558" t="s">
        <v>57</v>
      </c>
      <c r="B1558" t="s">
        <v>54</v>
      </c>
      <c r="C1558">
        <v>20597</v>
      </c>
      <c r="D1558" t="s">
        <v>7</v>
      </c>
      <c r="E1558" t="s">
        <v>8</v>
      </c>
      <c r="F1558" t="s">
        <v>23</v>
      </c>
      <c r="AJ1558">
        <f>SUM(Post[[#This Row],[47]:[75]])</f>
        <v>0</v>
      </c>
    </row>
    <row r="1559" spans="1:36" x14ac:dyDescent="0.2">
      <c r="A1559" t="s">
        <v>57</v>
      </c>
      <c r="B1559" t="s">
        <v>54</v>
      </c>
      <c r="C1559">
        <v>25633</v>
      </c>
      <c r="D1559" t="s">
        <v>7</v>
      </c>
      <c r="E1559" t="s">
        <v>10</v>
      </c>
      <c r="F1559" t="s">
        <v>11</v>
      </c>
      <c r="R1559">
        <v>1</v>
      </c>
      <c r="AG1559">
        <v>1</v>
      </c>
      <c r="AJ1559">
        <f>SUM(Post[[#This Row],[47]:[75]])</f>
        <v>2</v>
      </c>
    </row>
    <row r="1560" spans="1:36" x14ac:dyDescent="0.2">
      <c r="A1560" t="s">
        <v>57</v>
      </c>
      <c r="B1560" t="s">
        <v>54</v>
      </c>
      <c r="C1560">
        <v>25633</v>
      </c>
      <c r="D1560" t="s">
        <v>7</v>
      </c>
      <c r="E1560" t="s">
        <v>14</v>
      </c>
      <c r="F1560" t="s">
        <v>20</v>
      </c>
      <c r="AJ1560">
        <f>SUM(Post[[#This Row],[47]:[75]])</f>
        <v>0</v>
      </c>
    </row>
    <row r="1561" spans="1:36" x14ac:dyDescent="0.2">
      <c r="A1561" t="s">
        <v>57</v>
      </c>
      <c r="B1561" t="s">
        <v>54</v>
      </c>
      <c r="C1561">
        <v>26479</v>
      </c>
      <c r="D1561" t="s">
        <v>7</v>
      </c>
      <c r="E1561" t="s">
        <v>14</v>
      </c>
      <c r="F1561" t="s">
        <v>20</v>
      </c>
      <c r="G1561">
        <v>1</v>
      </c>
      <c r="O1561">
        <v>1</v>
      </c>
      <c r="T1561">
        <v>1</v>
      </c>
      <c r="AJ1561">
        <f>SUM(Post[[#This Row],[47]:[75]])</f>
        <v>3</v>
      </c>
    </row>
    <row r="1562" spans="1:36" x14ac:dyDescent="0.2">
      <c r="A1562" t="s">
        <v>57</v>
      </c>
      <c r="B1562" t="s">
        <v>54</v>
      </c>
      <c r="C1562">
        <v>26618</v>
      </c>
      <c r="D1562" t="s">
        <v>7</v>
      </c>
      <c r="E1562" t="s">
        <v>10</v>
      </c>
      <c r="F1562" t="s">
        <v>11</v>
      </c>
      <c r="L1562">
        <v>1</v>
      </c>
      <c r="AJ1562">
        <f>SUM(Post[[#This Row],[47]:[75]])</f>
        <v>1</v>
      </c>
    </row>
    <row r="1563" spans="1:36" x14ac:dyDescent="0.2">
      <c r="A1563" t="s">
        <v>57</v>
      </c>
      <c r="B1563" t="s">
        <v>54</v>
      </c>
      <c r="C1563">
        <v>26862</v>
      </c>
      <c r="D1563" t="s">
        <v>7</v>
      </c>
      <c r="E1563" t="s">
        <v>14</v>
      </c>
      <c r="F1563" t="s">
        <v>19</v>
      </c>
      <c r="O1563">
        <v>1</v>
      </c>
      <c r="AA1563">
        <v>1</v>
      </c>
      <c r="AJ1563">
        <f>SUM(Post[[#This Row],[47]:[75]])</f>
        <v>2</v>
      </c>
    </row>
    <row r="1564" spans="1:36" x14ac:dyDescent="0.2">
      <c r="A1564" t="s">
        <v>57</v>
      </c>
      <c r="B1564" t="s">
        <v>54</v>
      </c>
      <c r="C1564">
        <v>29207</v>
      </c>
      <c r="D1564" t="s">
        <v>7</v>
      </c>
      <c r="E1564" t="s">
        <v>8</v>
      </c>
      <c r="F1564" t="s">
        <v>23</v>
      </c>
      <c r="H1564">
        <v>1</v>
      </c>
      <c r="W1564">
        <v>1</v>
      </c>
      <c r="AA1564">
        <v>1</v>
      </c>
      <c r="AD1564">
        <v>1</v>
      </c>
      <c r="AJ1564">
        <f>SUM(Post[[#This Row],[47]:[75]])</f>
        <v>4</v>
      </c>
    </row>
    <row r="1565" spans="1:36" x14ac:dyDescent="0.2">
      <c r="A1565" t="s">
        <v>57</v>
      </c>
      <c r="B1565" t="s">
        <v>54</v>
      </c>
      <c r="C1565">
        <v>31437</v>
      </c>
      <c r="D1565" t="s">
        <v>7</v>
      </c>
      <c r="E1565" t="s">
        <v>14</v>
      </c>
      <c r="F1565" t="s">
        <v>21</v>
      </c>
      <c r="AJ1565">
        <f>SUM(Post[[#This Row],[47]:[75]])</f>
        <v>0</v>
      </c>
    </row>
    <row r="1566" spans="1:36" x14ac:dyDescent="0.2">
      <c r="A1566" t="s">
        <v>57</v>
      </c>
      <c r="B1566" t="s">
        <v>54</v>
      </c>
      <c r="C1566">
        <v>33049</v>
      </c>
      <c r="D1566" t="s">
        <v>7</v>
      </c>
      <c r="E1566" t="s">
        <v>10</v>
      </c>
      <c r="F1566" t="s">
        <v>11</v>
      </c>
      <c r="AJ1566">
        <f>SUM(Post[[#This Row],[47]:[75]])</f>
        <v>0</v>
      </c>
    </row>
    <row r="1567" spans="1:36" x14ac:dyDescent="0.2">
      <c r="A1567" t="s">
        <v>57</v>
      </c>
      <c r="B1567" t="s">
        <v>54</v>
      </c>
      <c r="C1567">
        <v>33049</v>
      </c>
      <c r="D1567" t="s">
        <v>7</v>
      </c>
      <c r="E1567" t="s">
        <v>14</v>
      </c>
      <c r="F1567" t="s">
        <v>19</v>
      </c>
      <c r="AJ1567">
        <f>SUM(Post[[#This Row],[47]:[75]])</f>
        <v>0</v>
      </c>
    </row>
    <row r="1568" spans="1:36" x14ac:dyDescent="0.2">
      <c r="A1568" t="s">
        <v>57</v>
      </c>
      <c r="B1568" t="s">
        <v>54</v>
      </c>
      <c r="C1568">
        <v>303</v>
      </c>
      <c r="D1568" t="s">
        <v>22</v>
      </c>
      <c r="E1568" t="s">
        <v>14</v>
      </c>
      <c r="F1568" t="s">
        <v>21</v>
      </c>
      <c r="N1568">
        <v>1</v>
      </c>
      <c r="W1568">
        <v>1</v>
      </c>
      <c r="AJ1568">
        <f>SUM(Post[[#This Row],[47]:[75]])</f>
        <v>2</v>
      </c>
    </row>
    <row r="1569" spans="1:36" x14ac:dyDescent="0.2">
      <c r="A1569" t="s">
        <v>57</v>
      </c>
      <c r="B1569" t="s">
        <v>54</v>
      </c>
      <c r="C1569">
        <v>534</v>
      </c>
      <c r="D1569" t="s">
        <v>22</v>
      </c>
      <c r="E1569" t="s">
        <v>10</v>
      </c>
      <c r="F1569" t="s">
        <v>11</v>
      </c>
      <c r="G1569">
        <v>1</v>
      </c>
      <c r="K1569">
        <v>1</v>
      </c>
      <c r="U1569">
        <v>1</v>
      </c>
      <c r="AD1569">
        <v>1</v>
      </c>
      <c r="AI1569">
        <v>1</v>
      </c>
      <c r="AJ1569">
        <f>SUM(Post[[#This Row],[47]:[75]])</f>
        <v>5</v>
      </c>
    </row>
    <row r="1570" spans="1:36" x14ac:dyDescent="0.2">
      <c r="A1570" t="s">
        <v>57</v>
      </c>
      <c r="B1570" t="s">
        <v>54</v>
      </c>
      <c r="C1570">
        <v>1038</v>
      </c>
      <c r="D1570" t="s">
        <v>22</v>
      </c>
      <c r="E1570" t="s">
        <v>14</v>
      </c>
      <c r="F1570" t="s">
        <v>35</v>
      </c>
      <c r="K1570">
        <v>1</v>
      </c>
      <c r="AJ1570">
        <f>SUM(Post[[#This Row],[47]:[75]])</f>
        <v>1</v>
      </c>
    </row>
    <row r="1571" spans="1:36" x14ac:dyDescent="0.2">
      <c r="A1571" t="s">
        <v>57</v>
      </c>
      <c r="B1571" t="s">
        <v>54</v>
      </c>
      <c r="C1571">
        <v>1081</v>
      </c>
      <c r="D1571" t="s">
        <v>22</v>
      </c>
      <c r="E1571" t="s">
        <v>14</v>
      </c>
      <c r="F1571" t="s">
        <v>35</v>
      </c>
      <c r="AJ1571">
        <f>SUM(Post[[#This Row],[47]:[75]])</f>
        <v>0</v>
      </c>
    </row>
    <row r="1572" spans="1:36" x14ac:dyDescent="0.2">
      <c r="A1572" t="s">
        <v>57</v>
      </c>
      <c r="B1572" t="s">
        <v>54</v>
      </c>
      <c r="C1572">
        <v>1231</v>
      </c>
      <c r="D1572" t="s">
        <v>22</v>
      </c>
      <c r="E1572" t="s">
        <v>14</v>
      </c>
      <c r="F1572" t="s">
        <v>19</v>
      </c>
      <c r="W1572">
        <v>1</v>
      </c>
      <c r="AJ1572">
        <f>SUM(Post[[#This Row],[47]:[75]])</f>
        <v>1</v>
      </c>
    </row>
    <row r="1573" spans="1:36" x14ac:dyDescent="0.2">
      <c r="A1573" t="s">
        <v>57</v>
      </c>
      <c r="B1573" t="s">
        <v>54</v>
      </c>
      <c r="C1573">
        <v>1231</v>
      </c>
      <c r="D1573" t="s">
        <v>22</v>
      </c>
      <c r="E1573" t="s">
        <v>14</v>
      </c>
      <c r="F1573" t="s">
        <v>20</v>
      </c>
      <c r="I1573">
        <v>1</v>
      </c>
      <c r="AJ1573">
        <f>SUM(Post[[#This Row],[47]:[75]])</f>
        <v>1</v>
      </c>
    </row>
    <row r="1574" spans="1:36" x14ac:dyDescent="0.2">
      <c r="A1574" t="s">
        <v>57</v>
      </c>
      <c r="B1574" t="s">
        <v>54</v>
      </c>
      <c r="C1574">
        <v>5392</v>
      </c>
      <c r="D1574" t="s">
        <v>22</v>
      </c>
      <c r="E1574" t="s">
        <v>8</v>
      </c>
      <c r="F1574" t="s">
        <v>23</v>
      </c>
      <c r="I1574">
        <v>1</v>
      </c>
      <c r="W1574">
        <v>1</v>
      </c>
      <c r="AJ1574">
        <f>SUM(Post[[#This Row],[47]:[75]])</f>
        <v>2</v>
      </c>
    </row>
    <row r="1575" spans="1:36" x14ac:dyDescent="0.2">
      <c r="A1575" t="s">
        <v>57</v>
      </c>
      <c r="B1575" t="s">
        <v>54</v>
      </c>
      <c r="C1575">
        <v>5871</v>
      </c>
      <c r="D1575" t="s">
        <v>22</v>
      </c>
      <c r="E1575" t="s">
        <v>8</v>
      </c>
      <c r="F1575" t="s">
        <v>23</v>
      </c>
      <c r="K1575">
        <v>1</v>
      </c>
      <c r="Y1575">
        <v>1</v>
      </c>
      <c r="AJ1575">
        <f>SUM(Post[[#This Row],[47]:[75]])</f>
        <v>2</v>
      </c>
    </row>
    <row r="1576" spans="1:36" x14ac:dyDescent="0.2">
      <c r="A1576" t="s">
        <v>57</v>
      </c>
      <c r="B1576" t="s">
        <v>54</v>
      </c>
      <c r="C1576">
        <v>6077</v>
      </c>
      <c r="D1576" t="s">
        <v>22</v>
      </c>
      <c r="E1576" t="s">
        <v>8</v>
      </c>
      <c r="F1576" t="s">
        <v>23</v>
      </c>
      <c r="AJ1576">
        <f>SUM(Post[[#This Row],[47]:[75]])</f>
        <v>0</v>
      </c>
    </row>
    <row r="1577" spans="1:36" x14ac:dyDescent="0.2">
      <c r="A1577" t="s">
        <v>57</v>
      </c>
      <c r="B1577" t="s">
        <v>54</v>
      </c>
      <c r="C1577">
        <v>8076</v>
      </c>
      <c r="D1577" t="s">
        <v>22</v>
      </c>
      <c r="E1577" t="s">
        <v>8</v>
      </c>
      <c r="F1577" t="s">
        <v>23</v>
      </c>
      <c r="AE1577">
        <v>1</v>
      </c>
      <c r="AJ1577">
        <f>SUM(Post[[#This Row],[47]:[75]])</f>
        <v>1</v>
      </c>
    </row>
    <row r="1578" spans="1:36" x14ac:dyDescent="0.2">
      <c r="A1578" t="s">
        <v>57</v>
      </c>
      <c r="B1578" t="s">
        <v>54</v>
      </c>
      <c r="C1578">
        <v>8435</v>
      </c>
      <c r="D1578" t="s">
        <v>22</v>
      </c>
      <c r="E1578" t="s">
        <v>8</v>
      </c>
      <c r="F1578" t="s">
        <v>9</v>
      </c>
      <c r="Q1578">
        <v>1</v>
      </c>
      <c r="AE1578">
        <v>1</v>
      </c>
      <c r="AJ1578">
        <f>SUM(Post[[#This Row],[47]:[75]])</f>
        <v>2</v>
      </c>
    </row>
    <row r="1579" spans="1:36" x14ac:dyDescent="0.2">
      <c r="A1579" t="s">
        <v>57</v>
      </c>
      <c r="B1579" t="s">
        <v>54</v>
      </c>
      <c r="C1579">
        <v>9453</v>
      </c>
      <c r="D1579" t="s">
        <v>22</v>
      </c>
      <c r="E1579" t="s">
        <v>10</v>
      </c>
      <c r="F1579" t="s">
        <v>11</v>
      </c>
      <c r="AJ1579">
        <f>SUM(Post[[#This Row],[47]:[75]])</f>
        <v>0</v>
      </c>
    </row>
    <row r="1580" spans="1:36" x14ac:dyDescent="0.2">
      <c r="A1580" t="s">
        <v>57</v>
      </c>
      <c r="B1580" t="s">
        <v>54</v>
      </c>
      <c r="C1580">
        <v>9475</v>
      </c>
      <c r="D1580" t="s">
        <v>22</v>
      </c>
      <c r="E1580" t="s">
        <v>8</v>
      </c>
      <c r="F1580" t="s">
        <v>9</v>
      </c>
      <c r="Q1580">
        <v>1</v>
      </c>
      <c r="AE1580">
        <v>1</v>
      </c>
      <c r="AJ1580">
        <f>SUM(Post[[#This Row],[47]:[75]])</f>
        <v>2</v>
      </c>
    </row>
    <row r="1581" spans="1:36" x14ac:dyDescent="0.2">
      <c r="A1581" t="s">
        <v>57</v>
      </c>
      <c r="B1581" t="s">
        <v>54</v>
      </c>
      <c r="C1581">
        <v>9694</v>
      </c>
      <c r="D1581" t="s">
        <v>22</v>
      </c>
      <c r="E1581" t="s">
        <v>8</v>
      </c>
      <c r="F1581" t="s">
        <v>9</v>
      </c>
      <c r="P1581">
        <v>1</v>
      </c>
      <c r="U1581">
        <v>2</v>
      </c>
      <c r="AI1581">
        <v>1</v>
      </c>
      <c r="AJ1581">
        <f>SUM(Post[[#This Row],[47]:[75]])</f>
        <v>4</v>
      </c>
    </row>
    <row r="1582" spans="1:36" x14ac:dyDescent="0.2">
      <c r="A1582" t="s">
        <v>57</v>
      </c>
      <c r="B1582" t="s">
        <v>54</v>
      </c>
      <c r="C1582">
        <v>10126</v>
      </c>
      <c r="D1582" t="s">
        <v>22</v>
      </c>
      <c r="E1582" t="s">
        <v>8</v>
      </c>
      <c r="F1582" t="s">
        <v>23</v>
      </c>
      <c r="AI1582">
        <v>4</v>
      </c>
      <c r="AJ1582">
        <f>SUM(Post[[#This Row],[47]:[75]])</f>
        <v>4</v>
      </c>
    </row>
    <row r="1583" spans="1:36" x14ac:dyDescent="0.2">
      <c r="A1583" t="s">
        <v>57</v>
      </c>
      <c r="B1583" t="s">
        <v>54</v>
      </c>
      <c r="C1583">
        <v>10140</v>
      </c>
      <c r="D1583" t="s">
        <v>22</v>
      </c>
      <c r="E1583" t="s">
        <v>10</v>
      </c>
      <c r="F1583" t="s">
        <v>11</v>
      </c>
      <c r="N1583">
        <v>1</v>
      </c>
      <c r="AJ1583">
        <f>SUM(Post[[#This Row],[47]:[75]])</f>
        <v>1</v>
      </c>
    </row>
    <row r="1584" spans="1:36" x14ac:dyDescent="0.2">
      <c r="A1584" t="s">
        <v>57</v>
      </c>
      <c r="B1584" t="s">
        <v>54</v>
      </c>
      <c r="C1584">
        <v>12317</v>
      </c>
      <c r="D1584" t="s">
        <v>22</v>
      </c>
      <c r="E1584" t="s">
        <v>8</v>
      </c>
      <c r="F1584" t="s">
        <v>23</v>
      </c>
      <c r="U1584">
        <v>1</v>
      </c>
      <c r="AJ1584">
        <f>SUM(Post[[#This Row],[47]:[75]])</f>
        <v>1</v>
      </c>
    </row>
    <row r="1585" spans="1:36" x14ac:dyDescent="0.2">
      <c r="A1585" t="s">
        <v>57</v>
      </c>
      <c r="B1585" t="s">
        <v>54</v>
      </c>
      <c r="C1585">
        <v>12997</v>
      </c>
      <c r="D1585" t="s">
        <v>22</v>
      </c>
      <c r="E1585" t="s">
        <v>8</v>
      </c>
      <c r="F1585" t="s">
        <v>23</v>
      </c>
      <c r="G1585">
        <v>1</v>
      </c>
      <c r="T1585">
        <v>1</v>
      </c>
      <c r="AI1585">
        <v>1</v>
      </c>
      <c r="AJ1585">
        <f>SUM(Post[[#This Row],[47]:[75]])</f>
        <v>3</v>
      </c>
    </row>
    <row r="1586" spans="1:36" x14ac:dyDescent="0.2">
      <c r="A1586" t="s">
        <v>57</v>
      </c>
      <c r="B1586" t="s">
        <v>54</v>
      </c>
      <c r="C1586">
        <v>13753</v>
      </c>
      <c r="D1586" t="s">
        <v>22</v>
      </c>
      <c r="E1586" t="s">
        <v>14</v>
      </c>
      <c r="F1586" t="s">
        <v>21</v>
      </c>
      <c r="AH1586">
        <v>3</v>
      </c>
      <c r="AJ1586">
        <f>SUM(Post[[#This Row],[47]:[75]])</f>
        <v>3</v>
      </c>
    </row>
    <row r="1587" spans="1:36" x14ac:dyDescent="0.2">
      <c r="A1587" t="s">
        <v>57</v>
      </c>
      <c r="B1587" t="s">
        <v>54</v>
      </c>
      <c r="C1587">
        <v>14747</v>
      </c>
      <c r="D1587" t="s">
        <v>22</v>
      </c>
      <c r="E1587" t="s">
        <v>8</v>
      </c>
      <c r="F1587" t="s">
        <v>23</v>
      </c>
      <c r="L1587">
        <v>1</v>
      </c>
      <c r="Z1587">
        <v>2</v>
      </c>
      <c r="AJ1587">
        <f>SUM(Post[[#This Row],[47]:[75]])</f>
        <v>3</v>
      </c>
    </row>
    <row r="1588" spans="1:36" x14ac:dyDescent="0.2">
      <c r="A1588" t="s">
        <v>57</v>
      </c>
      <c r="B1588" t="s">
        <v>54</v>
      </c>
      <c r="C1588">
        <v>16091</v>
      </c>
      <c r="D1588" t="s">
        <v>22</v>
      </c>
      <c r="E1588" t="s">
        <v>8</v>
      </c>
      <c r="F1588" t="s">
        <v>23</v>
      </c>
      <c r="H1588">
        <v>1</v>
      </c>
      <c r="AJ1588">
        <f>SUM(Post[[#This Row],[47]:[75]])</f>
        <v>1</v>
      </c>
    </row>
    <row r="1589" spans="1:36" x14ac:dyDescent="0.2">
      <c r="A1589" t="s">
        <v>57</v>
      </c>
      <c r="B1589" t="s">
        <v>54</v>
      </c>
      <c r="C1589">
        <v>16645</v>
      </c>
      <c r="D1589" t="s">
        <v>22</v>
      </c>
      <c r="E1589" t="s">
        <v>10</v>
      </c>
      <c r="F1589" t="s">
        <v>11</v>
      </c>
      <c r="AJ1589">
        <f>SUM(Post[[#This Row],[47]:[75]])</f>
        <v>0</v>
      </c>
    </row>
    <row r="1590" spans="1:36" x14ac:dyDescent="0.2">
      <c r="A1590" t="s">
        <v>57</v>
      </c>
      <c r="B1590" t="s">
        <v>54</v>
      </c>
      <c r="C1590">
        <v>18475</v>
      </c>
      <c r="D1590" t="s">
        <v>22</v>
      </c>
      <c r="E1590" t="s">
        <v>14</v>
      </c>
      <c r="F1590" t="s">
        <v>20</v>
      </c>
      <c r="G1590">
        <v>1</v>
      </c>
      <c r="V1590">
        <v>1</v>
      </c>
      <c r="AH1590">
        <v>1</v>
      </c>
      <c r="AJ1590">
        <f>SUM(Post[[#This Row],[47]:[75]])</f>
        <v>3</v>
      </c>
    </row>
    <row r="1591" spans="1:36" x14ac:dyDescent="0.2">
      <c r="A1591" t="s">
        <v>57</v>
      </c>
      <c r="B1591" t="s">
        <v>54</v>
      </c>
      <c r="C1591">
        <v>18915</v>
      </c>
      <c r="D1591" t="s">
        <v>22</v>
      </c>
      <c r="E1591" t="s">
        <v>8</v>
      </c>
      <c r="F1591" t="s">
        <v>23</v>
      </c>
      <c r="I1591">
        <v>1</v>
      </c>
      <c r="N1591">
        <v>1</v>
      </c>
      <c r="O1591">
        <v>1</v>
      </c>
      <c r="S1591">
        <v>1</v>
      </c>
      <c r="W1591">
        <v>1</v>
      </c>
      <c r="Z1591">
        <v>1</v>
      </c>
      <c r="AD1591">
        <v>1</v>
      </c>
      <c r="AH1591">
        <v>1</v>
      </c>
      <c r="AJ1591">
        <f>SUM(Post[[#This Row],[47]:[75]])</f>
        <v>8</v>
      </c>
    </row>
    <row r="1592" spans="1:36" x14ac:dyDescent="0.2">
      <c r="A1592" t="s">
        <v>57</v>
      </c>
      <c r="B1592" t="s">
        <v>54</v>
      </c>
      <c r="C1592">
        <v>19498</v>
      </c>
      <c r="D1592" t="s">
        <v>22</v>
      </c>
      <c r="E1592" t="s">
        <v>14</v>
      </c>
      <c r="F1592" t="s">
        <v>20</v>
      </c>
      <c r="AJ1592">
        <f>SUM(Post[[#This Row],[47]:[75]])</f>
        <v>0</v>
      </c>
    </row>
    <row r="1593" spans="1:36" x14ac:dyDescent="0.2">
      <c r="A1593" t="s">
        <v>57</v>
      </c>
      <c r="B1593" t="s">
        <v>54</v>
      </c>
      <c r="C1593">
        <v>19824</v>
      </c>
      <c r="D1593" t="s">
        <v>22</v>
      </c>
      <c r="E1593" t="s">
        <v>14</v>
      </c>
      <c r="F1593" t="s">
        <v>20</v>
      </c>
      <c r="AJ1593">
        <f>SUM(Post[[#This Row],[47]:[75]])</f>
        <v>0</v>
      </c>
    </row>
    <row r="1594" spans="1:36" x14ac:dyDescent="0.2">
      <c r="A1594" t="s">
        <v>57</v>
      </c>
      <c r="B1594" t="s">
        <v>54</v>
      </c>
      <c r="C1594">
        <v>20202</v>
      </c>
      <c r="D1594" t="s">
        <v>22</v>
      </c>
      <c r="E1594" t="s">
        <v>14</v>
      </c>
      <c r="F1594" t="s">
        <v>20</v>
      </c>
      <c r="AJ1594">
        <f>SUM(Post[[#This Row],[47]:[75]])</f>
        <v>0</v>
      </c>
    </row>
    <row r="1595" spans="1:36" x14ac:dyDescent="0.2">
      <c r="A1595" t="s">
        <v>57</v>
      </c>
      <c r="B1595" t="s">
        <v>54</v>
      </c>
      <c r="C1595">
        <v>23207</v>
      </c>
      <c r="D1595" t="s">
        <v>22</v>
      </c>
      <c r="E1595" t="s">
        <v>8</v>
      </c>
      <c r="F1595" t="s">
        <v>29</v>
      </c>
      <c r="AJ1595">
        <f>SUM(Post[[#This Row],[47]:[75]])</f>
        <v>0</v>
      </c>
    </row>
    <row r="1596" spans="1:36" x14ac:dyDescent="0.2">
      <c r="A1596" t="s">
        <v>57</v>
      </c>
      <c r="B1596" t="s">
        <v>54</v>
      </c>
      <c r="C1596">
        <v>24885</v>
      </c>
      <c r="D1596" t="s">
        <v>22</v>
      </c>
      <c r="E1596" t="s">
        <v>8</v>
      </c>
      <c r="F1596" t="s">
        <v>23</v>
      </c>
      <c r="G1596">
        <v>1</v>
      </c>
      <c r="AJ1596">
        <f>SUM(Post[[#This Row],[47]:[75]])</f>
        <v>1</v>
      </c>
    </row>
    <row r="1597" spans="1:36" x14ac:dyDescent="0.2">
      <c r="A1597" t="s">
        <v>57</v>
      </c>
      <c r="B1597" t="s">
        <v>54</v>
      </c>
      <c r="C1597">
        <v>24885</v>
      </c>
      <c r="D1597" t="s">
        <v>22</v>
      </c>
      <c r="E1597" t="s">
        <v>14</v>
      </c>
      <c r="F1597" t="s">
        <v>35</v>
      </c>
      <c r="AJ1597">
        <f>SUM(Post[[#This Row],[47]:[75]])</f>
        <v>0</v>
      </c>
    </row>
    <row r="1598" spans="1:36" x14ac:dyDescent="0.2">
      <c r="A1598" t="s">
        <v>57</v>
      </c>
      <c r="B1598" t="s">
        <v>54</v>
      </c>
      <c r="C1598">
        <v>24885</v>
      </c>
      <c r="D1598" t="s">
        <v>22</v>
      </c>
      <c r="E1598" t="s">
        <v>14</v>
      </c>
      <c r="F1598" t="s">
        <v>19</v>
      </c>
      <c r="AJ1598">
        <f>SUM(Post[[#This Row],[47]:[75]])</f>
        <v>0</v>
      </c>
    </row>
    <row r="1599" spans="1:36" x14ac:dyDescent="0.2">
      <c r="A1599" t="s">
        <v>57</v>
      </c>
      <c r="B1599" t="s">
        <v>54</v>
      </c>
      <c r="C1599">
        <v>24885</v>
      </c>
      <c r="D1599" t="s">
        <v>22</v>
      </c>
      <c r="E1599" t="s">
        <v>14</v>
      </c>
      <c r="F1599" t="s">
        <v>20</v>
      </c>
      <c r="L1599">
        <v>1</v>
      </c>
      <c r="P1599">
        <v>1</v>
      </c>
      <c r="AJ1599">
        <f>SUM(Post[[#This Row],[47]:[75]])</f>
        <v>2</v>
      </c>
    </row>
    <row r="1600" spans="1:36" x14ac:dyDescent="0.2">
      <c r="A1600" t="s">
        <v>57</v>
      </c>
      <c r="B1600" t="s">
        <v>54</v>
      </c>
      <c r="C1600">
        <v>25652</v>
      </c>
      <c r="D1600" t="s">
        <v>22</v>
      </c>
      <c r="E1600" t="s">
        <v>26</v>
      </c>
      <c r="F1600" t="s">
        <v>27</v>
      </c>
      <c r="AJ1600">
        <f>SUM(Post[[#This Row],[47]:[75]])</f>
        <v>0</v>
      </c>
    </row>
    <row r="1601" spans="1:36" x14ac:dyDescent="0.2">
      <c r="A1601" t="s">
        <v>57</v>
      </c>
      <c r="B1601" t="s">
        <v>54</v>
      </c>
      <c r="C1601">
        <v>26285</v>
      </c>
      <c r="D1601" t="s">
        <v>22</v>
      </c>
      <c r="E1601" t="s">
        <v>8</v>
      </c>
      <c r="F1601" t="s">
        <v>9</v>
      </c>
      <c r="Y1601">
        <v>1</v>
      </c>
      <c r="AG1601">
        <v>1</v>
      </c>
      <c r="AJ1601">
        <f>SUM(Post[[#This Row],[47]:[75]])</f>
        <v>2</v>
      </c>
    </row>
    <row r="1602" spans="1:36" x14ac:dyDescent="0.2">
      <c r="A1602" t="s">
        <v>57</v>
      </c>
      <c r="B1602" t="s">
        <v>54</v>
      </c>
      <c r="C1602">
        <v>26318</v>
      </c>
      <c r="D1602" t="s">
        <v>22</v>
      </c>
      <c r="E1602" t="s">
        <v>14</v>
      </c>
      <c r="F1602" t="s">
        <v>21</v>
      </c>
      <c r="P1602">
        <v>1</v>
      </c>
      <c r="AI1602">
        <v>1</v>
      </c>
      <c r="AJ1602">
        <f>SUM(Post[[#This Row],[47]:[75]])</f>
        <v>2</v>
      </c>
    </row>
    <row r="1603" spans="1:36" x14ac:dyDescent="0.2">
      <c r="A1603" t="s">
        <v>57</v>
      </c>
      <c r="B1603" t="s">
        <v>54</v>
      </c>
      <c r="C1603">
        <v>26480</v>
      </c>
      <c r="D1603" t="s">
        <v>22</v>
      </c>
      <c r="E1603" t="s">
        <v>14</v>
      </c>
      <c r="F1603" t="s">
        <v>19</v>
      </c>
      <c r="AJ1603">
        <f>SUM(Post[[#This Row],[47]:[75]])</f>
        <v>0</v>
      </c>
    </row>
    <row r="1604" spans="1:36" x14ac:dyDescent="0.2">
      <c r="A1604" t="s">
        <v>57</v>
      </c>
      <c r="B1604" t="s">
        <v>54</v>
      </c>
      <c r="C1604">
        <v>26480</v>
      </c>
      <c r="D1604" t="s">
        <v>22</v>
      </c>
      <c r="E1604" t="s">
        <v>14</v>
      </c>
      <c r="F1604" t="s">
        <v>20</v>
      </c>
      <c r="G1604">
        <v>1</v>
      </c>
      <c r="W1604">
        <v>1</v>
      </c>
      <c r="AJ1604">
        <f>SUM(Post[[#This Row],[47]:[75]])</f>
        <v>2</v>
      </c>
    </row>
    <row r="1605" spans="1:36" x14ac:dyDescent="0.2">
      <c r="A1605" t="s">
        <v>57</v>
      </c>
      <c r="B1605" t="s">
        <v>54</v>
      </c>
      <c r="C1605">
        <v>26482</v>
      </c>
      <c r="D1605" t="s">
        <v>22</v>
      </c>
      <c r="E1605" t="s">
        <v>14</v>
      </c>
      <c r="F1605" t="s">
        <v>21</v>
      </c>
      <c r="AG1605">
        <v>5</v>
      </c>
      <c r="AJ1605">
        <f>SUM(Post[[#This Row],[47]:[75]])</f>
        <v>5</v>
      </c>
    </row>
    <row r="1606" spans="1:36" x14ac:dyDescent="0.2">
      <c r="A1606" t="s">
        <v>57</v>
      </c>
      <c r="B1606" t="s">
        <v>54</v>
      </c>
      <c r="C1606">
        <v>26653</v>
      </c>
      <c r="D1606" t="s">
        <v>22</v>
      </c>
      <c r="E1606" t="s">
        <v>8</v>
      </c>
      <c r="F1606" t="s">
        <v>23</v>
      </c>
      <c r="U1606">
        <v>1</v>
      </c>
      <c r="AH1606">
        <v>1</v>
      </c>
      <c r="AJ1606">
        <f>SUM(Post[[#This Row],[47]:[75]])</f>
        <v>2</v>
      </c>
    </row>
    <row r="1607" spans="1:36" x14ac:dyDescent="0.2">
      <c r="A1607" t="s">
        <v>57</v>
      </c>
      <c r="B1607" t="s">
        <v>54</v>
      </c>
      <c r="C1607">
        <v>26680</v>
      </c>
      <c r="D1607" t="s">
        <v>22</v>
      </c>
      <c r="E1607" t="s">
        <v>8</v>
      </c>
      <c r="F1607" t="s">
        <v>23</v>
      </c>
      <c r="AJ1607">
        <f>SUM(Post[[#This Row],[47]:[75]])</f>
        <v>0</v>
      </c>
    </row>
    <row r="1608" spans="1:36" x14ac:dyDescent="0.2">
      <c r="A1608" t="s">
        <v>57</v>
      </c>
      <c r="B1608" t="s">
        <v>54</v>
      </c>
      <c r="C1608">
        <v>26896</v>
      </c>
      <c r="D1608" t="s">
        <v>22</v>
      </c>
      <c r="E1608" t="s">
        <v>14</v>
      </c>
      <c r="F1608" t="s">
        <v>21</v>
      </c>
      <c r="J1608">
        <v>1</v>
      </c>
      <c r="X1608">
        <v>1</v>
      </c>
      <c r="AJ1608">
        <f>SUM(Post[[#This Row],[47]:[75]])</f>
        <v>2</v>
      </c>
    </row>
    <row r="1609" spans="1:36" x14ac:dyDescent="0.2">
      <c r="A1609" t="s">
        <v>57</v>
      </c>
      <c r="B1609" t="s">
        <v>54</v>
      </c>
      <c r="C1609">
        <v>26906</v>
      </c>
      <c r="D1609" t="s">
        <v>22</v>
      </c>
      <c r="E1609" t="s">
        <v>10</v>
      </c>
      <c r="F1609" t="s">
        <v>16</v>
      </c>
      <c r="AA1609">
        <v>1</v>
      </c>
      <c r="AJ1609">
        <f>SUM(Post[[#This Row],[47]:[75]])</f>
        <v>1</v>
      </c>
    </row>
    <row r="1610" spans="1:36" x14ac:dyDescent="0.2">
      <c r="A1610" t="s">
        <v>57</v>
      </c>
      <c r="B1610" t="s">
        <v>54</v>
      </c>
      <c r="C1610">
        <v>26906</v>
      </c>
      <c r="D1610" t="s">
        <v>22</v>
      </c>
      <c r="E1610" t="s">
        <v>10</v>
      </c>
      <c r="F1610" t="s">
        <v>11</v>
      </c>
      <c r="AJ1610">
        <f>SUM(Post[[#This Row],[47]:[75]])</f>
        <v>0</v>
      </c>
    </row>
    <row r="1611" spans="1:36" x14ac:dyDescent="0.2">
      <c r="A1611" t="s">
        <v>57</v>
      </c>
      <c r="B1611" t="s">
        <v>54</v>
      </c>
      <c r="C1611">
        <v>26906</v>
      </c>
      <c r="D1611" t="s">
        <v>22</v>
      </c>
      <c r="E1611" t="s">
        <v>14</v>
      </c>
      <c r="F1611" t="s">
        <v>31</v>
      </c>
      <c r="Y1611">
        <v>1</v>
      </c>
      <c r="AJ1611">
        <f>SUM(Post[[#This Row],[47]:[75]])</f>
        <v>1</v>
      </c>
    </row>
    <row r="1612" spans="1:36" x14ac:dyDescent="0.2">
      <c r="A1612" t="s">
        <v>57</v>
      </c>
      <c r="B1612" t="s">
        <v>54</v>
      </c>
      <c r="C1612">
        <v>26906</v>
      </c>
      <c r="D1612" t="s">
        <v>22</v>
      </c>
      <c r="E1612" t="s">
        <v>14</v>
      </c>
      <c r="F1612" t="s">
        <v>20</v>
      </c>
      <c r="Z1612">
        <v>1</v>
      </c>
      <c r="AA1612">
        <v>1</v>
      </c>
      <c r="AJ1612">
        <f>SUM(Post[[#This Row],[47]:[75]])</f>
        <v>2</v>
      </c>
    </row>
    <row r="1613" spans="1:36" x14ac:dyDescent="0.2">
      <c r="A1613" t="s">
        <v>57</v>
      </c>
      <c r="B1613" t="s">
        <v>54</v>
      </c>
      <c r="C1613">
        <v>27592</v>
      </c>
      <c r="D1613" t="s">
        <v>22</v>
      </c>
      <c r="E1613" t="s">
        <v>8</v>
      </c>
      <c r="F1613" t="s">
        <v>23</v>
      </c>
      <c r="S1613">
        <v>1</v>
      </c>
      <c r="V1613">
        <v>1</v>
      </c>
      <c r="AA1613">
        <v>1</v>
      </c>
      <c r="AH1613">
        <v>1</v>
      </c>
      <c r="AJ1613">
        <f>SUM(Post[[#This Row],[47]:[75]])</f>
        <v>4</v>
      </c>
    </row>
    <row r="1614" spans="1:36" x14ac:dyDescent="0.2">
      <c r="A1614" t="s">
        <v>57</v>
      </c>
      <c r="B1614" t="s">
        <v>54</v>
      </c>
      <c r="C1614">
        <v>28304</v>
      </c>
      <c r="D1614" t="s">
        <v>22</v>
      </c>
      <c r="E1614" t="s">
        <v>8</v>
      </c>
      <c r="F1614" t="s">
        <v>23</v>
      </c>
      <c r="J1614">
        <v>1</v>
      </c>
      <c r="X1614">
        <v>1</v>
      </c>
      <c r="AJ1614">
        <f>SUM(Post[[#This Row],[47]:[75]])</f>
        <v>2</v>
      </c>
    </row>
    <row r="1615" spans="1:36" x14ac:dyDescent="0.2">
      <c r="A1615" t="s">
        <v>57</v>
      </c>
      <c r="B1615" t="s">
        <v>54</v>
      </c>
      <c r="C1615">
        <v>28373</v>
      </c>
      <c r="D1615" t="s">
        <v>22</v>
      </c>
      <c r="E1615" t="s">
        <v>8</v>
      </c>
      <c r="F1615" t="s">
        <v>23</v>
      </c>
      <c r="X1615">
        <v>1</v>
      </c>
      <c r="AJ1615">
        <f>SUM(Post[[#This Row],[47]:[75]])</f>
        <v>1</v>
      </c>
    </row>
    <row r="1616" spans="1:36" x14ac:dyDescent="0.2">
      <c r="A1616" t="s">
        <v>57</v>
      </c>
      <c r="B1616" t="s">
        <v>54</v>
      </c>
      <c r="C1616">
        <v>29468</v>
      </c>
      <c r="D1616" t="s">
        <v>22</v>
      </c>
      <c r="E1616" t="s">
        <v>14</v>
      </c>
      <c r="F1616" t="s">
        <v>19</v>
      </c>
      <c r="AJ1616">
        <f>SUM(Post[[#This Row],[47]:[75]])</f>
        <v>0</v>
      </c>
    </row>
    <row r="1617" spans="1:36" x14ac:dyDescent="0.2">
      <c r="A1617" t="s">
        <v>57</v>
      </c>
      <c r="B1617" t="s">
        <v>54</v>
      </c>
      <c r="C1617">
        <v>30062</v>
      </c>
      <c r="D1617" t="s">
        <v>22</v>
      </c>
      <c r="E1617" t="s">
        <v>8</v>
      </c>
      <c r="F1617" t="s">
        <v>23</v>
      </c>
      <c r="AJ1617">
        <f>SUM(Post[[#This Row],[47]:[75]])</f>
        <v>0</v>
      </c>
    </row>
    <row r="1618" spans="1:36" x14ac:dyDescent="0.2">
      <c r="A1618" t="s">
        <v>57</v>
      </c>
      <c r="B1618" t="s">
        <v>54</v>
      </c>
      <c r="C1618">
        <v>32614</v>
      </c>
      <c r="D1618" t="s">
        <v>22</v>
      </c>
      <c r="E1618" t="s">
        <v>14</v>
      </c>
      <c r="F1618" t="s">
        <v>21</v>
      </c>
      <c r="K1618">
        <v>1</v>
      </c>
      <c r="R1618">
        <v>1</v>
      </c>
      <c r="AH1618">
        <v>1</v>
      </c>
      <c r="AJ1618">
        <f>SUM(Post[[#This Row],[47]:[75]])</f>
        <v>3</v>
      </c>
    </row>
    <row r="1619" spans="1:36" x14ac:dyDescent="0.2">
      <c r="A1619" t="s">
        <v>57</v>
      </c>
      <c r="B1619" t="s">
        <v>54</v>
      </c>
      <c r="C1619">
        <v>32846</v>
      </c>
      <c r="D1619" t="s">
        <v>22</v>
      </c>
      <c r="E1619" t="s">
        <v>8</v>
      </c>
      <c r="F1619" t="s">
        <v>23</v>
      </c>
      <c r="G1619">
        <v>1</v>
      </c>
      <c r="T1619">
        <v>1</v>
      </c>
      <c r="AE1619">
        <v>1</v>
      </c>
      <c r="AJ1619">
        <f>SUM(Post[[#This Row],[47]:[75]])</f>
        <v>3</v>
      </c>
    </row>
    <row r="1620" spans="1:36" x14ac:dyDescent="0.2">
      <c r="A1620" t="s">
        <v>57</v>
      </c>
      <c r="B1620" t="s">
        <v>54</v>
      </c>
      <c r="C1620">
        <v>33371</v>
      </c>
      <c r="D1620" t="s">
        <v>22</v>
      </c>
      <c r="E1620" t="s">
        <v>10</v>
      </c>
      <c r="F1620" t="s">
        <v>11</v>
      </c>
      <c r="AJ1620">
        <f>SUM(Post[[#This Row],[47]:[75]])</f>
        <v>0</v>
      </c>
    </row>
    <row r="1621" spans="1:36" x14ac:dyDescent="0.2">
      <c r="A1621" t="s">
        <v>57</v>
      </c>
      <c r="B1621" t="s">
        <v>54</v>
      </c>
      <c r="C1621">
        <v>636</v>
      </c>
      <c r="D1621" t="s">
        <v>7</v>
      </c>
      <c r="E1621" t="s">
        <v>8</v>
      </c>
      <c r="F1621" t="s">
        <v>23</v>
      </c>
      <c r="AJ1621">
        <f>SUM(Post[[#This Row],[47]:[75]])</f>
        <v>0</v>
      </c>
    </row>
    <row r="1622" spans="1:36" x14ac:dyDescent="0.2">
      <c r="A1622" t="s">
        <v>57</v>
      </c>
      <c r="B1622" t="s">
        <v>54</v>
      </c>
      <c r="C1622">
        <v>1039</v>
      </c>
      <c r="D1622" t="s">
        <v>7</v>
      </c>
      <c r="E1622" t="s">
        <v>14</v>
      </c>
      <c r="F1622" t="s">
        <v>19</v>
      </c>
      <c r="AJ1622">
        <f>SUM(Post[[#This Row],[47]:[75]])</f>
        <v>0</v>
      </c>
    </row>
    <row r="1623" spans="1:36" x14ac:dyDescent="0.2">
      <c r="A1623" t="s">
        <v>57</v>
      </c>
      <c r="B1623" t="s">
        <v>54</v>
      </c>
      <c r="C1623">
        <v>2472</v>
      </c>
      <c r="D1623" t="s">
        <v>7</v>
      </c>
      <c r="E1623" t="s">
        <v>10</v>
      </c>
      <c r="F1623" t="s">
        <v>16</v>
      </c>
      <c r="G1623">
        <v>2</v>
      </c>
      <c r="N1623">
        <v>1</v>
      </c>
      <c r="R1623">
        <v>1</v>
      </c>
      <c r="W1623">
        <v>1</v>
      </c>
      <c r="Z1623">
        <v>1</v>
      </c>
      <c r="AD1623">
        <v>1</v>
      </c>
      <c r="AH1623">
        <v>1</v>
      </c>
      <c r="AJ1623">
        <f>SUM(Post[[#This Row],[47]:[75]])</f>
        <v>8</v>
      </c>
    </row>
    <row r="1624" spans="1:36" x14ac:dyDescent="0.2">
      <c r="A1624" t="s">
        <v>57</v>
      </c>
      <c r="B1624" t="s">
        <v>54</v>
      </c>
      <c r="C1624">
        <v>4700</v>
      </c>
      <c r="D1624" t="s">
        <v>7</v>
      </c>
      <c r="E1624" t="s">
        <v>14</v>
      </c>
      <c r="F1624" t="s">
        <v>20</v>
      </c>
      <c r="O1624">
        <v>1</v>
      </c>
      <c r="Y1624">
        <v>1</v>
      </c>
      <c r="AJ1624">
        <f>SUM(Post[[#This Row],[47]:[75]])</f>
        <v>2</v>
      </c>
    </row>
    <row r="1625" spans="1:36" x14ac:dyDescent="0.2">
      <c r="A1625" t="s">
        <v>57</v>
      </c>
      <c r="B1625" t="s">
        <v>54</v>
      </c>
      <c r="C1625">
        <v>4941</v>
      </c>
      <c r="D1625" t="s">
        <v>7</v>
      </c>
      <c r="E1625" t="s">
        <v>8</v>
      </c>
      <c r="F1625" t="s">
        <v>34</v>
      </c>
      <c r="AJ1625">
        <f>SUM(Post[[#This Row],[47]:[75]])</f>
        <v>0</v>
      </c>
    </row>
    <row r="1626" spans="1:36" x14ac:dyDescent="0.2">
      <c r="A1626" t="s">
        <v>57</v>
      </c>
      <c r="B1626" t="s">
        <v>54</v>
      </c>
      <c r="C1626">
        <v>4941</v>
      </c>
      <c r="D1626" t="s">
        <v>7</v>
      </c>
      <c r="E1626" t="s">
        <v>14</v>
      </c>
      <c r="F1626" t="s">
        <v>31</v>
      </c>
      <c r="AJ1626">
        <f>SUM(Post[[#This Row],[47]:[75]])</f>
        <v>0</v>
      </c>
    </row>
    <row r="1627" spans="1:36" x14ac:dyDescent="0.2">
      <c r="A1627" t="s">
        <v>57</v>
      </c>
      <c r="B1627" t="s">
        <v>54</v>
      </c>
      <c r="C1627">
        <v>5551</v>
      </c>
      <c r="D1627" t="s">
        <v>7</v>
      </c>
      <c r="E1627" t="s">
        <v>10</v>
      </c>
      <c r="F1627" t="s">
        <v>11</v>
      </c>
      <c r="K1627">
        <v>1</v>
      </c>
      <c r="AJ1627">
        <f>SUM(Post[[#This Row],[47]:[75]])</f>
        <v>1</v>
      </c>
    </row>
    <row r="1628" spans="1:36" x14ac:dyDescent="0.2">
      <c r="A1628" t="s">
        <v>57</v>
      </c>
      <c r="B1628" t="s">
        <v>54</v>
      </c>
      <c r="C1628">
        <v>5551</v>
      </c>
      <c r="D1628" t="s">
        <v>7</v>
      </c>
      <c r="E1628" t="s">
        <v>14</v>
      </c>
      <c r="F1628" t="s">
        <v>31</v>
      </c>
      <c r="N1628">
        <v>1</v>
      </c>
      <c r="R1628">
        <v>1</v>
      </c>
      <c r="AJ1628">
        <f>SUM(Post[[#This Row],[47]:[75]])</f>
        <v>2</v>
      </c>
    </row>
    <row r="1629" spans="1:36" x14ac:dyDescent="0.2">
      <c r="A1629" t="s">
        <v>57</v>
      </c>
      <c r="B1629" t="s">
        <v>54</v>
      </c>
      <c r="C1629">
        <v>6406</v>
      </c>
      <c r="D1629" t="s">
        <v>7</v>
      </c>
      <c r="E1629" t="s">
        <v>14</v>
      </c>
      <c r="F1629" t="s">
        <v>28</v>
      </c>
      <c r="AJ1629">
        <f>SUM(Post[[#This Row],[47]:[75]])</f>
        <v>0</v>
      </c>
    </row>
    <row r="1630" spans="1:36" x14ac:dyDescent="0.2">
      <c r="A1630" t="s">
        <v>57</v>
      </c>
      <c r="B1630" t="s">
        <v>54</v>
      </c>
      <c r="C1630">
        <v>8047</v>
      </c>
      <c r="D1630" t="s">
        <v>7</v>
      </c>
      <c r="E1630" t="s">
        <v>14</v>
      </c>
      <c r="F1630" t="s">
        <v>31</v>
      </c>
      <c r="L1630">
        <v>1</v>
      </c>
      <c r="AJ1630">
        <f>SUM(Post[[#This Row],[47]:[75]])</f>
        <v>1</v>
      </c>
    </row>
    <row r="1631" spans="1:36" x14ac:dyDescent="0.2">
      <c r="A1631" t="s">
        <v>57</v>
      </c>
      <c r="B1631" t="s">
        <v>54</v>
      </c>
      <c r="C1631">
        <v>8582</v>
      </c>
      <c r="D1631" t="s">
        <v>7</v>
      </c>
      <c r="E1631" t="s">
        <v>8</v>
      </c>
      <c r="F1631" t="s">
        <v>23</v>
      </c>
      <c r="AJ1631">
        <f>SUM(Post[[#This Row],[47]:[75]])</f>
        <v>0</v>
      </c>
    </row>
    <row r="1632" spans="1:36" x14ac:dyDescent="0.2">
      <c r="A1632" t="s">
        <v>57</v>
      </c>
      <c r="B1632" t="s">
        <v>54</v>
      </c>
      <c r="C1632">
        <v>8664</v>
      </c>
      <c r="D1632" t="s">
        <v>7</v>
      </c>
      <c r="E1632" t="s">
        <v>14</v>
      </c>
      <c r="F1632" t="s">
        <v>20</v>
      </c>
      <c r="S1632">
        <v>2</v>
      </c>
      <c r="AF1632">
        <v>1</v>
      </c>
      <c r="AJ1632">
        <f>SUM(Post[[#This Row],[47]:[75]])</f>
        <v>3</v>
      </c>
    </row>
    <row r="1633" spans="1:36" x14ac:dyDescent="0.2">
      <c r="A1633" t="s">
        <v>57</v>
      </c>
      <c r="B1633" t="s">
        <v>54</v>
      </c>
      <c r="C1633">
        <v>11746</v>
      </c>
      <c r="D1633" t="s">
        <v>7</v>
      </c>
      <c r="E1633" t="s">
        <v>14</v>
      </c>
      <c r="F1633" t="s">
        <v>21</v>
      </c>
      <c r="J1633">
        <v>1</v>
      </c>
      <c r="O1633">
        <v>1</v>
      </c>
      <c r="AJ1633">
        <f>SUM(Post[[#This Row],[47]:[75]])</f>
        <v>2</v>
      </c>
    </row>
    <row r="1634" spans="1:36" x14ac:dyDescent="0.2">
      <c r="A1634" t="s">
        <v>57</v>
      </c>
      <c r="B1634" t="s">
        <v>54</v>
      </c>
      <c r="C1634">
        <v>13742</v>
      </c>
      <c r="D1634" t="s">
        <v>7</v>
      </c>
      <c r="E1634" t="s">
        <v>14</v>
      </c>
      <c r="F1634" t="s">
        <v>15</v>
      </c>
      <c r="H1634">
        <v>1</v>
      </c>
      <c r="AA1634">
        <v>2</v>
      </c>
      <c r="AJ1634">
        <f>SUM(Post[[#This Row],[47]:[75]])</f>
        <v>3</v>
      </c>
    </row>
    <row r="1635" spans="1:36" x14ac:dyDescent="0.2">
      <c r="A1635" t="s">
        <v>57</v>
      </c>
      <c r="B1635" t="s">
        <v>54</v>
      </c>
      <c r="C1635">
        <v>14437</v>
      </c>
      <c r="D1635" t="s">
        <v>7</v>
      </c>
      <c r="E1635" t="s">
        <v>14</v>
      </c>
      <c r="F1635" t="s">
        <v>35</v>
      </c>
      <c r="L1635">
        <v>1</v>
      </c>
      <c r="AJ1635">
        <f>SUM(Post[[#This Row],[47]:[75]])</f>
        <v>1</v>
      </c>
    </row>
    <row r="1636" spans="1:36" x14ac:dyDescent="0.2">
      <c r="A1636" t="s">
        <v>57</v>
      </c>
      <c r="B1636" t="s">
        <v>54</v>
      </c>
      <c r="C1636">
        <v>16232</v>
      </c>
      <c r="D1636" t="s">
        <v>7</v>
      </c>
      <c r="E1636" t="s">
        <v>14</v>
      </c>
      <c r="F1636" t="s">
        <v>19</v>
      </c>
      <c r="AJ1636">
        <f>SUM(Post[[#This Row],[47]:[75]])</f>
        <v>0</v>
      </c>
    </row>
    <row r="1637" spans="1:36" x14ac:dyDescent="0.2">
      <c r="A1637" t="s">
        <v>57</v>
      </c>
      <c r="B1637" t="s">
        <v>54</v>
      </c>
      <c r="C1637">
        <v>16232</v>
      </c>
      <c r="D1637" t="s">
        <v>7</v>
      </c>
      <c r="E1637" t="s">
        <v>14</v>
      </c>
      <c r="F1637" t="s">
        <v>21</v>
      </c>
      <c r="AJ1637">
        <f>SUM(Post[[#This Row],[47]:[75]])</f>
        <v>0</v>
      </c>
    </row>
    <row r="1638" spans="1:36" x14ac:dyDescent="0.2">
      <c r="A1638" t="s">
        <v>57</v>
      </c>
      <c r="B1638" t="s">
        <v>54</v>
      </c>
      <c r="C1638">
        <v>17223</v>
      </c>
      <c r="D1638" t="s">
        <v>7</v>
      </c>
      <c r="E1638" t="s">
        <v>14</v>
      </c>
      <c r="F1638" t="s">
        <v>19</v>
      </c>
      <c r="AJ1638">
        <f>SUM(Post[[#This Row],[47]:[75]])</f>
        <v>0</v>
      </c>
    </row>
    <row r="1639" spans="1:36" x14ac:dyDescent="0.2">
      <c r="A1639" t="s">
        <v>57</v>
      </c>
      <c r="B1639" t="s">
        <v>54</v>
      </c>
      <c r="C1639">
        <v>19412</v>
      </c>
      <c r="D1639" t="s">
        <v>7</v>
      </c>
      <c r="E1639" t="s">
        <v>14</v>
      </c>
      <c r="F1639" t="s">
        <v>20</v>
      </c>
      <c r="I1639">
        <v>1</v>
      </c>
      <c r="X1639">
        <v>1</v>
      </c>
      <c r="AJ1639">
        <f>SUM(Post[[#This Row],[47]:[75]])</f>
        <v>2</v>
      </c>
    </row>
    <row r="1640" spans="1:36" x14ac:dyDescent="0.2">
      <c r="A1640" t="s">
        <v>57</v>
      </c>
      <c r="B1640" t="s">
        <v>54</v>
      </c>
      <c r="C1640">
        <v>19722</v>
      </c>
      <c r="D1640" t="s">
        <v>7</v>
      </c>
      <c r="E1640" t="s">
        <v>14</v>
      </c>
      <c r="F1640" t="s">
        <v>31</v>
      </c>
      <c r="H1640">
        <v>2</v>
      </c>
      <c r="AJ1640">
        <f>SUM(Post[[#This Row],[47]:[75]])</f>
        <v>2</v>
      </c>
    </row>
    <row r="1641" spans="1:36" x14ac:dyDescent="0.2">
      <c r="A1641" t="s">
        <v>57</v>
      </c>
      <c r="B1641" t="s">
        <v>54</v>
      </c>
      <c r="C1641">
        <v>19722</v>
      </c>
      <c r="D1641" t="s">
        <v>7</v>
      </c>
      <c r="E1641" t="s">
        <v>14</v>
      </c>
      <c r="F1641" t="s">
        <v>28</v>
      </c>
      <c r="H1641">
        <v>1</v>
      </c>
      <c r="L1641">
        <v>1</v>
      </c>
      <c r="R1641">
        <v>1</v>
      </c>
      <c r="X1641">
        <v>1</v>
      </c>
      <c r="AD1641">
        <v>1</v>
      </c>
      <c r="AJ1641">
        <f>SUM(Post[[#This Row],[47]:[75]])</f>
        <v>5</v>
      </c>
    </row>
    <row r="1642" spans="1:36" x14ac:dyDescent="0.2">
      <c r="A1642" t="s">
        <v>57</v>
      </c>
      <c r="B1642" t="s">
        <v>54</v>
      </c>
      <c r="C1642">
        <v>20002</v>
      </c>
      <c r="D1642" t="s">
        <v>7</v>
      </c>
      <c r="E1642" t="s">
        <v>8</v>
      </c>
      <c r="F1642" t="s">
        <v>30</v>
      </c>
      <c r="AJ1642">
        <f>SUM(Post[[#This Row],[47]:[75]])</f>
        <v>0</v>
      </c>
    </row>
    <row r="1643" spans="1:36" x14ac:dyDescent="0.2">
      <c r="A1643" t="s">
        <v>57</v>
      </c>
      <c r="B1643" t="s">
        <v>54</v>
      </c>
      <c r="C1643">
        <v>20002</v>
      </c>
      <c r="D1643" t="s">
        <v>7</v>
      </c>
      <c r="E1643" t="s">
        <v>8</v>
      </c>
      <c r="F1643" t="s">
        <v>29</v>
      </c>
      <c r="AJ1643">
        <f>SUM(Post[[#This Row],[47]:[75]])</f>
        <v>0</v>
      </c>
    </row>
    <row r="1644" spans="1:36" x14ac:dyDescent="0.2">
      <c r="A1644" t="s">
        <v>57</v>
      </c>
      <c r="B1644" t="s">
        <v>54</v>
      </c>
      <c r="C1644">
        <v>20002</v>
      </c>
      <c r="D1644" t="s">
        <v>7</v>
      </c>
      <c r="E1644" t="s">
        <v>26</v>
      </c>
      <c r="F1644" t="s">
        <v>27</v>
      </c>
      <c r="AJ1644">
        <f>SUM(Post[[#This Row],[47]:[75]])</f>
        <v>0</v>
      </c>
    </row>
    <row r="1645" spans="1:36" x14ac:dyDescent="0.2">
      <c r="A1645" t="s">
        <v>57</v>
      </c>
      <c r="B1645" t="s">
        <v>54</v>
      </c>
      <c r="C1645">
        <v>21982</v>
      </c>
      <c r="D1645" t="s">
        <v>7</v>
      </c>
      <c r="E1645" t="s">
        <v>10</v>
      </c>
      <c r="F1645" t="s">
        <v>16</v>
      </c>
      <c r="AJ1645">
        <f>SUM(Post[[#This Row],[47]:[75]])</f>
        <v>0</v>
      </c>
    </row>
    <row r="1646" spans="1:36" x14ac:dyDescent="0.2">
      <c r="A1646" t="s">
        <v>57</v>
      </c>
      <c r="B1646" t="s">
        <v>54</v>
      </c>
      <c r="C1646">
        <v>21982</v>
      </c>
      <c r="D1646" t="s">
        <v>7</v>
      </c>
      <c r="E1646" t="s">
        <v>10</v>
      </c>
      <c r="F1646" t="s">
        <v>11</v>
      </c>
      <c r="AJ1646">
        <f>SUM(Post[[#This Row],[47]:[75]])</f>
        <v>0</v>
      </c>
    </row>
    <row r="1647" spans="1:36" x14ac:dyDescent="0.2">
      <c r="A1647" t="s">
        <v>57</v>
      </c>
      <c r="B1647" t="s">
        <v>54</v>
      </c>
      <c r="C1647">
        <v>22636</v>
      </c>
      <c r="D1647" t="s">
        <v>7</v>
      </c>
      <c r="E1647" t="s">
        <v>14</v>
      </c>
      <c r="F1647" t="s">
        <v>31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J1647">
        <f>SUM(Post[[#This Row],[47]:[75]])</f>
        <v>27</v>
      </c>
    </row>
    <row r="1648" spans="1:36" x14ac:dyDescent="0.2">
      <c r="A1648" t="s">
        <v>57</v>
      </c>
      <c r="B1648" t="s">
        <v>54</v>
      </c>
      <c r="C1648">
        <v>22869</v>
      </c>
      <c r="D1648" t="s">
        <v>7</v>
      </c>
      <c r="E1648" t="s">
        <v>10</v>
      </c>
      <c r="F1648" t="s">
        <v>11</v>
      </c>
      <c r="AJ1648">
        <f>SUM(Post[[#This Row],[47]:[75]])</f>
        <v>0</v>
      </c>
    </row>
    <row r="1649" spans="1:36" x14ac:dyDescent="0.2">
      <c r="A1649" t="s">
        <v>57</v>
      </c>
      <c r="B1649" t="s">
        <v>54</v>
      </c>
      <c r="C1649">
        <v>26814</v>
      </c>
      <c r="D1649" t="s">
        <v>7</v>
      </c>
      <c r="E1649" t="s">
        <v>10</v>
      </c>
      <c r="F1649" t="s">
        <v>11</v>
      </c>
      <c r="Q1649">
        <v>1</v>
      </c>
      <c r="AB1649">
        <v>1</v>
      </c>
      <c r="AJ1649">
        <f>SUM(Post[[#This Row],[47]:[75]])</f>
        <v>2</v>
      </c>
    </row>
    <row r="1650" spans="1:36" x14ac:dyDescent="0.2">
      <c r="A1650" t="s">
        <v>57</v>
      </c>
      <c r="B1650" t="s">
        <v>54</v>
      </c>
      <c r="C1650">
        <v>29531</v>
      </c>
      <c r="D1650" t="s">
        <v>7</v>
      </c>
      <c r="E1650" t="s">
        <v>14</v>
      </c>
      <c r="F1650" t="s">
        <v>20</v>
      </c>
      <c r="AJ1650">
        <f>SUM(Post[[#This Row],[47]:[75]])</f>
        <v>0</v>
      </c>
    </row>
    <row r="1651" spans="1:36" x14ac:dyDescent="0.2">
      <c r="A1651" t="s">
        <v>57</v>
      </c>
      <c r="B1651" t="s">
        <v>54</v>
      </c>
      <c r="C1651">
        <v>33300</v>
      </c>
      <c r="D1651" t="s">
        <v>7</v>
      </c>
      <c r="E1651" t="s">
        <v>14</v>
      </c>
      <c r="F1651" t="s">
        <v>21</v>
      </c>
      <c r="T1651">
        <v>1</v>
      </c>
      <c r="AE1651">
        <v>1</v>
      </c>
      <c r="AJ1651">
        <f>SUM(Post[[#This Row],[47]:[75]])</f>
        <v>2</v>
      </c>
    </row>
    <row r="1652" spans="1:36" x14ac:dyDescent="0.2">
      <c r="A1652" t="s">
        <v>57</v>
      </c>
      <c r="B1652" t="s">
        <v>54</v>
      </c>
      <c r="C1652">
        <v>33519</v>
      </c>
      <c r="D1652" t="s">
        <v>7</v>
      </c>
      <c r="E1652" t="s">
        <v>14</v>
      </c>
      <c r="F1652" t="s">
        <v>31</v>
      </c>
      <c r="AJ1652">
        <f>SUM(Post[[#This Row],[47]:[75]])</f>
        <v>0</v>
      </c>
    </row>
    <row r="1653" spans="1:36" x14ac:dyDescent="0.2">
      <c r="A1653" t="s">
        <v>57</v>
      </c>
      <c r="B1653" t="s">
        <v>54</v>
      </c>
      <c r="C1653">
        <v>723</v>
      </c>
      <c r="D1653" t="s">
        <v>22</v>
      </c>
      <c r="E1653" t="s">
        <v>8</v>
      </c>
      <c r="F1653" t="s">
        <v>23</v>
      </c>
      <c r="AJ1653">
        <f>SUM(Post[[#This Row],[47]:[75]])</f>
        <v>0</v>
      </c>
    </row>
    <row r="1654" spans="1:36" x14ac:dyDescent="0.2">
      <c r="A1654" t="s">
        <v>57</v>
      </c>
      <c r="B1654" t="s">
        <v>54</v>
      </c>
      <c r="C1654">
        <v>2078</v>
      </c>
      <c r="D1654" t="s">
        <v>22</v>
      </c>
      <c r="E1654" t="s">
        <v>10</v>
      </c>
      <c r="F1654" t="s">
        <v>11</v>
      </c>
      <c r="S1654">
        <v>1</v>
      </c>
      <c r="AJ1654">
        <f>SUM(Post[[#This Row],[47]:[75]])</f>
        <v>1</v>
      </c>
    </row>
    <row r="1655" spans="1:36" x14ac:dyDescent="0.2">
      <c r="A1655" t="s">
        <v>57</v>
      </c>
      <c r="B1655" t="s">
        <v>54</v>
      </c>
      <c r="C1655">
        <v>2078</v>
      </c>
      <c r="D1655" t="s">
        <v>22</v>
      </c>
      <c r="E1655" t="s">
        <v>14</v>
      </c>
      <c r="F1655" t="s">
        <v>20</v>
      </c>
      <c r="AF1655">
        <v>1</v>
      </c>
      <c r="AJ1655">
        <f>SUM(Post[[#This Row],[47]:[75]])</f>
        <v>1</v>
      </c>
    </row>
    <row r="1656" spans="1:36" x14ac:dyDescent="0.2">
      <c r="A1656" t="s">
        <v>57</v>
      </c>
      <c r="B1656" t="s">
        <v>54</v>
      </c>
      <c r="C1656">
        <v>2538</v>
      </c>
      <c r="D1656" t="s">
        <v>22</v>
      </c>
      <c r="E1656" t="s">
        <v>10</v>
      </c>
      <c r="F1656" t="s">
        <v>11</v>
      </c>
      <c r="N1656">
        <v>1</v>
      </c>
      <c r="AJ1656">
        <f>SUM(Post[[#This Row],[47]:[75]])</f>
        <v>1</v>
      </c>
    </row>
    <row r="1657" spans="1:36" x14ac:dyDescent="0.2">
      <c r="A1657" t="s">
        <v>57</v>
      </c>
      <c r="B1657" t="s">
        <v>54</v>
      </c>
      <c r="C1657">
        <v>3377</v>
      </c>
      <c r="D1657" t="s">
        <v>22</v>
      </c>
      <c r="E1657" t="s">
        <v>8</v>
      </c>
      <c r="F1657" t="s">
        <v>23</v>
      </c>
      <c r="G1657">
        <v>1</v>
      </c>
      <c r="I1657">
        <v>1</v>
      </c>
      <c r="K1657">
        <v>1</v>
      </c>
      <c r="N1657">
        <v>1</v>
      </c>
      <c r="P1657">
        <v>1</v>
      </c>
      <c r="R1657">
        <v>1</v>
      </c>
      <c r="T1657">
        <v>1</v>
      </c>
      <c r="V1657">
        <v>1</v>
      </c>
      <c r="X1657">
        <v>1</v>
      </c>
      <c r="Z1657">
        <v>1</v>
      </c>
      <c r="AB1657">
        <v>1</v>
      </c>
      <c r="AD1657">
        <v>1</v>
      </c>
      <c r="AH1657">
        <v>1</v>
      </c>
      <c r="AJ1657">
        <f>SUM(Post[[#This Row],[47]:[75]])</f>
        <v>13</v>
      </c>
    </row>
    <row r="1658" spans="1:36" x14ac:dyDescent="0.2">
      <c r="A1658" t="s">
        <v>57</v>
      </c>
      <c r="B1658" t="s">
        <v>54</v>
      </c>
      <c r="C1658">
        <v>3377</v>
      </c>
      <c r="D1658" t="s">
        <v>22</v>
      </c>
      <c r="E1658" t="s">
        <v>14</v>
      </c>
      <c r="F1658" t="s">
        <v>20</v>
      </c>
      <c r="AJ1658">
        <f>SUM(Post[[#This Row],[47]:[75]])</f>
        <v>0</v>
      </c>
    </row>
    <row r="1659" spans="1:36" x14ac:dyDescent="0.2">
      <c r="A1659" t="s">
        <v>57</v>
      </c>
      <c r="B1659" t="s">
        <v>54</v>
      </c>
      <c r="C1659">
        <v>3962</v>
      </c>
      <c r="D1659" t="s">
        <v>22</v>
      </c>
      <c r="E1659" t="s">
        <v>8</v>
      </c>
      <c r="F1659" t="s">
        <v>23</v>
      </c>
      <c r="I1659">
        <v>1</v>
      </c>
      <c r="Y1659">
        <v>1</v>
      </c>
      <c r="AJ1659">
        <f>SUM(Post[[#This Row],[47]:[75]])</f>
        <v>2</v>
      </c>
    </row>
    <row r="1660" spans="1:36" x14ac:dyDescent="0.2">
      <c r="A1660" t="s">
        <v>57</v>
      </c>
      <c r="B1660" t="s">
        <v>54</v>
      </c>
      <c r="C1660">
        <v>4449</v>
      </c>
      <c r="D1660" t="s">
        <v>22</v>
      </c>
      <c r="E1660" t="s">
        <v>8</v>
      </c>
      <c r="F1660" t="s">
        <v>30</v>
      </c>
      <c r="K1660">
        <v>1</v>
      </c>
      <c r="Z1660">
        <v>1</v>
      </c>
      <c r="AJ1660">
        <f>SUM(Post[[#This Row],[47]:[75]])</f>
        <v>2</v>
      </c>
    </row>
    <row r="1661" spans="1:36" x14ac:dyDescent="0.2">
      <c r="A1661" t="s">
        <v>57</v>
      </c>
      <c r="B1661" t="s">
        <v>54</v>
      </c>
      <c r="C1661">
        <v>5550</v>
      </c>
      <c r="D1661" t="s">
        <v>22</v>
      </c>
      <c r="E1661" t="s">
        <v>12</v>
      </c>
      <c r="F1661" t="s">
        <v>13</v>
      </c>
      <c r="J1661">
        <v>1</v>
      </c>
      <c r="AJ1661">
        <f>SUM(Post[[#This Row],[47]:[75]])</f>
        <v>1</v>
      </c>
    </row>
    <row r="1662" spans="1:36" x14ac:dyDescent="0.2">
      <c r="A1662" t="s">
        <v>57</v>
      </c>
      <c r="B1662" t="s">
        <v>54</v>
      </c>
      <c r="C1662">
        <v>5782</v>
      </c>
      <c r="D1662" t="s">
        <v>22</v>
      </c>
      <c r="E1662" t="s">
        <v>14</v>
      </c>
      <c r="F1662" t="s">
        <v>31</v>
      </c>
      <c r="Z1662">
        <v>1</v>
      </c>
      <c r="AJ1662">
        <f>SUM(Post[[#This Row],[47]:[75]])</f>
        <v>1</v>
      </c>
    </row>
    <row r="1663" spans="1:36" x14ac:dyDescent="0.2">
      <c r="A1663" t="s">
        <v>57</v>
      </c>
      <c r="B1663" t="s">
        <v>54</v>
      </c>
      <c r="C1663">
        <v>5782</v>
      </c>
      <c r="D1663" t="s">
        <v>22</v>
      </c>
      <c r="E1663" t="s">
        <v>14</v>
      </c>
      <c r="F1663" t="s">
        <v>28</v>
      </c>
      <c r="AJ1663">
        <f>SUM(Post[[#This Row],[47]:[75]])</f>
        <v>0</v>
      </c>
    </row>
    <row r="1664" spans="1:36" x14ac:dyDescent="0.2">
      <c r="A1664" t="s">
        <v>57</v>
      </c>
      <c r="B1664" t="s">
        <v>54</v>
      </c>
      <c r="C1664">
        <v>5808</v>
      </c>
      <c r="D1664" t="s">
        <v>22</v>
      </c>
      <c r="E1664" t="s">
        <v>10</v>
      </c>
      <c r="F1664" t="s">
        <v>11</v>
      </c>
      <c r="H1664">
        <v>1</v>
      </c>
      <c r="AJ1664">
        <f>SUM(Post[[#This Row],[47]:[75]])</f>
        <v>1</v>
      </c>
    </row>
    <row r="1665" spans="1:36" x14ac:dyDescent="0.2">
      <c r="A1665" t="s">
        <v>57</v>
      </c>
      <c r="B1665" t="s">
        <v>54</v>
      </c>
      <c r="C1665">
        <v>5808</v>
      </c>
      <c r="D1665" t="s">
        <v>22</v>
      </c>
      <c r="E1665" t="s">
        <v>14</v>
      </c>
      <c r="F1665" t="s">
        <v>19</v>
      </c>
      <c r="O1665">
        <v>3</v>
      </c>
      <c r="P1665">
        <v>1</v>
      </c>
      <c r="Q1665">
        <v>2</v>
      </c>
      <c r="AJ1665">
        <f>SUM(Post[[#This Row],[47]:[75]])</f>
        <v>6</v>
      </c>
    </row>
    <row r="1666" spans="1:36" x14ac:dyDescent="0.2">
      <c r="A1666" t="s">
        <v>57</v>
      </c>
      <c r="B1666" t="s">
        <v>54</v>
      </c>
      <c r="C1666">
        <v>5808</v>
      </c>
      <c r="D1666" t="s">
        <v>22</v>
      </c>
      <c r="E1666" t="s">
        <v>14</v>
      </c>
      <c r="F1666" t="s">
        <v>21</v>
      </c>
      <c r="Z1666">
        <v>1</v>
      </c>
      <c r="AJ1666">
        <f>SUM(Post[[#This Row],[47]:[75]])</f>
        <v>1</v>
      </c>
    </row>
    <row r="1667" spans="1:36" x14ac:dyDescent="0.2">
      <c r="A1667" t="s">
        <v>57</v>
      </c>
      <c r="B1667" t="s">
        <v>54</v>
      </c>
      <c r="C1667">
        <v>6781</v>
      </c>
      <c r="D1667" t="s">
        <v>22</v>
      </c>
      <c r="E1667" t="s">
        <v>10</v>
      </c>
      <c r="F1667" t="s">
        <v>11</v>
      </c>
      <c r="AB1667">
        <v>1</v>
      </c>
      <c r="AJ1667">
        <f>SUM(Post[[#This Row],[47]:[75]])</f>
        <v>1</v>
      </c>
    </row>
    <row r="1668" spans="1:36" x14ac:dyDescent="0.2">
      <c r="A1668" t="s">
        <v>57</v>
      </c>
      <c r="B1668" t="s">
        <v>54</v>
      </c>
      <c r="C1668">
        <v>6781</v>
      </c>
      <c r="D1668" t="s">
        <v>22</v>
      </c>
      <c r="E1668" t="s">
        <v>14</v>
      </c>
      <c r="F1668" t="s">
        <v>20</v>
      </c>
      <c r="AJ1668">
        <f>SUM(Post[[#This Row],[47]:[75]])</f>
        <v>0</v>
      </c>
    </row>
    <row r="1669" spans="1:36" x14ac:dyDescent="0.2">
      <c r="A1669" t="s">
        <v>57</v>
      </c>
      <c r="B1669" t="s">
        <v>54</v>
      </c>
      <c r="C1669">
        <v>6800</v>
      </c>
      <c r="D1669" t="s">
        <v>22</v>
      </c>
      <c r="E1669" t="s">
        <v>14</v>
      </c>
      <c r="F1669" t="s">
        <v>20</v>
      </c>
      <c r="AJ1669">
        <f>SUM(Post[[#This Row],[47]:[75]])</f>
        <v>0</v>
      </c>
    </row>
    <row r="1670" spans="1:36" x14ac:dyDescent="0.2">
      <c r="A1670" t="s">
        <v>57</v>
      </c>
      <c r="B1670" t="s">
        <v>54</v>
      </c>
      <c r="C1670">
        <v>7588</v>
      </c>
      <c r="D1670" t="s">
        <v>22</v>
      </c>
      <c r="E1670" t="s">
        <v>8</v>
      </c>
      <c r="F1670" t="s">
        <v>9</v>
      </c>
      <c r="AJ1670">
        <f>SUM(Post[[#This Row],[47]:[75]])</f>
        <v>0</v>
      </c>
    </row>
    <row r="1671" spans="1:36" x14ac:dyDescent="0.2">
      <c r="A1671" t="s">
        <v>57</v>
      </c>
      <c r="B1671" t="s">
        <v>54</v>
      </c>
      <c r="C1671">
        <v>7588</v>
      </c>
      <c r="D1671" t="s">
        <v>22</v>
      </c>
      <c r="E1671" t="s">
        <v>8</v>
      </c>
      <c r="F1671" t="s">
        <v>29</v>
      </c>
      <c r="H1671">
        <v>1</v>
      </c>
      <c r="AJ1671">
        <f>SUM(Post[[#This Row],[47]:[75]])</f>
        <v>1</v>
      </c>
    </row>
    <row r="1672" spans="1:36" x14ac:dyDescent="0.2">
      <c r="A1672" t="s">
        <v>57</v>
      </c>
      <c r="B1672" t="s">
        <v>54</v>
      </c>
      <c r="C1672">
        <v>7732</v>
      </c>
      <c r="D1672" t="s">
        <v>22</v>
      </c>
      <c r="E1672" t="s">
        <v>14</v>
      </c>
      <c r="F1672" t="s">
        <v>35</v>
      </c>
      <c r="AJ1672">
        <f>SUM(Post[[#This Row],[47]:[75]])</f>
        <v>0</v>
      </c>
    </row>
    <row r="1673" spans="1:36" x14ac:dyDescent="0.2">
      <c r="A1673" t="s">
        <v>57</v>
      </c>
      <c r="B1673" t="s">
        <v>54</v>
      </c>
      <c r="C1673">
        <v>7732</v>
      </c>
      <c r="D1673" t="s">
        <v>22</v>
      </c>
      <c r="E1673" t="s">
        <v>14</v>
      </c>
      <c r="F1673" t="s">
        <v>21</v>
      </c>
      <c r="K1673">
        <v>1</v>
      </c>
      <c r="Z1673">
        <v>1</v>
      </c>
      <c r="AJ1673">
        <f>SUM(Post[[#This Row],[47]:[75]])</f>
        <v>2</v>
      </c>
    </row>
    <row r="1674" spans="1:36" x14ac:dyDescent="0.2">
      <c r="A1674" t="s">
        <v>57</v>
      </c>
      <c r="B1674" t="s">
        <v>54</v>
      </c>
      <c r="C1674">
        <v>8046</v>
      </c>
      <c r="D1674" t="s">
        <v>22</v>
      </c>
      <c r="E1674" t="s">
        <v>8</v>
      </c>
      <c r="F1674" t="s">
        <v>23</v>
      </c>
      <c r="K1674">
        <v>1</v>
      </c>
      <c r="Z1674">
        <v>1</v>
      </c>
      <c r="AJ1674">
        <f>SUM(Post[[#This Row],[47]:[75]])</f>
        <v>2</v>
      </c>
    </row>
    <row r="1675" spans="1:36" x14ac:dyDescent="0.2">
      <c r="A1675" t="s">
        <v>57</v>
      </c>
      <c r="B1675" t="s">
        <v>54</v>
      </c>
      <c r="C1675">
        <v>8091</v>
      </c>
      <c r="D1675" t="s">
        <v>22</v>
      </c>
      <c r="E1675" t="s">
        <v>14</v>
      </c>
      <c r="F1675" t="s">
        <v>20</v>
      </c>
      <c r="J1675">
        <v>1</v>
      </c>
      <c r="O1675">
        <v>1</v>
      </c>
      <c r="S1675">
        <v>1</v>
      </c>
      <c r="W1675">
        <v>1</v>
      </c>
      <c r="AA1675">
        <v>1</v>
      </c>
      <c r="AJ1675">
        <f>SUM(Post[[#This Row],[47]:[75]])</f>
        <v>5</v>
      </c>
    </row>
    <row r="1676" spans="1:36" x14ac:dyDescent="0.2">
      <c r="A1676" t="s">
        <v>57</v>
      </c>
      <c r="B1676" t="s">
        <v>54</v>
      </c>
      <c r="C1676">
        <v>8420</v>
      </c>
      <c r="D1676" t="s">
        <v>22</v>
      </c>
      <c r="E1676" t="s">
        <v>8</v>
      </c>
      <c r="F1676" t="s">
        <v>9</v>
      </c>
      <c r="G1676">
        <v>1</v>
      </c>
      <c r="K1676">
        <v>1</v>
      </c>
      <c r="P1676">
        <v>1</v>
      </c>
      <c r="T1676">
        <v>1</v>
      </c>
      <c r="X1676">
        <v>1</v>
      </c>
      <c r="AJ1676">
        <f>SUM(Post[[#This Row],[47]:[75]])</f>
        <v>5</v>
      </c>
    </row>
    <row r="1677" spans="1:36" x14ac:dyDescent="0.2">
      <c r="A1677" t="s">
        <v>57</v>
      </c>
      <c r="B1677" t="s">
        <v>54</v>
      </c>
      <c r="C1677">
        <v>8614</v>
      </c>
      <c r="D1677" t="s">
        <v>22</v>
      </c>
      <c r="E1677" t="s">
        <v>14</v>
      </c>
      <c r="F1677" t="s">
        <v>20</v>
      </c>
      <c r="K1677">
        <v>1</v>
      </c>
      <c r="AA1677">
        <v>1</v>
      </c>
      <c r="AJ1677">
        <f>SUM(Post[[#This Row],[47]:[75]])</f>
        <v>2</v>
      </c>
    </row>
    <row r="1678" spans="1:36" x14ac:dyDescent="0.2">
      <c r="A1678" t="s">
        <v>57</v>
      </c>
      <c r="B1678" t="s">
        <v>54</v>
      </c>
      <c r="C1678">
        <v>9038</v>
      </c>
      <c r="D1678" t="s">
        <v>22</v>
      </c>
      <c r="E1678" t="s">
        <v>10</v>
      </c>
      <c r="F1678" t="s">
        <v>11</v>
      </c>
      <c r="AJ1678">
        <f>SUM(Post[[#This Row],[47]:[75]])</f>
        <v>0</v>
      </c>
    </row>
    <row r="1679" spans="1:36" x14ac:dyDescent="0.2">
      <c r="A1679" t="s">
        <v>57</v>
      </c>
      <c r="B1679" t="s">
        <v>54</v>
      </c>
      <c r="C1679">
        <v>9386</v>
      </c>
      <c r="D1679" t="s">
        <v>22</v>
      </c>
      <c r="E1679" t="s">
        <v>8</v>
      </c>
      <c r="F1679" t="s">
        <v>29</v>
      </c>
      <c r="K1679">
        <v>1</v>
      </c>
      <c r="AB1679">
        <v>1</v>
      </c>
      <c r="AJ1679">
        <f>SUM(Post[[#This Row],[47]:[75]])</f>
        <v>2</v>
      </c>
    </row>
    <row r="1680" spans="1:36" x14ac:dyDescent="0.2">
      <c r="A1680" t="s">
        <v>57</v>
      </c>
      <c r="B1680" t="s">
        <v>54</v>
      </c>
      <c r="C1680">
        <v>9386</v>
      </c>
      <c r="D1680" t="s">
        <v>22</v>
      </c>
      <c r="E1680" t="s">
        <v>14</v>
      </c>
      <c r="F1680" t="s">
        <v>21</v>
      </c>
      <c r="AJ1680">
        <f>SUM(Post[[#This Row],[47]:[75]])</f>
        <v>0</v>
      </c>
    </row>
    <row r="1681" spans="1:36" x14ac:dyDescent="0.2">
      <c r="A1681" t="s">
        <v>57</v>
      </c>
      <c r="B1681" t="s">
        <v>54</v>
      </c>
      <c r="C1681">
        <v>9464</v>
      </c>
      <c r="D1681" t="s">
        <v>22</v>
      </c>
      <c r="E1681" t="s">
        <v>8</v>
      </c>
      <c r="F1681" t="s">
        <v>23</v>
      </c>
      <c r="Q1681">
        <v>1</v>
      </c>
      <c r="AD1681">
        <v>1</v>
      </c>
      <c r="AJ1681">
        <f>SUM(Post[[#This Row],[47]:[75]])</f>
        <v>2</v>
      </c>
    </row>
    <row r="1682" spans="1:36" x14ac:dyDescent="0.2">
      <c r="A1682" t="s">
        <v>57</v>
      </c>
      <c r="B1682" t="s">
        <v>54</v>
      </c>
      <c r="C1682">
        <v>9562</v>
      </c>
      <c r="D1682" t="s">
        <v>22</v>
      </c>
      <c r="E1682" t="s">
        <v>8</v>
      </c>
      <c r="F1682" t="s">
        <v>23</v>
      </c>
      <c r="O1682">
        <v>1</v>
      </c>
      <c r="AA1682">
        <v>3</v>
      </c>
      <c r="AJ1682">
        <f>SUM(Post[[#This Row],[47]:[75]])</f>
        <v>4</v>
      </c>
    </row>
    <row r="1683" spans="1:36" x14ac:dyDescent="0.2">
      <c r="A1683" t="s">
        <v>57</v>
      </c>
      <c r="B1683" t="s">
        <v>54</v>
      </c>
      <c r="C1683">
        <v>10103</v>
      </c>
      <c r="D1683" t="s">
        <v>22</v>
      </c>
      <c r="E1683" t="s">
        <v>14</v>
      </c>
      <c r="F1683" t="s">
        <v>20</v>
      </c>
      <c r="O1683">
        <v>2</v>
      </c>
      <c r="AB1683">
        <v>1</v>
      </c>
      <c r="AJ1683">
        <f>SUM(Post[[#This Row],[47]:[75]])</f>
        <v>3</v>
      </c>
    </row>
    <row r="1684" spans="1:36" x14ac:dyDescent="0.2">
      <c r="A1684" t="s">
        <v>57</v>
      </c>
      <c r="B1684" t="s">
        <v>54</v>
      </c>
      <c r="C1684">
        <v>12312</v>
      </c>
      <c r="D1684" t="s">
        <v>22</v>
      </c>
      <c r="E1684" t="s">
        <v>14</v>
      </c>
      <c r="F1684" t="s">
        <v>19</v>
      </c>
      <c r="AG1684">
        <v>1</v>
      </c>
      <c r="AJ1684">
        <f>SUM(Post[[#This Row],[47]:[75]])</f>
        <v>1</v>
      </c>
    </row>
    <row r="1685" spans="1:36" x14ac:dyDescent="0.2">
      <c r="A1685" t="s">
        <v>57</v>
      </c>
      <c r="B1685" t="s">
        <v>54</v>
      </c>
      <c r="C1685">
        <v>12312</v>
      </c>
      <c r="D1685" t="s">
        <v>22</v>
      </c>
      <c r="E1685" t="s">
        <v>14</v>
      </c>
      <c r="F1685" t="s">
        <v>21</v>
      </c>
      <c r="AJ1685">
        <f>SUM(Post[[#This Row],[47]:[75]])</f>
        <v>0</v>
      </c>
    </row>
    <row r="1686" spans="1:36" x14ac:dyDescent="0.2">
      <c r="A1686" t="s">
        <v>57</v>
      </c>
      <c r="B1686" t="s">
        <v>54</v>
      </c>
      <c r="C1686">
        <v>12312</v>
      </c>
      <c r="D1686" t="s">
        <v>22</v>
      </c>
      <c r="E1686" t="s">
        <v>14</v>
      </c>
      <c r="F1686" t="s">
        <v>20</v>
      </c>
      <c r="G1686">
        <v>1</v>
      </c>
      <c r="K1686">
        <v>1</v>
      </c>
      <c r="Q1686">
        <v>1</v>
      </c>
      <c r="T1686">
        <v>1</v>
      </c>
      <c r="Y1686">
        <v>1</v>
      </c>
      <c r="AJ1686">
        <f>SUM(Post[[#This Row],[47]:[75]])</f>
        <v>5</v>
      </c>
    </row>
    <row r="1687" spans="1:36" x14ac:dyDescent="0.2">
      <c r="A1687" t="s">
        <v>57</v>
      </c>
      <c r="B1687" t="s">
        <v>54</v>
      </c>
      <c r="C1687">
        <v>12743</v>
      </c>
      <c r="D1687" t="s">
        <v>22</v>
      </c>
      <c r="E1687" t="s">
        <v>10</v>
      </c>
      <c r="F1687" t="s">
        <v>11</v>
      </c>
      <c r="L1687">
        <v>1</v>
      </c>
      <c r="AB1687">
        <v>1</v>
      </c>
      <c r="AJ1687">
        <f>SUM(Post[[#This Row],[47]:[75]])</f>
        <v>2</v>
      </c>
    </row>
    <row r="1688" spans="1:36" x14ac:dyDescent="0.2">
      <c r="A1688" t="s">
        <v>57</v>
      </c>
      <c r="B1688" t="s">
        <v>54</v>
      </c>
      <c r="C1688">
        <v>13535</v>
      </c>
      <c r="D1688" t="s">
        <v>22</v>
      </c>
      <c r="E1688" t="s">
        <v>14</v>
      </c>
      <c r="F1688" t="s">
        <v>20</v>
      </c>
      <c r="K1688">
        <v>1</v>
      </c>
      <c r="Y1688">
        <v>1</v>
      </c>
      <c r="AJ1688">
        <f>SUM(Post[[#This Row],[47]:[75]])</f>
        <v>2</v>
      </c>
    </row>
    <row r="1689" spans="1:36" x14ac:dyDescent="0.2">
      <c r="A1689" t="s">
        <v>57</v>
      </c>
      <c r="B1689" t="s">
        <v>54</v>
      </c>
      <c r="C1689">
        <v>14993</v>
      </c>
      <c r="D1689" t="s">
        <v>22</v>
      </c>
      <c r="E1689" t="s">
        <v>14</v>
      </c>
      <c r="F1689" t="s">
        <v>20</v>
      </c>
      <c r="AJ1689">
        <f>SUM(Post[[#This Row],[47]:[75]])</f>
        <v>0</v>
      </c>
    </row>
    <row r="1690" spans="1:36" x14ac:dyDescent="0.2">
      <c r="A1690" t="s">
        <v>57</v>
      </c>
      <c r="B1690" t="s">
        <v>54</v>
      </c>
      <c r="C1690">
        <v>15086</v>
      </c>
      <c r="D1690" t="s">
        <v>22</v>
      </c>
      <c r="E1690" t="s">
        <v>14</v>
      </c>
      <c r="F1690" t="s">
        <v>20</v>
      </c>
      <c r="AJ1690">
        <f>SUM(Post[[#This Row],[47]:[75]])</f>
        <v>0</v>
      </c>
    </row>
    <row r="1691" spans="1:36" x14ac:dyDescent="0.2">
      <c r="A1691" t="s">
        <v>57</v>
      </c>
      <c r="B1691" t="s">
        <v>54</v>
      </c>
      <c r="C1691">
        <v>16033</v>
      </c>
      <c r="D1691" t="s">
        <v>22</v>
      </c>
      <c r="E1691" t="s">
        <v>14</v>
      </c>
      <c r="F1691" t="s">
        <v>20</v>
      </c>
      <c r="W1691">
        <v>3</v>
      </c>
      <c r="AJ1691">
        <f>SUM(Post[[#This Row],[47]:[75]])</f>
        <v>3</v>
      </c>
    </row>
    <row r="1692" spans="1:36" x14ac:dyDescent="0.2">
      <c r="A1692" t="s">
        <v>57</v>
      </c>
      <c r="B1692" t="s">
        <v>54</v>
      </c>
      <c r="C1692">
        <v>16202</v>
      </c>
      <c r="D1692" t="s">
        <v>22</v>
      </c>
      <c r="E1692" t="s">
        <v>14</v>
      </c>
      <c r="F1692" t="s">
        <v>19</v>
      </c>
      <c r="G1692">
        <v>1</v>
      </c>
      <c r="K1692">
        <v>1</v>
      </c>
      <c r="Q1692">
        <v>1</v>
      </c>
      <c r="U1692">
        <v>1</v>
      </c>
      <c r="AH1692">
        <v>1</v>
      </c>
      <c r="AJ1692">
        <f>SUM(Post[[#This Row],[47]:[75]])</f>
        <v>5</v>
      </c>
    </row>
    <row r="1693" spans="1:36" x14ac:dyDescent="0.2">
      <c r="A1693" t="s">
        <v>57</v>
      </c>
      <c r="B1693" t="s">
        <v>54</v>
      </c>
      <c r="C1693">
        <v>17448</v>
      </c>
      <c r="D1693" t="s">
        <v>22</v>
      </c>
      <c r="E1693" t="s">
        <v>10</v>
      </c>
      <c r="F1693" t="s">
        <v>11</v>
      </c>
      <c r="AE1693">
        <v>1</v>
      </c>
      <c r="AJ1693">
        <f>SUM(Post[[#This Row],[47]:[75]])</f>
        <v>1</v>
      </c>
    </row>
    <row r="1694" spans="1:36" x14ac:dyDescent="0.2">
      <c r="A1694" t="s">
        <v>57</v>
      </c>
      <c r="B1694" t="s">
        <v>54</v>
      </c>
      <c r="C1694">
        <v>17448</v>
      </c>
      <c r="D1694" t="s">
        <v>22</v>
      </c>
      <c r="E1694" t="s">
        <v>14</v>
      </c>
      <c r="F1694" t="s">
        <v>21</v>
      </c>
      <c r="AA1694">
        <v>4</v>
      </c>
      <c r="AJ1694">
        <f>SUM(Post[[#This Row],[47]:[75]])</f>
        <v>4</v>
      </c>
    </row>
    <row r="1695" spans="1:36" x14ac:dyDescent="0.2">
      <c r="A1695" t="s">
        <v>57</v>
      </c>
      <c r="B1695" t="s">
        <v>54</v>
      </c>
      <c r="C1695">
        <v>17950</v>
      </c>
      <c r="D1695" t="s">
        <v>22</v>
      </c>
      <c r="E1695" t="s">
        <v>8</v>
      </c>
      <c r="F1695" t="s">
        <v>23</v>
      </c>
      <c r="R1695">
        <v>1</v>
      </c>
      <c r="AD1695">
        <v>1</v>
      </c>
      <c r="AJ1695">
        <f>SUM(Post[[#This Row],[47]:[75]])</f>
        <v>2</v>
      </c>
    </row>
    <row r="1696" spans="1:36" x14ac:dyDescent="0.2">
      <c r="A1696" t="s">
        <v>57</v>
      </c>
      <c r="B1696" t="s">
        <v>54</v>
      </c>
      <c r="C1696">
        <v>17950</v>
      </c>
      <c r="D1696" t="s">
        <v>22</v>
      </c>
      <c r="E1696" t="s">
        <v>14</v>
      </c>
      <c r="F1696" t="s">
        <v>20</v>
      </c>
      <c r="R1696">
        <v>2</v>
      </c>
      <c r="AD1696">
        <v>1</v>
      </c>
      <c r="AJ1696">
        <f>SUM(Post[[#This Row],[47]:[75]])</f>
        <v>3</v>
      </c>
    </row>
    <row r="1697" spans="1:36" x14ac:dyDescent="0.2">
      <c r="A1697" t="s">
        <v>57</v>
      </c>
      <c r="B1697" t="s">
        <v>54</v>
      </c>
      <c r="C1697">
        <v>18034</v>
      </c>
      <c r="D1697" t="s">
        <v>22</v>
      </c>
      <c r="E1697" t="s">
        <v>8</v>
      </c>
      <c r="F1697" t="s">
        <v>23</v>
      </c>
      <c r="K1697">
        <v>1</v>
      </c>
      <c r="O1697">
        <v>1</v>
      </c>
      <c r="V1697">
        <v>1</v>
      </c>
      <c r="Z1697">
        <v>1</v>
      </c>
      <c r="AD1697">
        <v>1</v>
      </c>
      <c r="AJ1697">
        <f>SUM(Post[[#This Row],[47]:[75]])</f>
        <v>5</v>
      </c>
    </row>
    <row r="1698" spans="1:36" x14ac:dyDescent="0.2">
      <c r="A1698" t="s">
        <v>57</v>
      </c>
      <c r="B1698" t="s">
        <v>54</v>
      </c>
      <c r="C1698">
        <v>18703</v>
      </c>
      <c r="D1698" t="s">
        <v>22</v>
      </c>
      <c r="E1698" t="s">
        <v>14</v>
      </c>
      <c r="F1698" t="s">
        <v>19</v>
      </c>
      <c r="R1698">
        <v>1</v>
      </c>
      <c r="AJ1698">
        <f>SUM(Post[[#This Row],[47]:[75]])</f>
        <v>1</v>
      </c>
    </row>
    <row r="1699" spans="1:36" x14ac:dyDescent="0.2">
      <c r="A1699" t="s">
        <v>57</v>
      </c>
      <c r="B1699" t="s">
        <v>54</v>
      </c>
      <c r="C1699">
        <v>19004</v>
      </c>
      <c r="D1699" t="s">
        <v>22</v>
      </c>
      <c r="E1699" t="s">
        <v>14</v>
      </c>
      <c r="F1699" t="s">
        <v>21</v>
      </c>
      <c r="L1699">
        <v>2</v>
      </c>
      <c r="Q1699">
        <v>1</v>
      </c>
      <c r="U1699">
        <v>1</v>
      </c>
      <c r="X1699">
        <v>2</v>
      </c>
      <c r="AD1699">
        <v>1</v>
      </c>
      <c r="AH1699">
        <v>1</v>
      </c>
      <c r="AJ1699">
        <f>SUM(Post[[#This Row],[47]:[75]])</f>
        <v>8</v>
      </c>
    </row>
    <row r="1700" spans="1:36" x14ac:dyDescent="0.2">
      <c r="A1700" t="s">
        <v>57</v>
      </c>
      <c r="B1700" t="s">
        <v>54</v>
      </c>
      <c r="C1700">
        <v>19954</v>
      </c>
      <c r="D1700" t="s">
        <v>22</v>
      </c>
      <c r="E1700" t="s">
        <v>8</v>
      </c>
      <c r="F1700" t="s">
        <v>30</v>
      </c>
      <c r="AJ1700">
        <f>SUM(Post[[#This Row],[47]:[75]])</f>
        <v>0</v>
      </c>
    </row>
    <row r="1701" spans="1:36" x14ac:dyDescent="0.2">
      <c r="A1701" t="s">
        <v>57</v>
      </c>
      <c r="B1701" t="s">
        <v>54</v>
      </c>
      <c r="C1701">
        <v>21663</v>
      </c>
      <c r="D1701" t="s">
        <v>22</v>
      </c>
      <c r="E1701" t="s">
        <v>14</v>
      </c>
      <c r="F1701" t="s">
        <v>20</v>
      </c>
      <c r="L1701">
        <v>1</v>
      </c>
      <c r="U1701">
        <v>1</v>
      </c>
      <c r="AF1701">
        <v>1</v>
      </c>
      <c r="AJ1701">
        <f>SUM(Post[[#This Row],[47]:[75]])</f>
        <v>3</v>
      </c>
    </row>
    <row r="1702" spans="1:36" x14ac:dyDescent="0.2">
      <c r="A1702" t="s">
        <v>57</v>
      </c>
      <c r="B1702" t="s">
        <v>54</v>
      </c>
      <c r="C1702">
        <v>23766</v>
      </c>
      <c r="D1702" t="s">
        <v>22</v>
      </c>
      <c r="E1702" t="s">
        <v>14</v>
      </c>
      <c r="F1702" t="s">
        <v>35</v>
      </c>
      <c r="W1702">
        <v>1</v>
      </c>
      <c r="AJ1702">
        <f>SUM(Post[[#This Row],[47]:[75]])</f>
        <v>1</v>
      </c>
    </row>
    <row r="1703" spans="1:36" x14ac:dyDescent="0.2">
      <c r="A1703" t="s">
        <v>57</v>
      </c>
      <c r="B1703" t="s">
        <v>54</v>
      </c>
      <c r="C1703">
        <v>23766</v>
      </c>
      <c r="D1703" t="s">
        <v>22</v>
      </c>
      <c r="E1703" t="s">
        <v>14</v>
      </c>
      <c r="F1703" t="s">
        <v>19</v>
      </c>
      <c r="AJ1703">
        <f>SUM(Post[[#This Row],[47]:[75]])</f>
        <v>0</v>
      </c>
    </row>
    <row r="1704" spans="1:36" x14ac:dyDescent="0.2">
      <c r="A1704" t="s">
        <v>57</v>
      </c>
      <c r="B1704" t="s">
        <v>54</v>
      </c>
      <c r="C1704">
        <v>26610</v>
      </c>
      <c r="D1704" t="s">
        <v>22</v>
      </c>
      <c r="E1704" t="s">
        <v>14</v>
      </c>
      <c r="F1704" t="s">
        <v>19</v>
      </c>
      <c r="AJ1704">
        <f>SUM(Post[[#This Row],[47]:[75]])</f>
        <v>0</v>
      </c>
    </row>
    <row r="1705" spans="1:36" x14ac:dyDescent="0.2">
      <c r="A1705" t="s">
        <v>57</v>
      </c>
      <c r="B1705" t="s">
        <v>54</v>
      </c>
      <c r="C1705">
        <v>26610</v>
      </c>
      <c r="D1705" t="s">
        <v>22</v>
      </c>
      <c r="E1705" t="s">
        <v>14</v>
      </c>
      <c r="F1705" t="s">
        <v>21</v>
      </c>
      <c r="AJ1705">
        <f>SUM(Post[[#This Row],[47]:[75]])</f>
        <v>0</v>
      </c>
    </row>
    <row r="1706" spans="1:36" x14ac:dyDescent="0.2">
      <c r="A1706" t="s">
        <v>57</v>
      </c>
      <c r="B1706" t="s">
        <v>54</v>
      </c>
      <c r="C1706">
        <v>26839</v>
      </c>
      <c r="D1706" t="s">
        <v>22</v>
      </c>
      <c r="E1706" t="s">
        <v>14</v>
      </c>
      <c r="F1706" t="s">
        <v>21</v>
      </c>
      <c r="N1706">
        <v>1</v>
      </c>
      <c r="R1706">
        <v>1</v>
      </c>
      <c r="V1706">
        <v>2</v>
      </c>
      <c r="AJ1706">
        <f>SUM(Post[[#This Row],[47]:[75]])</f>
        <v>4</v>
      </c>
    </row>
    <row r="1707" spans="1:36" x14ac:dyDescent="0.2">
      <c r="A1707" t="s">
        <v>57</v>
      </c>
      <c r="B1707" t="s">
        <v>54</v>
      </c>
      <c r="C1707">
        <v>27144</v>
      </c>
      <c r="D1707" t="s">
        <v>22</v>
      </c>
      <c r="E1707" t="s">
        <v>14</v>
      </c>
      <c r="F1707" t="s">
        <v>31</v>
      </c>
      <c r="U1707">
        <v>1</v>
      </c>
      <c r="AB1707">
        <v>1</v>
      </c>
      <c r="AJ1707">
        <f>SUM(Post[[#This Row],[47]:[75]])</f>
        <v>2</v>
      </c>
    </row>
    <row r="1708" spans="1:36" x14ac:dyDescent="0.2">
      <c r="A1708" t="s">
        <v>57</v>
      </c>
      <c r="B1708" t="s">
        <v>54</v>
      </c>
      <c r="C1708">
        <v>28140</v>
      </c>
      <c r="D1708" t="s">
        <v>22</v>
      </c>
      <c r="E1708" t="s">
        <v>14</v>
      </c>
      <c r="F1708" t="s">
        <v>19</v>
      </c>
      <c r="G1708">
        <v>1</v>
      </c>
      <c r="K1708">
        <v>1</v>
      </c>
      <c r="O1708">
        <v>1</v>
      </c>
      <c r="AD1708">
        <v>1</v>
      </c>
      <c r="AE1708">
        <v>1</v>
      </c>
      <c r="AJ1708">
        <f>SUM(Post[[#This Row],[47]:[75]])</f>
        <v>5</v>
      </c>
    </row>
    <row r="1709" spans="1:36" x14ac:dyDescent="0.2">
      <c r="A1709" t="s">
        <v>57</v>
      </c>
      <c r="B1709" t="s">
        <v>54</v>
      </c>
      <c r="C1709">
        <v>28572</v>
      </c>
      <c r="D1709" t="s">
        <v>22</v>
      </c>
      <c r="E1709" t="s">
        <v>14</v>
      </c>
      <c r="F1709" t="s">
        <v>19</v>
      </c>
      <c r="T1709">
        <v>1</v>
      </c>
      <c r="AJ1709">
        <f>SUM(Post[[#This Row],[47]:[75]])</f>
        <v>1</v>
      </c>
    </row>
    <row r="1710" spans="1:36" x14ac:dyDescent="0.2">
      <c r="A1710" t="s">
        <v>57</v>
      </c>
      <c r="B1710" t="s">
        <v>54</v>
      </c>
      <c r="C1710">
        <v>29950</v>
      </c>
      <c r="D1710" t="s">
        <v>22</v>
      </c>
      <c r="E1710" t="s">
        <v>8</v>
      </c>
      <c r="F1710" t="s">
        <v>23</v>
      </c>
      <c r="AJ1710">
        <f>SUM(Post[[#This Row],[47]:[75]])</f>
        <v>0</v>
      </c>
    </row>
    <row r="1711" spans="1:36" x14ac:dyDescent="0.2">
      <c r="A1711" t="s">
        <v>57</v>
      </c>
      <c r="B1711" t="s">
        <v>54</v>
      </c>
      <c r="C1711">
        <v>30421</v>
      </c>
      <c r="D1711" t="s">
        <v>22</v>
      </c>
      <c r="E1711" t="s">
        <v>14</v>
      </c>
      <c r="F1711" t="s">
        <v>15</v>
      </c>
      <c r="T1711">
        <v>2</v>
      </c>
      <c r="AF1711">
        <v>1</v>
      </c>
      <c r="AJ1711">
        <f>SUM(Post[[#This Row],[47]:[75]])</f>
        <v>3</v>
      </c>
    </row>
    <row r="1712" spans="1:36" x14ac:dyDescent="0.2">
      <c r="A1712" t="s">
        <v>57</v>
      </c>
      <c r="B1712" t="s">
        <v>54</v>
      </c>
      <c r="C1712">
        <v>30441</v>
      </c>
      <c r="D1712" t="s">
        <v>22</v>
      </c>
      <c r="E1712" t="s">
        <v>10</v>
      </c>
      <c r="F1712" t="s">
        <v>11</v>
      </c>
      <c r="N1712">
        <v>2</v>
      </c>
      <c r="AJ1712">
        <f>SUM(Post[[#This Row],[47]:[75]])</f>
        <v>2</v>
      </c>
    </row>
    <row r="1713" spans="1:36" x14ac:dyDescent="0.2">
      <c r="A1713" t="s">
        <v>57</v>
      </c>
      <c r="B1713" t="s">
        <v>54</v>
      </c>
      <c r="C1713">
        <v>30441</v>
      </c>
      <c r="D1713" t="s">
        <v>22</v>
      </c>
      <c r="E1713" t="s">
        <v>14</v>
      </c>
      <c r="F1713" t="s">
        <v>21</v>
      </c>
      <c r="AJ1713">
        <f>SUM(Post[[#This Row],[47]:[75]])</f>
        <v>0</v>
      </c>
    </row>
    <row r="1714" spans="1:36" x14ac:dyDescent="0.2">
      <c r="A1714" t="s">
        <v>57</v>
      </c>
      <c r="B1714" t="s">
        <v>54</v>
      </c>
      <c r="C1714">
        <v>32634</v>
      </c>
      <c r="D1714" t="s">
        <v>22</v>
      </c>
      <c r="E1714" t="s">
        <v>14</v>
      </c>
      <c r="F1714" t="s">
        <v>35</v>
      </c>
      <c r="AJ1714">
        <f>SUM(Post[[#This Row],[47]:[75]])</f>
        <v>0</v>
      </c>
    </row>
    <row r="1715" spans="1:36" x14ac:dyDescent="0.2">
      <c r="A1715" t="s">
        <v>57</v>
      </c>
      <c r="B1715" t="s">
        <v>54</v>
      </c>
      <c r="C1715">
        <v>32709</v>
      </c>
      <c r="D1715" t="s">
        <v>22</v>
      </c>
      <c r="E1715" t="s">
        <v>14</v>
      </c>
      <c r="F1715" t="s">
        <v>21</v>
      </c>
      <c r="J1715">
        <v>1</v>
      </c>
      <c r="V1715">
        <v>1</v>
      </c>
      <c r="AJ1715">
        <f>SUM(Post[[#This Row],[47]:[75]])</f>
        <v>2</v>
      </c>
    </row>
    <row r="1716" spans="1:36" x14ac:dyDescent="0.2">
      <c r="A1716" t="s">
        <v>57</v>
      </c>
      <c r="B1716" t="s">
        <v>54</v>
      </c>
      <c r="C1716">
        <v>33120</v>
      </c>
      <c r="D1716" t="s">
        <v>22</v>
      </c>
      <c r="E1716" t="s">
        <v>14</v>
      </c>
      <c r="F1716" t="s">
        <v>19</v>
      </c>
      <c r="AE1716">
        <v>1</v>
      </c>
      <c r="AJ1716">
        <f>SUM(Post[[#This Row],[47]:[75]])</f>
        <v>1</v>
      </c>
    </row>
    <row r="1717" spans="1:36" x14ac:dyDescent="0.2">
      <c r="A1717" t="s">
        <v>57</v>
      </c>
      <c r="B1717" t="s">
        <v>54</v>
      </c>
      <c r="C1717">
        <v>33263</v>
      </c>
      <c r="D1717" t="s">
        <v>22</v>
      </c>
      <c r="E1717" t="s">
        <v>14</v>
      </c>
      <c r="F1717" t="s">
        <v>20</v>
      </c>
      <c r="P1717">
        <v>1</v>
      </c>
      <c r="AB1717">
        <v>1</v>
      </c>
      <c r="AJ1717">
        <f>SUM(Post[[#This Row],[47]:[75]])</f>
        <v>2</v>
      </c>
    </row>
    <row r="1718" spans="1:36" x14ac:dyDescent="0.2">
      <c r="A1718" t="s">
        <v>57</v>
      </c>
      <c r="B1718" t="s">
        <v>54</v>
      </c>
      <c r="C1718">
        <v>33715</v>
      </c>
      <c r="D1718" t="s">
        <v>22</v>
      </c>
      <c r="E1718" t="s">
        <v>8</v>
      </c>
      <c r="F1718" t="s">
        <v>9</v>
      </c>
      <c r="O1718">
        <v>1</v>
      </c>
      <c r="U1718">
        <v>1</v>
      </c>
      <c r="AH1718">
        <v>1</v>
      </c>
      <c r="AJ1718">
        <f>SUM(Post[[#This Row],[47]:[75]])</f>
        <v>3</v>
      </c>
    </row>
    <row r="1719" spans="1:36" x14ac:dyDescent="0.2">
      <c r="A1719" t="s">
        <v>57</v>
      </c>
      <c r="B1719" t="s">
        <v>54</v>
      </c>
      <c r="C1719">
        <v>7733</v>
      </c>
      <c r="D1719" t="s">
        <v>7</v>
      </c>
      <c r="E1719" t="s">
        <v>14</v>
      </c>
      <c r="F1719" t="s">
        <v>35</v>
      </c>
      <c r="AJ1719">
        <f>SUM(Post[[#This Row],[47]:[75]])</f>
        <v>0</v>
      </c>
    </row>
    <row r="1720" spans="1:36" x14ac:dyDescent="0.2">
      <c r="A1720" t="s">
        <v>57</v>
      </c>
      <c r="B1720" t="s">
        <v>54</v>
      </c>
      <c r="C1720">
        <v>7733</v>
      </c>
      <c r="D1720" t="s">
        <v>7</v>
      </c>
      <c r="E1720" t="s">
        <v>14</v>
      </c>
      <c r="F1720" t="s">
        <v>21</v>
      </c>
      <c r="O1720">
        <v>1</v>
      </c>
      <c r="Z1720">
        <v>1</v>
      </c>
      <c r="AJ1720">
        <f>SUM(Post[[#This Row],[47]:[75]])</f>
        <v>2</v>
      </c>
    </row>
    <row r="1721" spans="1:36" x14ac:dyDescent="0.2">
      <c r="A1721" t="s">
        <v>57</v>
      </c>
      <c r="B1721" t="s">
        <v>54</v>
      </c>
      <c r="C1721">
        <v>23767</v>
      </c>
      <c r="D1721" t="s">
        <v>7</v>
      </c>
      <c r="E1721" t="s">
        <v>10</v>
      </c>
      <c r="F1721" t="s">
        <v>11</v>
      </c>
      <c r="AJ1721">
        <f>SUM(Post[[#This Row],[47]:[75]])</f>
        <v>0</v>
      </c>
    </row>
    <row r="1722" spans="1:36" x14ac:dyDescent="0.2">
      <c r="A1722" t="s">
        <v>57</v>
      </c>
      <c r="B1722" t="s">
        <v>54</v>
      </c>
      <c r="C1722">
        <v>26365</v>
      </c>
      <c r="D1722" t="s">
        <v>7</v>
      </c>
      <c r="E1722" t="s">
        <v>14</v>
      </c>
      <c r="F1722" t="s">
        <v>31</v>
      </c>
      <c r="Q1722">
        <v>1</v>
      </c>
      <c r="AC1722">
        <v>1</v>
      </c>
      <c r="AJ1722">
        <f>SUM(Post[[#This Row],[47]:[75]])</f>
        <v>2</v>
      </c>
    </row>
    <row r="1723" spans="1:36" x14ac:dyDescent="0.2">
      <c r="A1723" t="s">
        <v>57</v>
      </c>
      <c r="B1723" t="s">
        <v>54</v>
      </c>
      <c r="C1723">
        <v>29000</v>
      </c>
      <c r="D1723" t="s">
        <v>7</v>
      </c>
      <c r="E1723" t="s">
        <v>32</v>
      </c>
      <c r="F1723" t="s">
        <v>33</v>
      </c>
      <c r="L1723">
        <v>1</v>
      </c>
      <c r="S1723">
        <v>1</v>
      </c>
      <c r="W1723">
        <v>1</v>
      </c>
      <c r="AJ1723">
        <f>SUM(Post[[#This Row],[47]:[75]])</f>
        <v>3</v>
      </c>
    </row>
    <row r="1724" spans="1:36" x14ac:dyDescent="0.2">
      <c r="A1724" t="s">
        <v>57</v>
      </c>
      <c r="B1724" t="s">
        <v>54</v>
      </c>
      <c r="C1724">
        <v>19857</v>
      </c>
      <c r="D1724" t="s">
        <v>22</v>
      </c>
      <c r="E1724" t="s">
        <v>14</v>
      </c>
      <c r="F1724" t="s">
        <v>28</v>
      </c>
      <c r="AJ1724">
        <f>SUM(Post[[#This Row],[47]:[75]])</f>
        <v>0</v>
      </c>
    </row>
    <row r="1725" spans="1:36" x14ac:dyDescent="0.2">
      <c r="A1725" t="s">
        <v>57</v>
      </c>
      <c r="B1725" t="s">
        <v>54</v>
      </c>
      <c r="C1725">
        <v>1132</v>
      </c>
      <c r="D1725" t="s">
        <v>7</v>
      </c>
      <c r="E1725" t="s">
        <v>14</v>
      </c>
      <c r="F1725" t="s">
        <v>20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J1725">
        <f>SUM(Post[[#This Row],[47]:[75]])</f>
        <v>27</v>
      </c>
    </row>
    <row r="1726" spans="1:36" x14ac:dyDescent="0.2">
      <c r="A1726" t="s">
        <v>57</v>
      </c>
      <c r="B1726" t="s">
        <v>54</v>
      </c>
      <c r="C1726">
        <v>2109</v>
      </c>
      <c r="D1726" t="s">
        <v>7</v>
      </c>
      <c r="E1726" t="s">
        <v>14</v>
      </c>
      <c r="F1726" t="s">
        <v>19</v>
      </c>
      <c r="I1726">
        <v>1</v>
      </c>
      <c r="W1726">
        <v>1</v>
      </c>
      <c r="AJ1726">
        <f>SUM(Post[[#This Row],[47]:[75]])</f>
        <v>2</v>
      </c>
    </row>
    <row r="1727" spans="1:36" x14ac:dyDescent="0.2">
      <c r="A1727" t="s">
        <v>57</v>
      </c>
      <c r="B1727" t="s">
        <v>54</v>
      </c>
      <c r="C1727">
        <v>2833</v>
      </c>
      <c r="D1727" t="s">
        <v>7</v>
      </c>
      <c r="E1727" t="s">
        <v>10</v>
      </c>
      <c r="F1727" t="s">
        <v>11</v>
      </c>
      <c r="S1727">
        <v>1</v>
      </c>
      <c r="AJ1727">
        <f>SUM(Post[[#This Row],[47]:[75]])</f>
        <v>1</v>
      </c>
    </row>
    <row r="1728" spans="1:36" x14ac:dyDescent="0.2">
      <c r="A1728" t="s">
        <v>57</v>
      </c>
      <c r="B1728" t="s">
        <v>54</v>
      </c>
      <c r="C1728">
        <v>4208</v>
      </c>
      <c r="D1728" t="s">
        <v>7</v>
      </c>
      <c r="E1728" t="s">
        <v>14</v>
      </c>
      <c r="F1728" t="s">
        <v>31</v>
      </c>
      <c r="O1728">
        <v>1</v>
      </c>
      <c r="AJ1728">
        <f>SUM(Post[[#This Row],[47]:[75]])</f>
        <v>1</v>
      </c>
    </row>
    <row r="1729" spans="1:36" x14ac:dyDescent="0.2">
      <c r="A1729" t="s">
        <v>57</v>
      </c>
      <c r="B1729" t="s">
        <v>54</v>
      </c>
      <c r="C1729">
        <v>5567</v>
      </c>
      <c r="D1729" t="s">
        <v>7</v>
      </c>
      <c r="E1729" t="s">
        <v>17</v>
      </c>
      <c r="F1729" t="s">
        <v>18</v>
      </c>
      <c r="AJ1729">
        <f>SUM(Post[[#This Row],[47]:[75]])</f>
        <v>0</v>
      </c>
    </row>
    <row r="1730" spans="1:36" x14ac:dyDescent="0.2">
      <c r="A1730" t="s">
        <v>57</v>
      </c>
      <c r="B1730" t="s">
        <v>54</v>
      </c>
      <c r="C1730">
        <v>5567</v>
      </c>
      <c r="D1730" t="s">
        <v>7</v>
      </c>
      <c r="E1730" t="s">
        <v>14</v>
      </c>
      <c r="F1730" t="s">
        <v>21</v>
      </c>
      <c r="AJ1730">
        <f>SUM(Post[[#This Row],[47]:[75]])</f>
        <v>0</v>
      </c>
    </row>
    <row r="1731" spans="1:36" x14ac:dyDescent="0.2">
      <c r="A1731" t="s">
        <v>57</v>
      </c>
      <c r="B1731" t="s">
        <v>54</v>
      </c>
      <c r="C1731">
        <v>33808</v>
      </c>
      <c r="D1731" t="s">
        <v>7</v>
      </c>
      <c r="E1731" t="s">
        <v>14</v>
      </c>
      <c r="F1731" t="s">
        <v>20</v>
      </c>
      <c r="U1731">
        <v>1</v>
      </c>
      <c r="AH1731">
        <v>1</v>
      </c>
      <c r="AJ1731">
        <f>SUM(Post[[#This Row],[47]:[75]])</f>
        <v>2</v>
      </c>
    </row>
    <row r="1732" spans="1:36" x14ac:dyDescent="0.2">
      <c r="A1732" t="s">
        <v>57</v>
      </c>
      <c r="B1732" t="s">
        <v>54</v>
      </c>
      <c r="C1732">
        <v>4449</v>
      </c>
      <c r="D1732" t="s">
        <v>22</v>
      </c>
      <c r="E1732" t="s">
        <v>14</v>
      </c>
      <c r="F1732" t="s">
        <v>21</v>
      </c>
      <c r="K1732">
        <v>2</v>
      </c>
      <c r="X1732">
        <v>2</v>
      </c>
      <c r="AJ1732">
        <f>SUM(Post[[#This Row],[47]:[75]])</f>
        <v>4</v>
      </c>
    </row>
    <row r="1733" spans="1:36" x14ac:dyDescent="0.2">
      <c r="A1733" t="s">
        <v>57</v>
      </c>
      <c r="B1733" t="s">
        <v>54</v>
      </c>
      <c r="C1733">
        <v>5055</v>
      </c>
      <c r="D1733" t="s">
        <v>22</v>
      </c>
      <c r="E1733" t="s">
        <v>14</v>
      </c>
      <c r="F1733" t="s">
        <v>19</v>
      </c>
      <c r="AJ1733">
        <f>SUM(Post[[#This Row],[47]:[75]])</f>
        <v>0</v>
      </c>
    </row>
    <row r="1734" spans="1:36" x14ac:dyDescent="0.2">
      <c r="A1734" t="s">
        <v>57</v>
      </c>
      <c r="B1734" t="s">
        <v>54</v>
      </c>
      <c r="C1734">
        <v>5055</v>
      </c>
      <c r="D1734" t="s">
        <v>22</v>
      </c>
      <c r="E1734" t="s">
        <v>14</v>
      </c>
      <c r="F1734" t="s">
        <v>20</v>
      </c>
      <c r="AJ1734">
        <f>SUM(Post[[#This Row],[47]:[75]])</f>
        <v>0</v>
      </c>
    </row>
    <row r="1735" spans="1:36" x14ac:dyDescent="0.2">
      <c r="A1735" t="s">
        <v>57</v>
      </c>
      <c r="B1735" t="s">
        <v>54</v>
      </c>
      <c r="C1735">
        <v>14912</v>
      </c>
      <c r="D1735" t="s">
        <v>22</v>
      </c>
      <c r="E1735" t="s">
        <v>14</v>
      </c>
      <c r="F1735" t="s">
        <v>31</v>
      </c>
      <c r="G1735">
        <v>1</v>
      </c>
      <c r="P1735">
        <v>1</v>
      </c>
      <c r="AC1735">
        <v>1</v>
      </c>
      <c r="AJ1735">
        <f>SUM(Post[[#This Row],[47]:[75]])</f>
        <v>3</v>
      </c>
    </row>
    <row r="1736" spans="1:36" x14ac:dyDescent="0.2">
      <c r="A1736" t="s">
        <v>57</v>
      </c>
      <c r="B1736" t="s">
        <v>54</v>
      </c>
      <c r="C1736">
        <v>30019</v>
      </c>
      <c r="D1736" t="s">
        <v>22</v>
      </c>
      <c r="E1736" t="s">
        <v>14</v>
      </c>
      <c r="F1736" t="s">
        <v>31</v>
      </c>
      <c r="L1736">
        <v>1</v>
      </c>
      <c r="Q1736">
        <v>1</v>
      </c>
      <c r="AF1736">
        <v>1</v>
      </c>
      <c r="AJ1736">
        <f>SUM(Post[[#This Row],[47]:[75]])</f>
        <v>3</v>
      </c>
    </row>
    <row r="1737" spans="1:36" x14ac:dyDescent="0.2">
      <c r="A1737" t="s">
        <v>57</v>
      </c>
      <c r="B1737" t="s">
        <v>54</v>
      </c>
      <c r="C1737">
        <v>30019</v>
      </c>
      <c r="D1737" t="s">
        <v>22</v>
      </c>
      <c r="E1737" t="s">
        <v>14</v>
      </c>
      <c r="F1737" t="s">
        <v>19</v>
      </c>
      <c r="H1737">
        <v>1</v>
      </c>
      <c r="AJ1737">
        <f>SUM(Post[[#This Row],[47]:[75]])</f>
        <v>1</v>
      </c>
    </row>
    <row r="1738" spans="1:36" x14ac:dyDescent="0.2">
      <c r="A1738" t="s">
        <v>57</v>
      </c>
      <c r="B1738" t="s">
        <v>54</v>
      </c>
      <c r="C1738">
        <v>11345</v>
      </c>
      <c r="D1738" t="s">
        <v>7</v>
      </c>
      <c r="E1738" t="s">
        <v>10</v>
      </c>
      <c r="F1738" t="s">
        <v>11</v>
      </c>
      <c r="S1738">
        <v>1</v>
      </c>
      <c r="T1738">
        <v>1</v>
      </c>
      <c r="U1738">
        <v>2</v>
      </c>
      <c r="V1738">
        <v>1</v>
      </c>
      <c r="W1738">
        <v>1</v>
      </c>
      <c r="X1738">
        <v>2</v>
      </c>
      <c r="AC1738">
        <v>1</v>
      </c>
      <c r="AF1738">
        <v>1</v>
      </c>
      <c r="AJ1738">
        <f>SUM(Post[[#This Row],[47]:[75]])</f>
        <v>10</v>
      </c>
    </row>
    <row r="1739" spans="1:36" x14ac:dyDescent="0.2">
      <c r="A1739" t="s">
        <v>57</v>
      </c>
      <c r="B1739" t="s">
        <v>54</v>
      </c>
      <c r="C1739">
        <v>962</v>
      </c>
      <c r="D1739" t="s">
        <v>22</v>
      </c>
      <c r="E1739" t="s">
        <v>10</v>
      </c>
      <c r="F1739" t="s">
        <v>11</v>
      </c>
      <c r="Q1739">
        <v>1</v>
      </c>
      <c r="AJ1739">
        <f>SUM(Post[[#This Row],[47]:[75]])</f>
        <v>1</v>
      </c>
    </row>
    <row r="1740" spans="1:36" x14ac:dyDescent="0.2">
      <c r="A1740" t="s">
        <v>57</v>
      </c>
      <c r="B1740" t="s">
        <v>54</v>
      </c>
      <c r="C1740">
        <v>5989</v>
      </c>
      <c r="D1740" t="s">
        <v>22</v>
      </c>
      <c r="E1740" t="s">
        <v>10</v>
      </c>
      <c r="F1740" t="s">
        <v>11</v>
      </c>
      <c r="Q1740">
        <v>1</v>
      </c>
      <c r="AJ1740">
        <f>SUM(Post[[#This Row],[47]:[75]])</f>
        <v>1</v>
      </c>
    </row>
    <row r="1741" spans="1:36" x14ac:dyDescent="0.2">
      <c r="A1741" t="s">
        <v>57</v>
      </c>
      <c r="B1741" t="s">
        <v>54</v>
      </c>
      <c r="C1741">
        <v>27592</v>
      </c>
      <c r="D1741" t="s">
        <v>22</v>
      </c>
      <c r="E1741" t="s">
        <v>14</v>
      </c>
      <c r="F1741" t="s">
        <v>31</v>
      </c>
      <c r="H1741">
        <v>1</v>
      </c>
      <c r="V1741">
        <v>1</v>
      </c>
      <c r="AH1741">
        <v>1</v>
      </c>
      <c r="AJ1741">
        <f>SUM(Post[[#This Row],[47]:[75]])</f>
        <v>3</v>
      </c>
    </row>
    <row r="1742" spans="1:36" x14ac:dyDescent="0.2">
      <c r="A1742" t="s">
        <v>57</v>
      </c>
      <c r="B1742" t="s">
        <v>54</v>
      </c>
      <c r="C1742">
        <v>28806</v>
      </c>
      <c r="D1742" t="s">
        <v>22</v>
      </c>
      <c r="E1742" t="s">
        <v>10</v>
      </c>
      <c r="F1742" t="s">
        <v>11</v>
      </c>
      <c r="H1742">
        <v>2</v>
      </c>
      <c r="P1742">
        <v>1</v>
      </c>
      <c r="AB1742">
        <v>1</v>
      </c>
      <c r="AJ1742">
        <f>SUM(Post[[#This Row],[47]:[75]])</f>
        <v>4</v>
      </c>
    </row>
    <row r="1743" spans="1:36" x14ac:dyDescent="0.2">
      <c r="A1743" t="s">
        <v>57</v>
      </c>
      <c r="B1743" t="s">
        <v>54</v>
      </c>
      <c r="C1743">
        <v>9356</v>
      </c>
      <c r="D1743" t="s">
        <v>7</v>
      </c>
      <c r="E1743" t="s">
        <v>14</v>
      </c>
      <c r="F1743" t="s">
        <v>21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f>SUM(Post[[#This Row],[47]:[75]])</f>
        <v>29</v>
      </c>
    </row>
    <row r="1744" spans="1:36" x14ac:dyDescent="0.2">
      <c r="A1744" t="s">
        <v>57</v>
      </c>
      <c r="B1744" t="s">
        <v>54</v>
      </c>
      <c r="C1744">
        <v>20479</v>
      </c>
      <c r="D1744" t="s">
        <v>7</v>
      </c>
      <c r="E1744" t="s">
        <v>14</v>
      </c>
      <c r="F1744" t="s">
        <v>21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J1744">
        <f>SUM(Post[[#This Row],[47]:[75]])</f>
        <v>27</v>
      </c>
    </row>
    <row r="1745" spans="1:36" x14ac:dyDescent="0.2">
      <c r="A1745" t="s">
        <v>57</v>
      </c>
      <c r="B1745" t="s">
        <v>54</v>
      </c>
      <c r="C1745">
        <v>221</v>
      </c>
      <c r="D1745" t="s">
        <v>22</v>
      </c>
      <c r="E1745" t="s">
        <v>14</v>
      </c>
      <c r="F1745" t="s">
        <v>20</v>
      </c>
      <c r="H1745">
        <v>2</v>
      </c>
      <c r="W1745">
        <v>1</v>
      </c>
      <c r="AJ1745">
        <f>SUM(Post[[#This Row],[47]:[75]])</f>
        <v>3</v>
      </c>
    </row>
    <row r="1746" spans="1:36" x14ac:dyDescent="0.2">
      <c r="A1746" t="s">
        <v>57</v>
      </c>
      <c r="B1746" t="s">
        <v>54</v>
      </c>
      <c r="C1746">
        <v>613</v>
      </c>
      <c r="D1746" t="s">
        <v>22</v>
      </c>
      <c r="E1746" t="s">
        <v>10</v>
      </c>
      <c r="F1746" t="s">
        <v>11</v>
      </c>
      <c r="J1746">
        <v>1</v>
      </c>
      <c r="S1746">
        <v>1</v>
      </c>
      <c r="AB1746">
        <v>1</v>
      </c>
      <c r="AJ1746">
        <f>SUM(Post[[#This Row],[47]:[75]])</f>
        <v>3</v>
      </c>
    </row>
    <row r="1747" spans="1:36" x14ac:dyDescent="0.2">
      <c r="A1747" t="s">
        <v>57</v>
      </c>
      <c r="B1747" t="s">
        <v>54</v>
      </c>
      <c r="C1747">
        <v>3962</v>
      </c>
      <c r="D1747" t="s">
        <v>22</v>
      </c>
      <c r="E1747" t="s">
        <v>14</v>
      </c>
      <c r="F1747" t="s">
        <v>31</v>
      </c>
      <c r="I1747">
        <v>1</v>
      </c>
      <c r="AJ1747">
        <f>SUM(Post[[#This Row],[47]:[75]])</f>
        <v>1</v>
      </c>
    </row>
    <row r="1748" spans="1:36" x14ac:dyDescent="0.2">
      <c r="A1748" t="s">
        <v>57</v>
      </c>
      <c r="B1748" t="s">
        <v>54</v>
      </c>
      <c r="C1748">
        <v>3962</v>
      </c>
      <c r="D1748" t="s">
        <v>22</v>
      </c>
      <c r="E1748" t="s">
        <v>14</v>
      </c>
      <c r="F1748" t="s">
        <v>28</v>
      </c>
      <c r="AJ1748">
        <f>SUM(Post[[#This Row],[47]:[75]])</f>
        <v>0</v>
      </c>
    </row>
    <row r="1749" spans="1:36" x14ac:dyDescent="0.2">
      <c r="A1749" t="s">
        <v>57</v>
      </c>
      <c r="B1749" t="s">
        <v>54</v>
      </c>
      <c r="C1749">
        <v>3962</v>
      </c>
      <c r="D1749" t="s">
        <v>22</v>
      </c>
      <c r="E1749" t="s">
        <v>14</v>
      </c>
      <c r="F1749" t="s">
        <v>19</v>
      </c>
      <c r="AC1749">
        <v>1</v>
      </c>
      <c r="AJ1749">
        <f>SUM(Post[[#This Row],[47]:[75]])</f>
        <v>1</v>
      </c>
    </row>
    <row r="1750" spans="1:36" x14ac:dyDescent="0.2">
      <c r="A1750" t="s">
        <v>57</v>
      </c>
      <c r="B1750" t="s">
        <v>54</v>
      </c>
      <c r="C1750">
        <v>8420</v>
      </c>
      <c r="D1750" t="s">
        <v>22</v>
      </c>
      <c r="E1750" t="s">
        <v>14</v>
      </c>
      <c r="F1750" t="s">
        <v>35</v>
      </c>
      <c r="G1750">
        <v>1</v>
      </c>
      <c r="K1750">
        <v>1</v>
      </c>
      <c r="P1750">
        <v>2</v>
      </c>
      <c r="T1750">
        <v>1</v>
      </c>
      <c r="X1750">
        <v>2</v>
      </c>
      <c r="AJ1750">
        <f>SUM(Post[[#This Row],[47]:[75]])</f>
        <v>7</v>
      </c>
    </row>
    <row r="1751" spans="1:36" x14ac:dyDescent="0.2">
      <c r="A1751" t="s">
        <v>57</v>
      </c>
      <c r="B1751" t="s">
        <v>54</v>
      </c>
      <c r="C1751">
        <v>9464</v>
      </c>
      <c r="D1751" t="s">
        <v>22</v>
      </c>
      <c r="E1751" t="s">
        <v>14</v>
      </c>
      <c r="F1751" t="s">
        <v>20</v>
      </c>
      <c r="Q1751">
        <v>1</v>
      </c>
      <c r="AD1751">
        <v>1</v>
      </c>
      <c r="AJ1751">
        <f>SUM(Post[[#This Row],[47]:[75]])</f>
        <v>2</v>
      </c>
    </row>
    <row r="1752" spans="1:36" x14ac:dyDescent="0.2">
      <c r="A1752" t="s">
        <v>57</v>
      </c>
      <c r="B1752" t="s">
        <v>54</v>
      </c>
      <c r="C1752">
        <v>13383</v>
      </c>
      <c r="D1752" t="s">
        <v>22</v>
      </c>
      <c r="E1752" t="s">
        <v>10</v>
      </c>
      <c r="F1752" t="s">
        <v>11</v>
      </c>
      <c r="G1752">
        <v>1</v>
      </c>
      <c r="H1752">
        <v>1</v>
      </c>
      <c r="I1752">
        <v>1</v>
      </c>
      <c r="J1752">
        <v>3</v>
      </c>
      <c r="L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2</v>
      </c>
      <c r="W1752">
        <v>2</v>
      </c>
      <c r="X1752">
        <v>1</v>
      </c>
      <c r="Y1752">
        <v>2</v>
      </c>
      <c r="Z1752">
        <v>1</v>
      </c>
      <c r="AA1752">
        <v>1</v>
      </c>
      <c r="AB1752">
        <v>1</v>
      </c>
      <c r="AC1752">
        <v>1</v>
      </c>
      <c r="AD1752">
        <v>1</v>
      </c>
      <c r="AF1752">
        <v>1</v>
      </c>
      <c r="AG1752">
        <v>1</v>
      </c>
      <c r="AI1752">
        <v>1</v>
      </c>
      <c r="AJ1752">
        <f>SUM(Post[[#This Row],[47]:[75]])</f>
        <v>28</v>
      </c>
    </row>
    <row r="1753" spans="1:36" x14ac:dyDescent="0.2">
      <c r="A1753" t="s">
        <v>57</v>
      </c>
      <c r="B1753" t="s">
        <v>54</v>
      </c>
      <c r="C1753">
        <v>18034</v>
      </c>
      <c r="D1753" t="s">
        <v>22</v>
      </c>
      <c r="E1753" t="s">
        <v>10</v>
      </c>
      <c r="F1753" t="s">
        <v>11</v>
      </c>
      <c r="K1753">
        <v>1</v>
      </c>
      <c r="O1753">
        <v>1</v>
      </c>
      <c r="V1753">
        <v>1</v>
      </c>
      <c r="Z1753">
        <v>1</v>
      </c>
      <c r="AD1753">
        <v>1</v>
      </c>
      <c r="AJ1753">
        <f>SUM(Post[[#This Row],[47]:[75]])</f>
        <v>5</v>
      </c>
    </row>
    <row r="1754" spans="1:36" x14ac:dyDescent="0.2">
      <c r="A1754" t="s">
        <v>57</v>
      </c>
      <c r="B1754" t="s">
        <v>54</v>
      </c>
      <c r="C1754">
        <v>29950</v>
      </c>
      <c r="D1754" t="s">
        <v>22</v>
      </c>
      <c r="E1754" t="s">
        <v>10</v>
      </c>
      <c r="F1754" t="s">
        <v>11</v>
      </c>
      <c r="AH1754">
        <v>1</v>
      </c>
      <c r="AJ1754">
        <f>SUM(Post[[#This Row],[47]:[75]])</f>
        <v>1</v>
      </c>
    </row>
    <row r="1755" spans="1:36" x14ac:dyDescent="0.2">
      <c r="A1755" t="s">
        <v>57</v>
      </c>
      <c r="B1755" t="s">
        <v>54</v>
      </c>
      <c r="C1755">
        <v>33715</v>
      </c>
      <c r="D1755" t="s">
        <v>22</v>
      </c>
      <c r="E1755" t="s">
        <v>10</v>
      </c>
      <c r="F1755" t="s">
        <v>11</v>
      </c>
      <c r="AJ1755">
        <f>SUM(Post[[#This Row],[47]:[75]])</f>
        <v>0</v>
      </c>
    </row>
    <row r="1756" spans="1:36" x14ac:dyDescent="0.2">
      <c r="A1756" t="s">
        <v>57</v>
      </c>
      <c r="B1756" t="s">
        <v>54</v>
      </c>
      <c r="C1756">
        <v>33715</v>
      </c>
      <c r="D1756" t="s">
        <v>22</v>
      </c>
      <c r="E1756" t="s">
        <v>14</v>
      </c>
      <c r="F1756" t="s">
        <v>15</v>
      </c>
      <c r="I1756">
        <v>1</v>
      </c>
      <c r="Y1756">
        <v>1</v>
      </c>
      <c r="AD1756">
        <v>1</v>
      </c>
      <c r="AJ1756">
        <f>SUM(Post[[#This Row],[47]:[75]])</f>
        <v>3</v>
      </c>
    </row>
    <row r="1757" spans="1:36" x14ac:dyDescent="0.2">
      <c r="A1757" t="s">
        <v>57</v>
      </c>
      <c r="B1757" t="s">
        <v>54</v>
      </c>
      <c r="C1757">
        <v>21700</v>
      </c>
      <c r="D1757" t="s">
        <v>7</v>
      </c>
      <c r="E1757" t="s">
        <v>14</v>
      </c>
      <c r="F1757" t="s">
        <v>31</v>
      </c>
      <c r="AJ1757">
        <f>SUM(Post[[#This Row],[47]:[75]])</f>
        <v>0</v>
      </c>
    </row>
    <row r="1758" spans="1:36" x14ac:dyDescent="0.2">
      <c r="A1758" t="s">
        <v>57</v>
      </c>
      <c r="B1758" t="s">
        <v>54</v>
      </c>
      <c r="C1758">
        <v>20002</v>
      </c>
      <c r="D1758" t="s">
        <v>7</v>
      </c>
      <c r="E1758" t="s">
        <v>14</v>
      </c>
      <c r="F1758" t="s">
        <v>21</v>
      </c>
      <c r="AJ1758">
        <f>SUM(Post[[#This Row],[47]:[75]])</f>
        <v>0</v>
      </c>
    </row>
    <row r="1759" spans="1:36" x14ac:dyDescent="0.2">
      <c r="A1759" t="s">
        <v>57</v>
      </c>
      <c r="B1759" t="s">
        <v>54</v>
      </c>
      <c r="C1759">
        <v>20002</v>
      </c>
      <c r="D1759" t="s">
        <v>7</v>
      </c>
      <c r="E1759" t="s">
        <v>14</v>
      </c>
      <c r="F1759" t="s">
        <v>20</v>
      </c>
      <c r="H1759">
        <v>1</v>
      </c>
      <c r="AJ1759">
        <f>SUM(Post[[#This Row],[47]:[75]])</f>
        <v>1</v>
      </c>
    </row>
    <row r="1760" spans="1:36" x14ac:dyDescent="0.2">
      <c r="A1760" t="s">
        <v>57</v>
      </c>
      <c r="B1760" t="s">
        <v>54</v>
      </c>
      <c r="C1760">
        <v>723</v>
      </c>
      <c r="D1760" t="s">
        <v>22</v>
      </c>
      <c r="E1760" t="s">
        <v>14</v>
      </c>
      <c r="F1760" t="s">
        <v>35</v>
      </c>
      <c r="AJ1760">
        <f>SUM(Post[[#This Row],[47]:[75]])</f>
        <v>0</v>
      </c>
    </row>
    <row r="1761" spans="1:36" x14ac:dyDescent="0.2">
      <c r="A1761" t="s">
        <v>57</v>
      </c>
      <c r="B1761" t="s">
        <v>54</v>
      </c>
      <c r="C1761">
        <v>6624</v>
      </c>
      <c r="D1761" t="s">
        <v>22</v>
      </c>
      <c r="E1761" t="s">
        <v>14</v>
      </c>
      <c r="F1761" t="s">
        <v>20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J1761">
        <f>SUM(Post[[#This Row],[47]:[75]])</f>
        <v>27</v>
      </c>
    </row>
    <row r="1762" spans="1:36" x14ac:dyDescent="0.2">
      <c r="A1762" t="s">
        <v>57</v>
      </c>
      <c r="B1762" t="s">
        <v>54</v>
      </c>
      <c r="C1762">
        <v>8046</v>
      </c>
      <c r="D1762" t="s">
        <v>22</v>
      </c>
      <c r="E1762" t="s">
        <v>10</v>
      </c>
      <c r="F1762" t="s">
        <v>11</v>
      </c>
      <c r="AJ1762">
        <f>SUM(Post[[#This Row],[47]:[75]])</f>
        <v>0</v>
      </c>
    </row>
    <row r="1763" spans="1:36" x14ac:dyDescent="0.2">
      <c r="A1763" t="s">
        <v>57</v>
      </c>
      <c r="B1763" t="s">
        <v>54</v>
      </c>
      <c r="C1763">
        <v>8046</v>
      </c>
      <c r="D1763" t="s">
        <v>22</v>
      </c>
      <c r="E1763" t="s">
        <v>14</v>
      </c>
      <c r="F1763" t="s">
        <v>19</v>
      </c>
      <c r="H1763">
        <v>1</v>
      </c>
      <c r="L1763">
        <v>2</v>
      </c>
      <c r="AD1763">
        <v>1</v>
      </c>
      <c r="AJ1763">
        <f>SUM(Post[[#This Row],[47]:[75]])</f>
        <v>4</v>
      </c>
    </row>
    <row r="1764" spans="1:36" x14ac:dyDescent="0.2">
      <c r="A1764" t="s">
        <v>57</v>
      </c>
      <c r="B1764" t="s">
        <v>54</v>
      </c>
      <c r="C1764">
        <v>8046</v>
      </c>
      <c r="D1764" t="s">
        <v>22</v>
      </c>
      <c r="E1764" t="s">
        <v>14</v>
      </c>
      <c r="F1764" t="s">
        <v>21</v>
      </c>
      <c r="AD1764">
        <v>1</v>
      </c>
      <c r="AJ1764">
        <f>SUM(Post[[#This Row],[47]:[75]])</f>
        <v>1</v>
      </c>
    </row>
    <row r="1765" spans="1:36" x14ac:dyDescent="0.2">
      <c r="A1765" t="s">
        <v>57</v>
      </c>
      <c r="B1765" t="s">
        <v>54</v>
      </c>
      <c r="C1765">
        <v>1667</v>
      </c>
      <c r="D1765" t="s">
        <v>7</v>
      </c>
      <c r="E1765" t="s">
        <v>8</v>
      </c>
      <c r="F1765" t="s">
        <v>23</v>
      </c>
      <c r="J1765">
        <v>1</v>
      </c>
      <c r="X1765">
        <v>1</v>
      </c>
      <c r="AJ1765">
        <f>SUM(Post[[#This Row],[47]:[75]])</f>
        <v>2</v>
      </c>
    </row>
    <row r="1766" spans="1:36" x14ac:dyDescent="0.2">
      <c r="A1766" t="s">
        <v>57</v>
      </c>
      <c r="B1766" t="s">
        <v>54</v>
      </c>
      <c r="C1766">
        <v>2322</v>
      </c>
      <c r="D1766" t="s">
        <v>7</v>
      </c>
      <c r="E1766" t="s">
        <v>8</v>
      </c>
      <c r="F1766" t="s">
        <v>9</v>
      </c>
      <c r="G1766">
        <v>1</v>
      </c>
      <c r="AJ1766">
        <f>SUM(Post[[#This Row],[47]:[75]])</f>
        <v>1</v>
      </c>
    </row>
    <row r="1767" spans="1:36" x14ac:dyDescent="0.2">
      <c r="A1767" t="s">
        <v>57</v>
      </c>
      <c r="B1767" t="s">
        <v>54</v>
      </c>
      <c r="C1767">
        <v>3556</v>
      </c>
      <c r="D1767" t="s">
        <v>7</v>
      </c>
      <c r="E1767" t="s">
        <v>8</v>
      </c>
      <c r="F1767" t="s">
        <v>9</v>
      </c>
      <c r="H1767">
        <v>2</v>
      </c>
      <c r="J1767">
        <v>2</v>
      </c>
      <c r="L1767">
        <v>2</v>
      </c>
      <c r="O1767">
        <v>2</v>
      </c>
      <c r="Q1767">
        <v>2</v>
      </c>
      <c r="AJ1767">
        <f>SUM(Post[[#This Row],[47]:[75]])</f>
        <v>10</v>
      </c>
    </row>
    <row r="1768" spans="1:36" x14ac:dyDescent="0.2">
      <c r="A1768" t="s">
        <v>57</v>
      </c>
      <c r="B1768" t="s">
        <v>54</v>
      </c>
      <c r="C1768">
        <v>3963</v>
      </c>
      <c r="D1768" t="s">
        <v>7</v>
      </c>
      <c r="E1768" t="s">
        <v>8</v>
      </c>
      <c r="F1768" t="s">
        <v>23</v>
      </c>
      <c r="I1768">
        <v>1</v>
      </c>
      <c r="Y1768">
        <v>1</v>
      </c>
      <c r="AJ1768">
        <f>SUM(Post[[#This Row],[47]:[75]])</f>
        <v>2</v>
      </c>
    </row>
    <row r="1769" spans="1:36" x14ac:dyDescent="0.2">
      <c r="A1769" t="s">
        <v>57</v>
      </c>
      <c r="B1769" t="s">
        <v>54</v>
      </c>
      <c r="C1769">
        <v>8050</v>
      </c>
      <c r="D1769" t="s">
        <v>7</v>
      </c>
      <c r="E1769" t="s">
        <v>8</v>
      </c>
      <c r="F1769" t="s">
        <v>9</v>
      </c>
      <c r="L1769">
        <v>1</v>
      </c>
      <c r="Z1769">
        <v>1</v>
      </c>
      <c r="AJ1769">
        <f>SUM(Post[[#This Row],[47]:[75]])</f>
        <v>2</v>
      </c>
    </row>
    <row r="1770" spans="1:36" x14ac:dyDescent="0.2">
      <c r="A1770" t="s">
        <v>57</v>
      </c>
      <c r="B1770" t="s">
        <v>54</v>
      </c>
      <c r="C1770">
        <v>11987</v>
      </c>
      <c r="D1770" t="s">
        <v>7</v>
      </c>
      <c r="E1770" t="s">
        <v>8</v>
      </c>
      <c r="F1770" t="s">
        <v>29</v>
      </c>
      <c r="K1770">
        <v>1</v>
      </c>
      <c r="Z1770">
        <v>1</v>
      </c>
      <c r="AJ1770">
        <f>SUM(Post[[#This Row],[47]:[75]])</f>
        <v>2</v>
      </c>
    </row>
    <row r="1771" spans="1:36" x14ac:dyDescent="0.2">
      <c r="A1771" t="s">
        <v>57</v>
      </c>
      <c r="B1771" t="s">
        <v>54</v>
      </c>
      <c r="C1771">
        <v>25633</v>
      </c>
      <c r="D1771" t="s">
        <v>7</v>
      </c>
      <c r="E1771" t="s">
        <v>8</v>
      </c>
      <c r="F1771" t="s">
        <v>23</v>
      </c>
      <c r="G1771">
        <v>1</v>
      </c>
      <c r="U1771">
        <v>1</v>
      </c>
      <c r="AG1771">
        <v>1</v>
      </c>
      <c r="AJ1771">
        <f>SUM(Post[[#This Row],[47]:[75]])</f>
        <v>3</v>
      </c>
    </row>
    <row r="1772" spans="1:36" x14ac:dyDescent="0.2">
      <c r="A1772" t="s">
        <v>57</v>
      </c>
      <c r="B1772" t="s">
        <v>54</v>
      </c>
      <c r="C1772">
        <v>28462</v>
      </c>
      <c r="D1772" t="s">
        <v>7</v>
      </c>
      <c r="E1772" t="s">
        <v>8</v>
      </c>
      <c r="F1772" t="s">
        <v>23</v>
      </c>
      <c r="AJ1772">
        <f>SUM(Post[[#This Row],[47]:[75]])</f>
        <v>0</v>
      </c>
    </row>
    <row r="1773" spans="1:36" x14ac:dyDescent="0.2">
      <c r="A1773" t="s">
        <v>57</v>
      </c>
      <c r="B1773" t="s">
        <v>54</v>
      </c>
      <c r="C1773">
        <v>271</v>
      </c>
      <c r="D1773" t="s">
        <v>22</v>
      </c>
      <c r="E1773" t="s">
        <v>8</v>
      </c>
      <c r="F1773" t="s">
        <v>29</v>
      </c>
      <c r="AJ1773">
        <f>SUM(Post[[#This Row],[47]:[75]])</f>
        <v>0</v>
      </c>
    </row>
    <row r="1774" spans="1:36" x14ac:dyDescent="0.2">
      <c r="A1774" t="s">
        <v>57</v>
      </c>
      <c r="B1774" t="s">
        <v>54</v>
      </c>
      <c r="C1774">
        <v>336</v>
      </c>
      <c r="D1774" t="s">
        <v>22</v>
      </c>
      <c r="E1774" t="s">
        <v>8</v>
      </c>
      <c r="F1774" t="s">
        <v>23</v>
      </c>
      <c r="J1774">
        <v>1</v>
      </c>
      <c r="T1774">
        <v>1</v>
      </c>
      <c r="AD1774">
        <v>1</v>
      </c>
      <c r="AJ1774">
        <f>SUM(Post[[#This Row],[47]:[75]])</f>
        <v>3</v>
      </c>
    </row>
    <row r="1775" spans="1:36" x14ac:dyDescent="0.2">
      <c r="A1775" t="s">
        <v>57</v>
      </c>
      <c r="B1775" t="s">
        <v>54</v>
      </c>
      <c r="C1775">
        <v>1038</v>
      </c>
      <c r="D1775" t="s">
        <v>22</v>
      </c>
      <c r="E1775" t="s">
        <v>8</v>
      </c>
      <c r="F1775" t="s">
        <v>29</v>
      </c>
      <c r="H1775">
        <v>1</v>
      </c>
      <c r="K1775">
        <v>1</v>
      </c>
      <c r="Q1775">
        <v>1</v>
      </c>
      <c r="U1775">
        <v>2</v>
      </c>
      <c r="AJ1775">
        <f>SUM(Post[[#This Row],[47]:[75]])</f>
        <v>5</v>
      </c>
    </row>
    <row r="1776" spans="1:36" x14ac:dyDescent="0.2">
      <c r="A1776" t="s">
        <v>57</v>
      </c>
      <c r="B1776" t="s">
        <v>54</v>
      </c>
      <c r="C1776">
        <v>1488</v>
      </c>
      <c r="D1776" t="s">
        <v>22</v>
      </c>
      <c r="E1776" t="s">
        <v>8</v>
      </c>
      <c r="F1776" t="s">
        <v>29</v>
      </c>
      <c r="AJ1776">
        <f>SUM(Post[[#This Row],[47]:[75]])</f>
        <v>0</v>
      </c>
    </row>
    <row r="1777" spans="1:36" x14ac:dyDescent="0.2">
      <c r="A1777" t="s">
        <v>57</v>
      </c>
      <c r="B1777" t="s">
        <v>54</v>
      </c>
      <c r="C1777">
        <v>4303</v>
      </c>
      <c r="D1777" t="s">
        <v>22</v>
      </c>
      <c r="E1777" t="s">
        <v>8</v>
      </c>
      <c r="F1777" t="s">
        <v>23</v>
      </c>
      <c r="G1777">
        <v>1</v>
      </c>
      <c r="T1777">
        <v>1</v>
      </c>
      <c r="AH1777">
        <v>1</v>
      </c>
      <c r="AJ1777">
        <f>SUM(Post[[#This Row],[47]:[75]])</f>
        <v>3</v>
      </c>
    </row>
    <row r="1778" spans="1:36" x14ac:dyDescent="0.2">
      <c r="A1778" t="s">
        <v>57</v>
      </c>
      <c r="B1778" t="s">
        <v>54</v>
      </c>
      <c r="C1778">
        <v>6634</v>
      </c>
      <c r="D1778" t="s">
        <v>22</v>
      </c>
      <c r="E1778" t="s">
        <v>8</v>
      </c>
      <c r="F1778" t="s">
        <v>9</v>
      </c>
      <c r="J1778">
        <v>1</v>
      </c>
      <c r="X1778">
        <v>1</v>
      </c>
      <c r="AJ1778">
        <f>SUM(Post[[#This Row],[47]:[75]])</f>
        <v>2</v>
      </c>
    </row>
    <row r="1779" spans="1:36" x14ac:dyDescent="0.2">
      <c r="A1779" t="s">
        <v>57</v>
      </c>
      <c r="B1779" t="s">
        <v>54</v>
      </c>
      <c r="C1779">
        <v>8333</v>
      </c>
      <c r="D1779" t="s">
        <v>22</v>
      </c>
      <c r="E1779" t="s">
        <v>8</v>
      </c>
      <c r="F1779" t="s">
        <v>9</v>
      </c>
      <c r="P1779">
        <v>1</v>
      </c>
      <c r="AC1779">
        <v>1</v>
      </c>
      <c r="AJ1779">
        <f>SUM(Post[[#This Row],[47]:[75]])</f>
        <v>2</v>
      </c>
    </row>
    <row r="1780" spans="1:36" x14ac:dyDescent="0.2">
      <c r="A1780" t="s">
        <v>57</v>
      </c>
      <c r="B1780" t="s">
        <v>54</v>
      </c>
      <c r="C1780">
        <v>9247</v>
      </c>
      <c r="D1780" t="s">
        <v>22</v>
      </c>
      <c r="E1780" t="s">
        <v>8</v>
      </c>
      <c r="F1780" t="s">
        <v>9</v>
      </c>
      <c r="N1780">
        <v>1</v>
      </c>
      <c r="AB1780">
        <v>1</v>
      </c>
      <c r="AJ1780">
        <f>SUM(Post[[#This Row],[47]:[75]])</f>
        <v>2</v>
      </c>
    </row>
    <row r="1781" spans="1:36" x14ac:dyDescent="0.2">
      <c r="A1781" t="s">
        <v>57</v>
      </c>
      <c r="B1781" t="s">
        <v>54</v>
      </c>
      <c r="C1781">
        <v>9299</v>
      </c>
      <c r="D1781" t="s">
        <v>22</v>
      </c>
      <c r="E1781" t="s">
        <v>8</v>
      </c>
      <c r="F1781" t="s">
        <v>23</v>
      </c>
      <c r="L1781">
        <v>1</v>
      </c>
      <c r="AJ1781">
        <f>SUM(Post[[#This Row],[47]:[75]])</f>
        <v>1</v>
      </c>
    </row>
    <row r="1782" spans="1:36" x14ac:dyDescent="0.2">
      <c r="A1782" t="s">
        <v>57</v>
      </c>
      <c r="B1782" t="s">
        <v>54</v>
      </c>
      <c r="C1782">
        <v>10196</v>
      </c>
      <c r="D1782" t="s">
        <v>22</v>
      </c>
      <c r="E1782" t="s">
        <v>8</v>
      </c>
      <c r="F1782" t="s">
        <v>23</v>
      </c>
      <c r="N1782">
        <v>1</v>
      </c>
      <c r="U1782">
        <v>2</v>
      </c>
      <c r="AJ1782">
        <f>SUM(Post[[#This Row],[47]:[75]])</f>
        <v>3</v>
      </c>
    </row>
    <row r="1783" spans="1:36" x14ac:dyDescent="0.2">
      <c r="A1783" t="s">
        <v>57</v>
      </c>
      <c r="B1783" t="s">
        <v>54</v>
      </c>
      <c r="C1783">
        <v>10907</v>
      </c>
      <c r="D1783" t="s">
        <v>22</v>
      </c>
      <c r="E1783" t="s">
        <v>8</v>
      </c>
      <c r="F1783" t="s">
        <v>23</v>
      </c>
      <c r="AI1783">
        <v>1</v>
      </c>
      <c r="AJ1783">
        <f>SUM(Post[[#This Row],[47]:[75]])</f>
        <v>1</v>
      </c>
    </row>
    <row r="1784" spans="1:36" x14ac:dyDescent="0.2">
      <c r="A1784" t="s">
        <v>57</v>
      </c>
      <c r="B1784" t="s">
        <v>54</v>
      </c>
      <c r="C1784">
        <v>11809</v>
      </c>
      <c r="D1784" t="s">
        <v>22</v>
      </c>
      <c r="E1784" t="s">
        <v>8</v>
      </c>
      <c r="F1784" t="s">
        <v>29</v>
      </c>
      <c r="AJ1784">
        <f>SUM(Post[[#This Row],[47]:[75]])</f>
        <v>0</v>
      </c>
    </row>
    <row r="1785" spans="1:36" x14ac:dyDescent="0.2">
      <c r="A1785" t="s">
        <v>57</v>
      </c>
      <c r="B1785" t="s">
        <v>54</v>
      </c>
      <c r="C1785">
        <v>11948</v>
      </c>
      <c r="D1785" t="s">
        <v>22</v>
      </c>
      <c r="E1785" t="s">
        <v>8</v>
      </c>
      <c r="F1785" t="s">
        <v>23</v>
      </c>
      <c r="AJ1785">
        <f>SUM(Post[[#This Row],[47]:[75]])</f>
        <v>0</v>
      </c>
    </row>
    <row r="1786" spans="1:36" x14ac:dyDescent="0.2">
      <c r="A1786" t="s">
        <v>57</v>
      </c>
      <c r="B1786" t="s">
        <v>54</v>
      </c>
      <c r="C1786">
        <v>12136</v>
      </c>
      <c r="D1786" t="s">
        <v>22</v>
      </c>
      <c r="E1786" t="s">
        <v>8</v>
      </c>
      <c r="F1786" t="s">
        <v>9</v>
      </c>
      <c r="AJ1786">
        <f>SUM(Post[[#This Row],[47]:[75]])</f>
        <v>0</v>
      </c>
    </row>
    <row r="1787" spans="1:36" x14ac:dyDescent="0.2">
      <c r="A1787" t="s">
        <v>57</v>
      </c>
      <c r="B1787" t="s">
        <v>54</v>
      </c>
      <c r="C1787">
        <v>13667</v>
      </c>
      <c r="D1787" t="s">
        <v>22</v>
      </c>
      <c r="E1787" t="s">
        <v>8</v>
      </c>
      <c r="F1787" t="s">
        <v>9</v>
      </c>
      <c r="AJ1787">
        <f>SUM(Post[[#This Row],[47]:[75]])</f>
        <v>0</v>
      </c>
    </row>
    <row r="1788" spans="1:36" x14ac:dyDescent="0.2">
      <c r="A1788" t="s">
        <v>57</v>
      </c>
      <c r="B1788" t="s">
        <v>54</v>
      </c>
      <c r="C1788">
        <v>16392</v>
      </c>
      <c r="D1788" t="s">
        <v>22</v>
      </c>
      <c r="E1788" t="s">
        <v>8</v>
      </c>
      <c r="F1788" t="s">
        <v>9</v>
      </c>
      <c r="H1788">
        <v>1</v>
      </c>
      <c r="L1788">
        <v>1</v>
      </c>
      <c r="AJ1788">
        <f>SUM(Post[[#This Row],[47]:[75]])</f>
        <v>2</v>
      </c>
    </row>
    <row r="1789" spans="1:36" x14ac:dyDescent="0.2">
      <c r="A1789" t="s">
        <v>57</v>
      </c>
      <c r="B1789" t="s">
        <v>54</v>
      </c>
      <c r="C1789">
        <v>17455</v>
      </c>
      <c r="D1789" t="s">
        <v>22</v>
      </c>
      <c r="E1789" t="s">
        <v>8</v>
      </c>
      <c r="F1789" t="s">
        <v>9</v>
      </c>
      <c r="AJ1789">
        <f>SUM(Post[[#This Row],[47]:[75]])</f>
        <v>0</v>
      </c>
    </row>
    <row r="1790" spans="1:36" x14ac:dyDescent="0.2">
      <c r="A1790" t="s">
        <v>57</v>
      </c>
      <c r="B1790" t="s">
        <v>54</v>
      </c>
      <c r="C1790">
        <v>18475</v>
      </c>
      <c r="D1790" t="s">
        <v>22</v>
      </c>
      <c r="E1790" t="s">
        <v>8</v>
      </c>
      <c r="F1790" t="s">
        <v>23</v>
      </c>
      <c r="G1790">
        <v>1</v>
      </c>
      <c r="U1790">
        <v>1</v>
      </c>
      <c r="AH1790">
        <v>1</v>
      </c>
      <c r="AJ1790">
        <f>SUM(Post[[#This Row],[47]:[75]])</f>
        <v>3</v>
      </c>
    </row>
    <row r="1791" spans="1:36" x14ac:dyDescent="0.2">
      <c r="A1791" t="s">
        <v>57</v>
      </c>
      <c r="B1791" t="s">
        <v>54</v>
      </c>
      <c r="C1791">
        <v>19857</v>
      </c>
      <c r="D1791" t="s">
        <v>22</v>
      </c>
      <c r="E1791" t="s">
        <v>8</v>
      </c>
      <c r="F1791" t="s">
        <v>29</v>
      </c>
      <c r="J1791">
        <v>2</v>
      </c>
      <c r="P1791">
        <v>1</v>
      </c>
      <c r="U1791">
        <v>1</v>
      </c>
      <c r="Y1791">
        <v>2</v>
      </c>
      <c r="AB1791">
        <v>1</v>
      </c>
      <c r="AF1791">
        <v>1</v>
      </c>
      <c r="AJ1791">
        <f>SUM(Post[[#This Row],[47]:[75]])</f>
        <v>8</v>
      </c>
    </row>
    <row r="1792" spans="1:36" x14ac:dyDescent="0.2">
      <c r="A1792" t="s">
        <v>57</v>
      </c>
      <c r="B1792" t="s">
        <v>54</v>
      </c>
      <c r="C1792">
        <v>21715</v>
      </c>
      <c r="D1792" t="s">
        <v>22</v>
      </c>
      <c r="E1792" t="s">
        <v>8</v>
      </c>
      <c r="F1792" t="s">
        <v>23</v>
      </c>
      <c r="K1792">
        <v>1</v>
      </c>
      <c r="R1792">
        <v>1</v>
      </c>
      <c r="T1792">
        <v>1</v>
      </c>
      <c r="AB1792">
        <v>1</v>
      </c>
      <c r="AF1792">
        <v>1</v>
      </c>
      <c r="AJ1792">
        <f>SUM(Post[[#This Row],[47]:[75]])</f>
        <v>5</v>
      </c>
    </row>
    <row r="1793" spans="1:36" x14ac:dyDescent="0.2">
      <c r="A1793" t="s">
        <v>57</v>
      </c>
      <c r="B1793" t="s">
        <v>54</v>
      </c>
      <c r="C1793">
        <v>26265</v>
      </c>
      <c r="D1793" t="s">
        <v>22</v>
      </c>
      <c r="E1793" t="s">
        <v>8</v>
      </c>
      <c r="F1793" t="s">
        <v>9</v>
      </c>
      <c r="G1793">
        <v>1</v>
      </c>
      <c r="P1793">
        <v>2</v>
      </c>
      <c r="AJ1793">
        <f>SUM(Post[[#This Row],[47]:[75]])</f>
        <v>3</v>
      </c>
    </row>
    <row r="1794" spans="1:36" x14ac:dyDescent="0.2">
      <c r="A1794" t="s">
        <v>57</v>
      </c>
      <c r="B1794" t="s">
        <v>54</v>
      </c>
      <c r="C1794">
        <v>26476</v>
      </c>
      <c r="D1794" t="s">
        <v>22</v>
      </c>
      <c r="E1794" t="s">
        <v>8</v>
      </c>
      <c r="F1794" t="s">
        <v>9</v>
      </c>
      <c r="K1794">
        <v>1</v>
      </c>
      <c r="AA1794">
        <v>1</v>
      </c>
      <c r="AJ1794">
        <f>SUM(Post[[#This Row],[47]:[75]])</f>
        <v>2</v>
      </c>
    </row>
    <row r="1795" spans="1:36" x14ac:dyDescent="0.2">
      <c r="A1795" t="s">
        <v>57</v>
      </c>
      <c r="B1795" t="s">
        <v>54</v>
      </c>
      <c r="C1795">
        <v>26896</v>
      </c>
      <c r="D1795" t="s">
        <v>22</v>
      </c>
      <c r="E1795" t="s">
        <v>8</v>
      </c>
      <c r="F1795" t="s">
        <v>23</v>
      </c>
      <c r="J1795">
        <v>1</v>
      </c>
      <c r="X1795">
        <v>1</v>
      </c>
      <c r="AJ1795">
        <f>SUM(Post[[#This Row],[47]:[75]])</f>
        <v>2</v>
      </c>
    </row>
    <row r="1796" spans="1:36" x14ac:dyDescent="0.2">
      <c r="A1796" t="s">
        <v>57</v>
      </c>
      <c r="B1796" t="s">
        <v>54</v>
      </c>
      <c r="C1796">
        <v>27114</v>
      </c>
      <c r="D1796" t="s">
        <v>22</v>
      </c>
      <c r="E1796" t="s">
        <v>8</v>
      </c>
      <c r="F1796" t="s">
        <v>9</v>
      </c>
      <c r="N1796">
        <v>1</v>
      </c>
      <c r="AA1796">
        <v>1</v>
      </c>
      <c r="AJ1796">
        <f>SUM(Post[[#This Row],[47]:[75]])</f>
        <v>2</v>
      </c>
    </row>
    <row r="1797" spans="1:36" x14ac:dyDescent="0.2">
      <c r="A1797" t="s">
        <v>57</v>
      </c>
      <c r="B1797" t="s">
        <v>54</v>
      </c>
      <c r="C1797">
        <v>27896</v>
      </c>
      <c r="D1797" t="s">
        <v>22</v>
      </c>
      <c r="E1797" t="s">
        <v>8</v>
      </c>
      <c r="F1797" t="s">
        <v>9</v>
      </c>
      <c r="H1797">
        <v>1</v>
      </c>
      <c r="V1797">
        <v>1</v>
      </c>
      <c r="AH1797">
        <v>1</v>
      </c>
      <c r="AJ1797">
        <f>SUM(Post[[#This Row],[47]:[75]])</f>
        <v>3</v>
      </c>
    </row>
    <row r="1798" spans="1:36" x14ac:dyDescent="0.2">
      <c r="A1798" t="s">
        <v>57</v>
      </c>
      <c r="B1798" t="s">
        <v>54</v>
      </c>
      <c r="C1798">
        <v>27904</v>
      </c>
      <c r="D1798" t="s">
        <v>22</v>
      </c>
      <c r="E1798" t="s">
        <v>8</v>
      </c>
      <c r="F1798" t="s">
        <v>29</v>
      </c>
      <c r="Q1798">
        <v>1</v>
      </c>
      <c r="AC1798">
        <v>1</v>
      </c>
      <c r="AJ1798">
        <f>SUM(Post[[#This Row],[47]:[75]])</f>
        <v>2</v>
      </c>
    </row>
    <row r="1799" spans="1:36" x14ac:dyDescent="0.2">
      <c r="A1799" t="s">
        <v>57</v>
      </c>
      <c r="B1799" t="s">
        <v>54</v>
      </c>
      <c r="C1799">
        <v>32387</v>
      </c>
      <c r="D1799" t="s">
        <v>22</v>
      </c>
      <c r="E1799" t="s">
        <v>8</v>
      </c>
      <c r="F1799" t="s">
        <v>29</v>
      </c>
      <c r="O1799">
        <v>1</v>
      </c>
      <c r="AB1799">
        <v>1</v>
      </c>
      <c r="AJ1799">
        <f>SUM(Post[[#This Row],[47]:[75]])</f>
        <v>2</v>
      </c>
    </row>
    <row r="1800" spans="1:36" x14ac:dyDescent="0.2">
      <c r="A1800" t="s">
        <v>57</v>
      </c>
      <c r="B1800" t="s">
        <v>54</v>
      </c>
      <c r="C1800">
        <v>2472</v>
      </c>
      <c r="D1800" t="s">
        <v>7</v>
      </c>
      <c r="E1800" t="s">
        <v>8</v>
      </c>
      <c r="F1800" t="s">
        <v>23</v>
      </c>
      <c r="G1800">
        <v>1</v>
      </c>
      <c r="AJ1800">
        <f>SUM(Post[[#This Row],[47]:[75]])</f>
        <v>1</v>
      </c>
    </row>
    <row r="1801" spans="1:36" x14ac:dyDescent="0.2">
      <c r="A1801" t="s">
        <v>57</v>
      </c>
      <c r="B1801" t="s">
        <v>54</v>
      </c>
      <c r="C1801">
        <v>8047</v>
      </c>
      <c r="D1801" t="s">
        <v>7</v>
      </c>
      <c r="E1801" t="s">
        <v>8</v>
      </c>
      <c r="F1801" t="s">
        <v>29</v>
      </c>
      <c r="H1801">
        <v>1</v>
      </c>
      <c r="J1801">
        <v>1</v>
      </c>
      <c r="AA1801">
        <v>1</v>
      </c>
      <c r="AJ1801">
        <f>SUM(Post[[#This Row],[47]:[75]])</f>
        <v>3</v>
      </c>
    </row>
    <row r="1802" spans="1:36" x14ac:dyDescent="0.2">
      <c r="A1802" t="s">
        <v>57</v>
      </c>
      <c r="B1802" t="s">
        <v>54</v>
      </c>
      <c r="C1802">
        <v>13804</v>
      </c>
      <c r="D1802" t="s">
        <v>7</v>
      </c>
      <c r="E1802" t="s">
        <v>8</v>
      </c>
      <c r="F1802" t="s">
        <v>9</v>
      </c>
      <c r="H1802">
        <v>1</v>
      </c>
      <c r="W1802">
        <v>1</v>
      </c>
      <c r="AH1802">
        <v>1</v>
      </c>
      <c r="AJ1802">
        <f>SUM(Post[[#This Row],[47]:[75]])</f>
        <v>3</v>
      </c>
    </row>
    <row r="1803" spans="1:36" x14ac:dyDescent="0.2">
      <c r="A1803" t="s">
        <v>57</v>
      </c>
      <c r="B1803" t="s">
        <v>54</v>
      </c>
      <c r="C1803">
        <v>14748</v>
      </c>
      <c r="D1803" t="s">
        <v>7</v>
      </c>
      <c r="E1803" t="s">
        <v>8</v>
      </c>
      <c r="F1803" t="s">
        <v>23</v>
      </c>
      <c r="L1803">
        <v>1</v>
      </c>
      <c r="AC1803">
        <v>1</v>
      </c>
      <c r="AJ1803">
        <f>SUM(Post[[#This Row],[47]:[75]])</f>
        <v>2</v>
      </c>
    </row>
    <row r="1804" spans="1:36" x14ac:dyDescent="0.2">
      <c r="A1804" t="s">
        <v>57</v>
      </c>
      <c r="B1804" t="s">
        <v>54</v>
      </c>
      <c r="C1804">
        <v>19412</v>
      </c>
      <c r="D1804" t="s">
        <v>7</v>
      </c>
      <c r="E1804" t="s">
        <v>8</v>
      </c>
      <c r="F1804" t="s">
        <v>29</v>
      </c>
      <c r="AJ1804">
        <f>SUM(Post[[#This Row],[47]:[75]])</f>
        <v>0</v>
      </c>
    </row>
    <row r="1805" spans="1:36" x14ac:dyDescent="0.2">
      <c r="A1805" t="s">
        <v>57</v>
      </c>
      <c r="B1805" t="s">
        <v>54</v>
      </c>
      <c r="C1805">
        <v>4258</v>
      </c>
      <c r="D1805" t="s">
        <v>22</v>
      </c>
      <c r="E1805" t="s">
        <v>8</v>
      </c>
      <c r="F1805" t="s">
        <v>23</v>
      </c>
      <c r="J1805">
        <v>1</v>
      </c>
      <c r="AC1805">
        <v>1</v>
      </c>
      <c r="AJ1805">
        <f>SUM(Post[[#This Row],[47]:[75]])</f>
        <v>2</v>
      </c>
    </row>
    <row r="1806" spans="1:36" x14ac:dyDescent="0.2">
      <c r="A1806" t="s">
        <v>57</v>
      </c>
      <c r="B1806" t="s">
        <v>54</v>
      </c>
      <c r="C1806">
        <v>5055</v>
      </c>
      <c r="D1806" t="s">
        <v>22</v>
      </c>
      <c r="E1806" t="s">
        <v>8</v>
      </c>
      <c r="F1806" t="s">
        <v>9</v>
      </c>
      <c r="AG1806">
        <v>2</v>
      </c>
      <c r="AJ1806">
        <f>SUM(Post[[#This Row],[47]:[75]])</f>
        <v>2</v>
      </c>
    </row>
    <row r="1807" spans="1:36" x14ac:dyDescent="0.2">
      <c r="A1807" t="s">
        <v>57</v>
      </c>
      <c r="B1807" t="s">
        <v>54</v>
      </c>
      <c r="C1807">
        <v>5696</v>
      </c>
      <c r="D1807" t="s">
        <v>22</v>
      </c>
      <c r="E1807" t="s">
        <v>8</v>
      </c>
      <c r="F1807" t="s">
        <v>9</v>
      </c>
      <c r="G1807">
        <v>1</v>
      </c>
      <c r="AJ1807">
        <f>SUM(Post[[#This Row],[47]:[75]])</f>
        <v>1</v>
      </c>
    </row>
    <row r="1808" spans="1:36" x14ac:dyDescent="0.2">
      <c r="A1808" t="s">
        <v>57</v>
      </c>
      <c r="B1808" t="s">
        <v>54</v>
      </c>
      <c r="C1808">
        <v>5696</v>
      </c>
      <c r="D1808" t="s">
        <v>22</v>
      </c>
      <c r="E1808" t="s">
        <v>8</v>
      </c>
      <c r="F1808" t="s">
        <v>29</v>
      </c>
      <c r="H1808">
        <v>1</v>
      </c>
      <c r="L1808">
        <v>1</v>
      </c>
      <c r="Q1808">
        <v>1</v>
      </c>
      <c r="U1808">
        <v>1</v>
      </c>
      <c r="Y1808">
        <v>1</v>
      </c>
      <c r="AC1808">
        <v>1</v>
      </c>
      <c r="AG1808">
        <v>1</v>
      </c>
      <c r="AJ1808">
        <f>SUM(Post[[#This Row],[47]:[75]])</f>
        <v>7</v>
      </c>
    </row>
    <row r="1809" spans="1:36" x14ac:dyDescent="0.2">
      <c r="A1809" t="s">
        <v>57</v>
      </c>
      <c r="B1809" t="s">
        <v>54</v>
      </c>
      <c r="C1809">
        <v>7732</v>
      </c>
      <c r="D1809" t="s">
        <v>22</v>
      </c>
      <c r="E1809" t="s">
        <v>8</v>
      </c>
      <c r="F1809" t="s">
        <v>23</v>
      </c>
      <c r="AJ1809">
        <f>SUM(Post[[#This Row],[47]:[75]])</f>
        <v>0</v>
      </c>
    </row>
    <row r="1810" spans="1:36" x14ac:dyDescent="0.2">
      <c r="A1810" t="s">
        <v>57</v>
      </c>
      <c r="B1810" t="s">
        <v>54</v>
      </c>
      <c r="C1810">
        <v>8083</v>
      </c>
      <c r="D1810" t="s">
        <v>22</v>
      </c>
      <c r="E1810" t="s">
        <v>8</v>
      </c>
      <c r="F1810" t="s">
        <v>29</v>
      </c>
      <c r="O1810">
        <v>1</v>
      </c>
      <c r="AB1810">
        <v>1</v>
      </c>
      <c r="AJ1810">
        <f>SUM(Post[[#This Row],[47]:[75]])</f>
        <v>2</v>
      </c>
    </row>
    <row r="1811" spans="1:36" x14ac:dyDescent="0.2">
      <c r="A1811" t="s">
        <v>57</v>
      </c>
      <c r="B1811" t="s">
        <v>54</v>
      </c>
      <c r="C1811">
        <v>8614</v>
      </c>
      <c r="D1811" t="s">
        <v>22</v>
      </c>
      <c r="E1811" t="s">
        <v>8</v>
      </c>
      <c r="F1811" t="s">
        <v>23</v>
      </c>
      <c r="R1811">
        <v>1</v>
      </c>
      <c r="AJ1811">
        <f>SUM(Post[[#This Row],[47]:[75]])</f>
        <v>1</v>
      </c>
    </row>
    <row r="1812" spans="1:36" x14ac:dyDescent="0.2">
      <c r="A1812" t="s">
        <v>57</v>
      </c>
      <c r="B1812" t="s">
        <v>54</v>
      </c>
      <c r="C1812">
        <v>9038</v>
      </c>
      <c r="D1812" t="s">
        <v>22</v>
      </c>
      <c r="E1812" t="s">
        <v>37</v>
      </c>
      <c r="F1812" t="s">
        <v>49</v>
      </c>
      <c r="AJ1812">
        <f>SUM(Post[[#This Row],[47]:[75]])</f>
        <v>0</v>
      </c>
    </row>
    <row r="1813" spans="1:36" x14ac:dyDescent="0.2">
      <c r="A1813" t="s">
        <v>57</v>
      </c>
      <c r="B1813" t="s">
        <v>54</v>
      </c>
      <c r="C1813">
        <v>10794</v>
      </c>
      <c r="D1813" t="s">
        <v>22</v>
      </c>
      <c r="E1813" t="s">
        <v>8</v>
      </c>
      <c r="F1813" t="s">
        <v>9</v>
      </c>
      <c r="I1813">
        <v>1</v>
      </c>
      <c r="U1813">
        <v>1</v>
      </c>
      <c r="Y1813">
        <v>1</v>
      </c>
      <c r="AC1813">
        <v>1</v>
      </c>
      <c r="AF1813">
        <v>1</v>
      </c>
      <c r="AJ1813">
        <f>SUM(Post[[#This Row],[47]:[75]])</f>
        <v>5</v>
      </c>
    </row>
    <row r="1814" spans="1:36" x14ac:dyDescent="0.2">
      <c r="A1814" t="s">
        <v>57</v>
      </c>
      <c r="B1814" t="s">
        <v>54</v>
      </c>
      <c r="C1814">
        <v>14775</v>
      </c>
      <c r="D1814" t="s">
        <v>22</v>
      </c>
      <c r="E1814" t="s">
        <v>8</v>
      </c>
      <c r="F1814" t="s">
        <v>9</v>
      </c>
      <c r="T1814">
        <v>1</v>
      </c>
      <c r="AH1814">
        <v>1</v>
      </c>
      <c r="AJ1814">
        <f>SUM(Post[[#This Row],[47]:[75]])</f>
        <v>2</v>
      </c>
    </row>
    <row r="1815" spans="1:36" x14ac:dyDescent="0.2">
      <c r="A1815" t="s">
        <v>57</v>
      </c>
      <c r="B1815" t="s">
        <v>54</v>
      </c>
      <c r="C1815">
        <v>16580</v>
      </c>
      <c r="D1815" t="s">
        <v>22</v>
      </c>
      <c r="E1815" t="s">
        <v>8</v>
      </c>
      <c r="F1815" t="s">
        <v>23</v>
      </c>
      <c r="K1815">
        <v>1</v>
      </c>
      <c r="W1815">
        <v>1</v>
      </c>
      <c r="AG1815">
        <v>4</v>
      </c>
      <c r="AJ1815">
        <f>SUM(Post[[#This Row],[47]:[75]])</f>
        <v>6</v>
      </c>
    </row>
    <row r="1816" spans="1:36" x14ac:dyDescent="0.2">
      <c r="A1816" t="s">
        <v>57</v>
      </c>
      <c r="B1816" t="s">
        <v>54</v>
      </c>
      <c r="C1816">
        <v>22291</v>
      </c>
      <c r="D1816" t="s">
        <v>22</v>
      </c>
      <c r="E1816" t="s">
        <v>8</v>
      </c>
      <c r="F1816" t="s">
        <v>23</v>
      </c>
      <c r="K1816">
        <v>1</v>
      </c>
      <c r="P1816">
        <v>1</v>
      </c>
      <c r="AB1816">
        <v>1</v>
      </c>
      <c r="AE1816">
        <v>1</v>
      </c>
      <c r="AJ1816">
        <f>SUM(Post[[#This Row],[47]:[75]])</f>
        <v>4</v>
      </c>
    </row>
    <row r="1817" spans="1:36" x14ac:dyDescent="0.2">
      <c r="A1817" t="s">
        <v>57</v>
      </c>
      <c r="B1817" t="s">
        <v>54</v>
      </c>
      <c r="C1817">
        <v>27144</v>
      </c>
      <c r="D1817" t="s">
        <v>22</v>
      </c>
      <c r="E1817" t="s">
        <v>8</v>
      </c>
      <c r="F1817" t="s">
        <v>9</v>
      </c>
      <c r="U1817">
        <v>1</v>
      </c>
      <c r="AB1817">
        <v>1</v>
      </c>
      <c r="AJ1817">
        <f>SUM(Post[[#This Row],[47]:[75]])</f>
        <v>2</v>
      </c>
    </row>
    <row r="1818" spans="1:36" x14ac:dyDescent="0.2">
      <c r="A1818" t="s">
        <v>57</v>
      </c>
      <c r="B1818" t="s">
        <v>54</v>
      </c>
      <c r="C1818">
        <v>29599</v>
      </c>
      <c r="D1818" t="s">
        <v>22</v>
      </c>
      <c r="E1818" t="s">
        <v>8</v>
      </c>
      <c r="F1818" t="s">
        <v>23</v>
      </c>
      <c r="P1818">
        <v>1</v>
      </c>
      <c r="AJ1818">
        <f>SUM(Post[[#This Row],[47]:[75]])</f>
        <v>1</v>
      </c>
    </row>
    <row r="1819" spans="1:36" x14ac:dyDescent="0.2">
      <c r="A1819" t="s">
        <v>57</v>
      </c>
      <c r="B1819" t="s">
        <v>54</v>
      </c>
      <c r="C1819">
        <v>32709</v>
      </c>
      <c r="D1819" t="s">
        <v>22</v>
      </c>
      <c r="E1819" t="s">
        <v>8</v>
      </c>
      <c r="F1819" t="s">
        <v>23</v>
      </c>
      <c r="J1819">
        <v>1</v>
      </c>
      <c r="V1819">
        <v>1</v>
      </c>
      <c r="AJ1819">
        <f>SUM(Post[[#This Row],[47]:[75]])</f>
        <v>2</v>
      </c>
    </row>
    <row r="1820" spans="1:36" x14ac:dyDescent="0.2">
      <c r="A1820" t="s">
        <v>58</v>
      </c>
      <c r="B1820" t="s">
        <v>54</v>
      </c>
      <c r="C1820">
        <v>964</v>
      </c>
      <c r="D1820" t="s">
        <v>7</v>
      </c>
      <c r="E1820" t="s">
        <v>8</v>
      </c>
      <c r="F1820" t="s">
        <v>47</v>
      </c>
      <c r="R1820">
        <v>1</v>
      </c>
      <c r="AF1820">
        <v>1</v>
      </c>
      <c r="AJ1820">
        <f>SUM(Post[[#This Row],[47]:[75]])</f>
        <v>2</v>
      </c>
    </row>
    <row r="1821" spans="1:36" x14ac:dyDescent="0.2">
      <c r="A1821" t="s">
        <v>58</v>
      </c>
      <c r="B1821" t="s">
        <v>54</v>
      </c>
      <c r="C1821">
        <v>1926</v>
      </c>
      <c r="D1821" t="s">
        <v>7</v>
      </c>
      <c r="E1821" t="s">
        <v>8</v>
      </c>
      <c r="F1821" t="s">
        <v>23</v>
      </c>
      <c r="AJ1821">
        <f>SUM(Post[[#This Row],[47]:[75]])</f>
        <v>0</v>
      </c>
    </row>
    <row r="1822" spans="1:36" x14ac:dyDescent="0.2">
      <c r="A1822" t="s">
        <v>58</v>
      </c>
      <c r="B1822" t="s">
        <v>54</v>
      </c>
      <c r="C1822">
        <v>4260</v>
      </c>
      <c r="D1822" t="s">
        <v>7</v>
      </c>
      <c r="E1822" t="s">
        <v>8</v>
      </c>
      <c r="F1822" t="s">
        <v>30</v>
      </c>
      <c r="G1822">
        <v>1</v>
      </c>
      <c r="K1822">
        <v>1</v>
      </c>
      <c r="P1822">
        <v>1</v>
      </c>
      <c r="S1822">
        <v>1</v>
      </c>
      <c r="W1822">
        <v>1</v>
      </c>
      <c r="AA1822">
        <v>1</v>
      </c>
      <c r="AC1822">
        <v>1</v>
      </c>
      <c r="AJ1822">
        <f>SUM(Post[[#This Row],[47]:[75]])</f>
        <v>7</v>
      </c>
    </row>
    <row r="1823" spans="1:36" x14ac:dyDescent="0.2">
      <c r="A1823" t="s">
        <v>58</v>
      </c>
      <c r="B1823" t="s">
        <v>54</v>
      </c>
      <c r="C1823">
        <v>8058</v>
      </c>
      <c r="D1823" t="s">
        <v>7</v>
      </c>
      <c r="E1823" t="s">
        <v>8</v>
      </c>
      <c r="F1823" t="s">
        <v>29</v>
      </c>
      <c r="G1823">
        <v>1</v>
      </c>
      <c r="U1823">
        <v>1</v>
      </c>
      <c r="AJ1823">
        <f>SUM(Post[[#This Row],[47]:[75]])</f>
        <v>2</v>
      </c>
    </row>
    <row r="1824" spans="1:36" x14ac:dyDescent="0.2">
      <c r="A1824" t="s">
        <v>58</v>
      </c>
      <c r="B1824" t="s">
        <v>54</v>
      </c>
      <c r="C1824">
        <v>8655</v>
      </c>
      <c r="D1824" t="s">
        <v>7</v>
      </c>
      <c r="E1824" t="s">
        <v>14</v>
      </c>
      <c r="F1824" t="s">
        <v>35</v>
      </c>
      <c r="H1824">
        <v>1</v>
      </c>
      <c r="L1824">
        <v>1</v>
      </c>
      <c r="Q1824">
        <v>1</v>
      </c>
      <c r="U1824">
        <v>1</v>
      </c>
      <c r="AJ1824">
        <f>SUM(Post[[#This Row],[47]:[75]])</f>
        <v>4</v>
      </c>
    </row>
    <row r="1825" spans="1:36" x14ac:dyDescent="0.2">
      <c r="A1825" t="s">
        <v>58</v>
      </c>
      <c r="B1825" t="s">
        <v>54</v>
      </c>
      <c r="C1825">
        <v>8763</v>
      </c>
      <c r="D1825" t="s">
        <v>7</v>
      </c>
      <c r="E1825" t="s">
        <v>8</v>
      </c>
      <c r="F1825" t="s">
        <v>23</v>
      </c>
      <c r="Y1825">
        <v>2</v>
      </c>
      <c r="AC1825">
        <v>1</v>
      </c>
      <c r="AG1825">
        <v>1</v>
      </c>
      <c r="AJ1825">
        <f>SUM(Post[[#This Row],[47]:[75]])</f>
        <v>4</v>
      </c>
    </row>
    <row r="1826" spans="1:36" x14ac:dyDescent="0.2">
      <c r="A1826" t="s">
        <v>58</v>
      </c>
      <c r="B1826" t="s">
        <v>54</v>
      </c>
      <c r="C1826">
        <v>8832</v>
      </c>
      <c r="D1826" t="s">
        <v>7</v>
      </c>
      <c r="E1826" t="s">
        <v>14</v>
      </c>
      <c r="F1826" t="s">
        <v>20</v>
      </c>
      <c r="AJ1826">
        <f>SUM(Post[[#This Row],[47]:[75]])</f>
        <v>0</v>
      </c>
    </row>
    <row r="1827" spans="1:36" x14ac:dyDescent="0.2">
      <c r="A1827" t="s">
        <v>58</v>
      </c>
      <c r="B1827" t="s">
        <v>54</v>
      </c>
      <c r="C1827">
        <v>9352</v>
      </c>
      <c r="D1827" t="s">
        <v>7</v>
      </c>
      <c r="E1827" t="s">
        <v>14</v>
      </c>
      <c r="F1827" t="s">
        <v>21</v>
      </c>
      <c r="AJ1827">
        <f>SUM(Post[[#This Row],[47]:[75]])</f>
        <v>0</v>
      </c>
    </row>
    <row r="1828" spans="1:36" x14ac:dyDescent="0.2">
      <c r="A1828" t="s">
        <v>58</v>
      </c>
      <c r="B1828" t="s">
        <v>54</v>
      </c>
      <c r="C1828">
        <v>10927</v>
      </c>
      <c r="D1828" t="s">
        <v>7</v>
      </c>
      <c r="E1828" t="s">
        <v>8</v>
      </c>
      <c r="F1828" t="s">
        <v>29</v>
      </c>
      <c r="J1828">
        <v>2</v>
      </c>
      <c r="AJ1828">
        <f>SUM(Post[[#This Row],[47]:[75]])</f>
        <v>2</v>
      </c>
    </row>
    <row r="1829" spans="1:36" x14ac:dyDescent="0.2">
      <c r="A1829" t="s">
        <v>58</v>
      </c>
      <c r="B1829" t="s">
        <v>54</v>
      </c>
      <c r="C1829">
        <v>11912</v>
      </c>
      <c r="D1829" t="s">
        <v>7</v>
      </c>
      <c r="E1829" t="s">
        <v>10</v>
      </c>
      <c r="F1829" t="s">
        <v>11</v>
      </c>
      <c r="T1829">
        <v>1</v>
      </c>
      <c r="AJ1829">
        <f>SUM(Post[[#This Row],[47]:[75]])</f>
        <v>1</v>
      </c>
    </row>
    <row r="1830" spans="1:36" x14ac:dyDescent="0.2">
      <c r="A1830" t="s">
        <v>58</v>
      </c>
      <c r="B1830" t="s">
        <v>54</v>
      </c>
      <c r="C1830">
        <v>13783</v>
      </c>
      <c r="D1830" t="s">
        <v>7</v>
      </c>
      <c r="E1830" t="s">
        <v>14</v>
      </c>
      <c r="F1830" t="s">
        <v>20</v>
      </c>
      <c r="J1830">
        <v>1</v>
      </c>
      <c r="O1830">
        <v>1</v>
      </c>
      <c r="S1830">
        <v>1</v>
      </c>
      <c r="W1830">
        <v>1</v>
      </c>
      <c r="Z1830">
        <v>1</v>
      </c>
      <c r="AE1830">
        <v>1</v>
      </c>
      <c r="AH1830">
        <v>1</v>
      </c>
      <c r="AJ1830">
        <f>SUM(Post[[#This Row],[47]:[75]])</f>
        <v>7</v>
      </c>
    </row>
    <row r="1831" spans="1:36" x14ac:dyDescent="0.2">
      <c r="A1831" t="s">
        <v>58</v>
      </c>
      <c r="B1831" t="s">
        <v>54</v>
      </c>
      <c r="C1831">
        <v>18077</v>
      </c>
      <c r="D1831" t="s">
        <v>7</v>
      </c>
      <c r="E1831" t="s">
        <v>8</v>
      </c>
      <c r="F1831" t="s">
        <v>23</v>
      </c>
      <c r="H1831">
        <v>1</v>
      </c>
      <c r="J1831">
        <v>1</v>
      </c>
      <c r="O1831">
        <v>2</v>
      </c>
      <c r="Q1831">
        <v>1</v>
      </c>
      <c r="S1831">
        <v>1</v>
      </c>
      <c r="U1831">
        <v>1</v>
      </c>
      <c r="W1831">
        <v>1</v>
      </c>
      <c r="Y1831">
        <v>1</v>
      </c>
      <c r="AA1831">
        <v>1</v>
      </c>
      <c r="AC1831">
        <v>1</v>
      </c>
      <c r="AE1831">
        <v>1</v>
      </c>
      <c r="AG1831">
        <v>1</v>
      </c>
      <c r="AI1831">
        <v>1</v>
      </c>
      <c r="AJ1831">
        <f>SUM(Post[[#This Row],[47]:[75]])</f>
        <v>14</v>
      </c>
    </row>
    <row r="1832" spans="1:36" x14ac:dyDescent="0.2">
      <c r="A1832" t="s">
        <v>58</v>
      </c>
      <c r="B1832" t="s">
        <v>54</v>
      </c>
      <c r="C1832">
        <v>23469</v>
      </c>
      <c r="D1832" t="s">
        <v>7</v>
      </c>
      <c r="E1832" t="s">
        <v>10</v>
      </c>
      <c r="F1832" t="s">
        <v>11</v>
      </c>
      <c r="T1832">
        <v>1</v>
      </c>
      <c r="Y1832">
        <v>1</v>
      </c>
      <c r="AC1832">
        <v>1</v>
      </c>
      <c r="AF1832">
        <v>1</v>
      </c>
      <c r="AJ1832">
        <f>SUM(Post[[#This Row],[47]:[75]])</f>
        <v>4</v>
      </c>
    </row>
    <row r="1833" spans="1:36" x14ac:dyDescent="0.2">
      <c r="A1833" t="s">
        <v>58</v>
      </c>
      <c r="B1833" t="s">
        <v>54</v>
      </c>
      <c r="C1833">
        <v>27782</v>
      </c>
      <c r="D1833" t="s">
        <v>7</v>
      </c>
      <c r="E1833" t="s">
        <v>10</v>
      </c>
      <c r="F1833" t="s">
        <v>11</v>
      </c>
      <c r="AF1833">
        <v>1</v>
      </c>
      <c r="AJ1833">
        <f>SUM(Post[[#This Row],[47]:[75]])</f>
        <v>1</v>
      </c>
    </row>
    <row r="1834" spans="1:36" x14ac:dyDescent="0.2">
      <c r="A1834" t="s">
        <v>58</v>
      </c>
      <c r="B1834" t="s">
        <v>54</v>
      </c>
      <c r="C1834">
        <v>32131</v>
      </c>
      <c r="D1834" t="s">
        <v>7</v>
      </c>
      <c r="E1834" t="s">
        <v>8</v>
      </c>
      <c r="F1834" t="s">
        <v>9</v>
      </c>
      <c r="R1834">
        <v>1</v>
      </c>
      <c r="AC1834">
        <v>1</v>
      </c>
      <c r="AJ1834">
        <f>SUM(Post[[#This Row],[47]:[75]])</f>
        <v>2</v>
      </c>
    </row>
    <row r="1835" spans="1:36" x14ac:dyDescent="0.2">
      <c r="A1835" t="s">
        <v>58</v>
      </c>
      <c r="B1835" t="s">
        <v>54</v>
      </c>
      <c r="C1835">
        <v>1318</v>
      </c>
      <c r="D1835" t="s">
        <v>22</v>
      </c>
      <c r="E1835" t="s">
        <v>8</v>
      </c>
      <c r="F1835" t="s">
        <v>23</v>
      </c>
      <c r="X1835">
        <v>1</v>
      </c>
      <c r="AC1835">
        <v>1</v>
      </c>
      <c r="AG1835">
        <v>1</v>
      </c>
      <c r="AJ1835">
        <f>SUM(Post[[#This Row],[47]:[75]])</f>
        <v>3</v>
      </c>
    </row>
    <row r="1836" spans="1:36" x14ac:dyDescent="0.2">
      <c r="A1836" t="s">
        <v>58</v>
      </c>
      <c r="B1836" t="s">
        <v>54</v>
      </c>
      <c r="C1836">
        <v>4066</v>
      </c>
      <c r="D1836" t="s">
        <v>22</v>
      </c>
      <c r="E1836" t="s">
        <v>37</v>
      </c>
      <c r="F1836" t="s">
        <v>43</v>
      </c>
      <c r="V1836">
        <v>1</v>
      </c>
      <c r="AJ1836">
        <f>SUM(Post[[#This Row],[47]:[75]])</f>
        <v>1</v>
      </c>
    </row>
    <row r="1837" spans="1:36" x14ac:dyDescent="0.2">
      <c r="A1837" t="s">
        <v>58</v>
      </c>
      <c r="B1837" t="s">
        <v>54</v>
      </c>
      <c r="C1837">
        <v>4066</v>
      </c>
      <c r="D1837" t="s">
        <v>22</v>
      </c>
      <c r="E1837" t="s">
        <v>37</v>
      </c>
      <c r="F1837" t="s">
        <v>39</v>
      </c>
      <c r="AJ1837">
        <f>SUM(Post[[#This Row],[47]:[75]])</f>
        <v>0</v>
      </c>
    </row>
    <row r="1838" spans="1:36" x14ac:dyDescent="0.2">
      <c r="A1838" t="s">
        <v>58</v>
      </c>
      <c r="B1838" t="s">
        <v>54</v>
      </c>
      <c r="C1838">
        <v>4340</v>
      </c>
      <c r="D1838" t="s">
        <v>22</v>
      </c>
      <c r="E1838" t="s">
        <v>8</v>
      </c>
      <c r="F1838" t="s">
        <v>23</v>
      </c>
      <c r="K1838">
        <v>1</v>
      </c>
      <c r="Z1838">
        <v>1</v>
      </c>
      <c r="AJ1838">
        <f>SUM(Post[[#This Row],[47]:[75]])</f>
        <v>2</v>
      </c>
    </row>
    <row r="1839" spans="1:36" x14ac:dyDescent="0.2">
      <c r="A1839" t="s">
        <v>58</v>
      </c>
      <c r="B1839" t="s">
        <v>54</v>
      </c>
      <c r="C1839">
        <v>4482</v>
      </c>
      <c r="D1839" t="s">
        <v>22</v>
      </c>
      <c r="E1839" t="s">
        <v>10</v>
      </c>
      <c r="F1839" t="s">
        <v>16</v>
      </c>
      <c r="G1839">
        <v>1</v>
      </c>
      <c r="U1839">
        <v>1</v>
      </c>
      <c r="AC1839">
        <v>1</v>
      </c>
      <c r="AJ1839">
        <f>SUM(Post[[#This Row],[47]:[75]])</f>
        <v>3</v>
      </c>
    </row>
    <row r="1840" spans="1:36" x14ac:dyDescent="0.2">
      <c r="A1840" t="s">
        <v>58</v>
      </c>
      <c r="B1840" t="s">
        <v>54</v>
      </c>
      <c r="C1840">
        <v>4482</v>
      </c>
      <c r="D1840" t="s">
        <v>22</v>
      </c>
      <c r="E1840" t="s">
        <v>14</v>
      </c>
      <c r="F1840" t="s">
        <v>19</v>
      </c>
      <c r="I1840">
        <v>1</v>
      </c>
      <c r="AJ1840">
        <f>SUM(Post[[#This Row],[47]:[75]])</f>
        <v>1</v>
      </c>
    </row>
    <row r="1841" spans="1:36" x14ac:dyDescent="0.2">
      <c r="A1841" t="s">
        <v>58</v>
      </c>
      <c r="B1841" t="s">
        <v>54</v>
      </c>
      <c r="C1841">
        <v>6085</v>
      </c>
      <c r="D1841" t="s">
        <v>22</v>
      </c>
      <c r="E1841" t="s">
        <v>37</v>
      </c>
      <c r="F1841" t="s">
        <v>39</v>
      </c>
      <c r="AJ1841">
        <f>SUM(Post[[#This Row],[47]:[75]])</f>
        <v>0</v>
      </c>
    </row>
    <row r="1842" spans="1:36" x14ac:dyDescent="0.2">
      <c r="A1842" t="s">
        <v>58</v>
      </c>
      <c r="B1842" t="s">
        <v>54</v>
      </c>
      <c r="C1842">
        <v>6085</v>
      </c>
      <c r="D1842" t="s">
        <v>22</v>
      </c>
      <c r="E1842" t="s">
        <v>8</v>
      </c>
      <c r="F1842" t="s">
        <v>23</v>
      </c>
      <c r="W1842">
        <v>1</v>
      </c>
      <c r="AA1842">
        <v>1</v>
      </c>
      <c r="AE1842">
        <v>1</v>
      </c>
      <c r="AJ1842">
        <f>SUM(Post[[#This Row],[47]:[75]])</f>
        <v>3</v>
      </c>
    </row>
    <row r="1843" spans="1:36" x14ac:dyDescent="0.2">
      <c r="A1843" t="s">
        <v>58</v>
      </c>
      <c r="B1843" t="s">
        <v>54</v>
      </c>
      <c r="C1843">
        <v>6476</v>
      </c>
      <c r="D1843" t="s">
        <v>22</v>
      </c>
      <c r="E1843" t="s">
        <v>14</v>
      </c>
      <c r="F1843" t="s">
        <v>19</v>
      </c>
      <c r="AJ1843">
        <f>SUM(Post[[#This Row],[47]:[75]])</f>
        <v>0</v>
      </c>
    </row>
    <row r="1844" spans="1:36" x14ac:dyDescent="0.2">
      <c r="A1844" t="s">
        <v>58</v>
      </c>
      <c r="B1844" t="s">
        <v>54</v>
      </c>
      <c r="C1844">
        <v>8291</v>
      </c>
      <c r="D1844" t="s">
        <v>22</v>
      </c>
      <c r="E1844" t="s">
        <v>8</v>
      </c>
      <c r="F1844" t="s">
        <v>23</v>
      </c>
      <c r="I1844">
        <v>1</v>
      </c>
      <c r="X1844">
        <v>1</v>
      </c>
      <c r="AJ1844">
        <f>SUM(Post[[#This Row],[47]:[75]])</f>
        <v>2</v>
      </c>
    </row>
    <row r="1845" spans="1:36" x14ac:dyDescent="0.2">
      <c r="A1845" t="s">
        <v>58</v>
      </c>
      <c r="B1845" t="s">
        <v>54</v>
      </c>
      <c r="C1845">
        <v>8390</v>
      </c>
      <c r="D1845" t="s">
        <v>22</v>
      </c>
      <c r="E1845" t="s">
        <v>8</v>
      </c>
      <c r="F1845" t="s">
        <v>9</v>
      </c>
      <c r="L1845">
        <v>1</v>
      </c>
      <c r="AA1845">
        <v>2</v>
      </c>
      <c r="AJ1845">
        <f>SUM(Post[[#This Row],[47]:[75]])</f>
        <v>3</v>
      </c>
    </row>
    <row r="1846" spans="1:36" x14ac:dyDescent="0.2">
      <c r="A1846" t="s">
        <v>58</v>
      </c>
      <c r="B1846" t="s">
        <v>54</v>
      </c>
      <c r="C1846">
        <v>8444</v>
      </c>
      <c r="D1846" t="s">
        <v>22</v>
      </c>
      <c r="E1846" t="s">
        <v>8</v>
      </c>
      <c r="F1846" t="s">
        <v>23</v>
      </c>
      <c r="Q1846">
        <v>1</v>
      </c>
      <c r="AF1846">
        <v>1</v>
      </c>
      <c r="AJ1846">
        <f>SUM(Post[[#This Row],[47]:[75]])</f>
        <v>2</v>
      </c>
    </row>
    <row r="1847" spans="1:36" x14ac:dyDescent="0.2">
      <c r="A1847" t="s">
        <v>58</v>
      </c>
      <c r="B1847" t="s">
        <v>54</v>
      </c>
      <c r="C1847">
        <v>10443</v>
      </c>
      <c r="D1847" t="s">
        <v>22</v>
      </c>
      <c r="E1847" t="s">
        <v>8</v>
      </c>
      <c r="F1847" t="s">
        <v>23</v>
      </c>
      <c r="I1847">
        <v>1</v>
      </c>
      <c r="L1847">
        <v>2</v>
      </c>
      <c r="AB1847">
        <v>1</v>
      </c>
      <c r="AJ1847">
        <f>SUM(Post[[#This Row],[47]:[75]])</f>
        <v>4</v>
      </c>
    </row>
    <row r="1848" spans="1:36" x14ac:dyDescent="0.2">
      <c r="A1848" t="s">
        <v>58</v>
      </c>
      <c r="B1848" t="s">
        <v>54</v>
      </c>
      <c r="C1848">
        <v>11693</v>
      </c>
      <c r="D1848" t="s">
        <v>22</v>
      </c>
      <c r="E1848" t="s">
        <v>8</v>
      </c>
      <c r="F1848" t="s">
        <v>23</v>
      </c>
      <c r="H1848">
        <v>1</v>
      </c>
      <c r="U1848">
        <v>1</v>
      </c>
      <c r="AJ1848">
        <f>SUM(Post[[#This Row],[47]:[75]])</f>
        <v>2</v>
      </c>
    </row>
    <row r="1849" spans="1:36" x14ac:dyDescent="0.2">
      <c r="A1849" t="s">
        <v>58</v>
      </c>
      <c r="B1849" t="s">
        <v>54</v>
      </c>
      <c r="C1849">
        <v>11693</v>
      </c>
      <c r="D1849" t="s">
        <v>22</v>
      </c>
      <c r="E1849" t="s">
        <v>8</v>
      </c>
      <c r="F1849" t="s">
        <v>30</v>
      </c>
      <c r="AF1849">
        <v>1</v>
      </c>
      <c r="AJ1849">
        <f>SUM(Post[[#This Row],[47]:[75]])</f>
        <v>1</v>
      </c>
    </row>
    <row r="1850" spans="1:36" x14ac:dyDescent="0.2">
      <c r="A1850" t="s">
        <v>58</v>
      </c>
      <c r="B1850" t="s">
        <v>54</v>
      </c>
      <c r="C1850">
        <v>16767</v>
      </c>
      <c r="D1850" t="s">
        <v>22</v>
      </c>
      <c r="E1850" t="s">
        <v>14</v>
      </c>
      <c r="F1850" t="s">
        <v>21</v>
      </c>
      <c r="AA1850">
        <v>1</v>
      </c>
      <c r="AJ1850">
        <f>SUM(Post[[#This Row],[47]:[75]])</f>
        <v>1</v>
      </c>
    </row>
    <row r="1851" spans="1:36" x14ac:dyDescent="0.2">
      <c r="A1851" t="s">
        <v>58</v>
      </c>
      <c r="B1851" t="s">
        <v>54</v>
      </c>
      <c r="C1851">
        <v>18260</v>
      </c>
      <c r="D1851" t="s">
        <v>22</v>
      </c>
      <c r="E1851" t="s">
        <v>8</v>
      </c>
      <c r="F1851" t="s">
        <v>23</v>
      </c>
      <c r="G1851">
        <v>1</v>
      </c>
      <c r="V1851">
        <v>1</v>
      </c>
      <c r="AI1851">
        <v>1</v>
      </c>
      <c r="AJ1851">
        <f>SUM(Post[[#This Row],[47]:[75]])</f>
        <v>3</v>
      </c>
    </row>
    <row r="1852" spans="1:36" x14ac:dyDescent="0.2">
      <c r="A1852" t="s">
        <v>58</v>
      </c>
      <c r="B1852" t="s">
        <v>54</v>
      </c>
      <c r="C1852">
        <v>33338</v>
      </c>
      <c r="D1852" t="s">
        <v>22</v>
      </c>
      <c r="E1852" t="s">
        <v>10</v>
      </c>
      <c r="F1852" t="s">
        <v>16</v>
      </c>
      <c r="AJ1852">
        <f>SUM(Post[[#This Row],[47]:[75]])</f>
        <v>0</v>
      </c>
    </row>
    <row r="1853" spans="1:36" x14ac:dyDescent="0.2">
      <c r="A1853" t="s">
        <v>58</v>
      </c>
      <c r="B1853" t="s">
        <v>54</v>
      </c>
      <c r="C1853">
        <v>1156</v>
      </c>
      <c r="D1853" t="s">
        <v>7</v>
      </c>
      <c r="E1853" t="s">
        <v>10</v>
      </c>
      <c r="F1853" t="s">
        <v>11</v>
      </c>
      <c r="J1853">
        <v>1</v>
      </c>
      <c r="X1853">
        <v>1</v>
      </c>
      <c r="AJ1853">
        <f>SUM(Post[[#This Row],[47]:[75]])</f>
        <v>2</v>
      </c>
    </row>
    <row r="1854" spans="1:36" x14ac:dyDescent="0.2">
      <c r="A1854" t="s">
        <v>58</v>
      </c>
      <c r="B1854" t="s">
        <v>54</v>
      </c>
      <c r="C1854">
        <v>1571</v>
      </c>
      <c r="D1854" t="s">
        <v>7</v>
      </c>
      <c r="E1854" t="s">
        <v>14</v>
      </c>
      <c r="F1854" t="s">
        <v>20</v>
      </c>
      <c r="AJ1854">
        <f>SUM(Post[[#This Row],[47]:[75]])</f>
        <v>0</v>
      </c>
    </row>
    <row r="1855" spans="1:36" x14ac:dyDescent="0.2">
      <c r="A1855" t="s">
        <v>58</v>
      </c>
      <c r="B1855" t="s">
        <v>54</v>
      </c>
      <c r="C1855">
        <v>5560</v>
      </c>
      <c r="D1855" t="s">
        <v>7</v>
      </c>
      <c r="E1855" t="s">
        <v>14</v>
      </c>
      <c r="F1855" t="s">
        <v>20</v>
      </c>
      <c r="R1855">
        <v>1</v>
      </c>
      <c r="AC1855">
        <v>1</v>
      </c>
      <c r="AH1855">
        <v>2</v>
      </c>
      <c r="AJ1855">
        <f>SUM(Post[[#This Row],[47]:[75]])</f>
        <v>4</v>
      </c>
    </row>
    <row r="1856" spans="1:36" x14ac:dyDescent="0.2">
      <c r="A1856" t="s">
        <v>58</v>
      </c>
      <c r="B1856" t="s">
        <v>54</v>
      </c>
      <c r="C1856">
        <v>7887</v>
      </c>
      <c r="D1856" t="s">
        <v>7</v>
      </c>
      <c r="E1856" t="s">
        <v>14</v>
      </c>
      <c r="F1856" t="s">
        <v>35</v>
      </c>
      <c r="Q1856">
        <v>2</v>
      </c>
      <c r="U1856">
        <v>1</v>
      </c>
      <c r="Y1856">
        <v>1</v>
      </c>
      <c r="AC1856">
        <v>1</v>
      </c>
      <c r="AH1856">
        <v>1</v>
      </c>
      <c r="AJ1856">
        <f>SUM(Post[[#This Row],[47]:[75]])</f>
        <v>6</v>
      </c>
    </row>
    <row r="1857" spans="1:36" x14ac:dyDescent="0.2">
      <c r="A1857" t="s">
        <v>58</v>
      </c>
      <c r="B1857" t="s">
        <v>54</v>
      </c>
      <c r="C1857">
        <v>8103</v>
      </c>
      <c r="D1857" t="s">
        <v>7</v>
      </c>
      <c r="E1857" t="s">
        <v>14</v>
      </c>
      <c r="F1857" t="s">
        <v>20</v>
      </c>
      <c r="Y1857">
        <v>1</v>
      </c>
      <c r="AJ1857">
        <f>SUM(Post[[#This Row],[47]:[75]])</f>
        <v>1</v>
      </c>
    </row>
    <row r="1858" spans="1:36" x14ac:dyDescent="0.2">
      <c r="A1858" t="s">
        <v>58</v>
      </c>
      <c r="B1858" t="s">
        <v>54</v>
      </c>
      <c r="C1858">
        <v>8175</v>
      </c>
      <c r="D1858" t="s">
        <v>7</v>
      </c>
      <c r="E1858" t="s">
        <v>8</v>
      </c>
      <c r="F1858" t="s">
        <v>34</v>
      </c>
      <c r="H1858">
        <v>1</v>
      </c>
      <c r="Y1858">
        <v>1</v>
      </c>
      <c r="AJ1858">
        <f>SUM(Post[[#This Row],[47]:[75]])</f>
        <v>2</v>
      </c>
    </row>
    <row r="1859" spans="1:36" x14ac:dyDescent="0.2">
      <c r="A1859" t="s">
        <v>58</v>
      </c>
      <c r="B1859" t="s">
        <v>54</v>
      </c>
      <c r="C1859">
        <v>9483</v>
      </c>
      <c r="D1859" t="s">
        <v>7</v>
      </c>
      <c r="E1859" t="s">
        <v>8</v>
      </c>
      <c r="F1859" t="s">
        <v>23</v>
      </c>
      <c r="L1859">
        <v>1</v>
      </c>
      <c r="R1859">
        <v>1</v>
      </c>
      <c r="V1859">
        <v>1</v>
      </c>
      <c r="AA1859">
        <v>1</v>
      </c>
      <c r="AE1859">
        <v>1</v>
      </c>
      <c r="AJ1859">
        <f>SUM(Post[[#This Row],[47]:[75]])</f>
        <v>5</v>
      </c>
    </row>
    <row r="1860" spans="1:36" x14ac:dyDescent="0.2">
      <c r="A1860" t="s">
        <v>58</v>
      </c>
      <c r="B1860" t="s">
        <v>54</v>
      </c>
      <c r="C1860">
        <v>9590</v>
      </c>
      <c r="D1860" t="s">
        <v>7</v>
      </c>
      <c r="E1860" t="s">
        <v>14</v>
      </c>
      <c r="F1860" t="s">
        <v>20</v>
      </c>
      <c r="N1860">
        <v>1</v>
      </c>
      <c r="AC1860">
        <v>1</v>
      </c>
      <c r="AJ1860">
        <f>SUM(Post[[#This Row],[47]:[75]])</f>
        <v>2</v>
      </c>
    </row>
    <row r="1861" spans="1:36" x14ac:dyDescent="0.2">
      <c r="A1861" t="s">
        <v>58</v>
      </c>
      <c r="B1861" t="s">
        <v>54</v>
      </c>
      <c r="C1861">
        <v>9987</v>
      </c>
      <c r="D1861" t="s">
        <v>7</v>
      </c>
      <c r="E1861" t="s">
        <v>8</v>
      </c>
      <c r="F1861" t="s">
        <v>23</v>
      </c>
      <c r="H1861">
        <v>1</v>
      </c>
      <c r="X1861">
        <v>1</v>
      </c>
      <c r="AJ1861">
        <f>SUM(Post[[#This Row],[47]:[75]])</f>
        <v>2</v>
      </c>
    </row>
    <row r="1862" spans="1:36" x14ac:dyDescent="0.2">
      <c r="A1862" t="s">
        <v>58</v>
      </c>
      <c r="B1862" t="s">
        <v>54</v>
      </c>
      <c r="C1862">
        <v>12788</v>
      </c>
      <c r="D1862" t="s">
        <v>7</v>
      </c>
      <c r="E1862" t="s">
        <v>14</v>
      </c>
      <c r="F1862" t="s">
        <v>21</v>
      </c>
      <c r="J1862">
        <v>1</v>
      </c>
      <c r="AJ1862">
        <f>SUM(Post[[#This Row],[47]:[75]])</f>
        <v>1</v>
      </c>
    </row>
    <row r="1863" spans="1:36" x14ac:dyDescent="0.2">
      <c r="A1863" t="s">
        <v>58</v>
      </c>
      <c r="B1863" t="s">
        <v>54</v>
      </c>
      <c r="C1863">
        <v>14788</v>
      </c>
      <c r="D1863" t="s">
        <v>7</v>
      </c>
      <c r="E1863" t="s">
        <v>14</v>
      </c>
      <c r="F1863" t="s">
        <v>15</v>
      </c>
      <c r="AJ1863">
        <f>SUM(Post[[#This Row],[47]:[75]])</f>
        <v>0</v>
      </c>
    </row>
    <row r="1864" spans="1:36" x14ac:dyDescent="0.2">
      <c r="A1864" t="s">
        <v>58</v>
      </c>
      <c r="B1864" t="s">
        <v>54</v>
      </c>
      <c r="C1864">
        <v>14788</v>
      </c>
      <c r="D1864" t="s">
        <v>7</v>
      </c>
      <c r="E1864" t="s">
        <v>14</v>
      </c>
      <c r="F1864" t="s">
        <v>19</v>
      </c>
      <c r="AG1864">
        <v>1</v>
      </c>
      <c r="AJ1864">
        <f>SUM(Post[[#This Row],[47]:[75]])</f>
        <v>1</v>
      </c>
    </row>
    <row r="1865" spans="1:36" x14ac:dyDescent="0.2">
      <c r="A1865" t="s">
        <v>58</v>
      </c>
      <c r="B1865" t="s">
        <v>54</v>
      </c>
      <c r="C1865">
        <v>14788</v>
      </c>
      <c r="D1865" t="s">
        <v>7</v>
      </c>
      <c r="E1865" t="s">
        <v>14</v>
      </c>
      <c r="F1865" t="s">
        <v>21</v>
      </c>
      <c r="U1865">
        <v>1</v>
      </c>
      <c r="AB1865">
        <v>1</v>
      </c>
      <c r="AJ1865">
        <f>SUM(Post[[#This Row],[47]:[75]])</f>
        <v>2</v>
      </c>
    </row>
    <row r="1866" spans="1:36" x14ac:dyDescent="0.2">
      <c r="A1866" t="s">
        <v>58</v>
      </c>
      <c r="B1866" t="s">
        <v>54</v>
      </c>
      <c r="C1866">
        <v>15702</v>
      </c>
      <c r="D1866" t="s">
        <v>7</v>
      </c>
      <c r="E1866" t="s">
        <v>14</v>
      </c>
      <c r="F1866" t="s">
        <v>20</v>
      </c>
      <c r="H1866">
        <v>1</v>
      </c>
      <c r="V1866">
        <v>1</v>
      </c>
      <c r="AH1866">
        <v>1</v>
      </c>
      <c r="AJ1866">
        <f>SUM(Post[[#This Row],[47]:[75]])</f>
        <v>3</v>
      </c>
    </row>
    <row r="1867" spans="1:36" x14ac:dyDescent="0.2">
      <c r="A1867" t="s">
        <v>58</v>
      </c>
      <c r="B1867" t="s">
        <v>54</v>
      </c>
      <c r="C1867">
        <v>16709</v>
      </c>
      <c r="D1867" t="s">
        <v>7</v>
      </c>
      <c r="E1867" t="s">
        <v>8</v>
      </c>
      <c r="F1867" t="s">
        <v>23</v>
      </c>
      <c r="AD1867">
        <v>1</v>
      </c>
      <c r="AJ1867">
        <f>SUM(Post[[#This Row],[47]:[75]])</f>
        <v>1</v>
      </c>
    </row>
    <row r="1868" spans="1:36" x14ac:dyDescent="0.2">
      <c r="A1868" t="s">
        <v>58</v>
      </c>
      <c r="B1868" t="s">
        <v>54</v>
      </c>
      <c r="C1868">
        <v>17553</v>
      </c>
      <c r="D1868" t="s">
        <v>7</v>
      </c>
      <c r="E1868" t="s">
        <v>14</v>
      </c>
      <c r="F1868" t="s">
        <v>15</v>
      </c>
      <c r="J1868">
        <v>2</v>
      </c>
      <c r="AJ1868">
        <f>SUM(Post[[#This Row],[47]:[75]])</f>
        <v>2</v>
      </c>
    </row>
    <row r="1869" spans="1:36" x14ac:dyDescent="0.2">
      <c r="A1869" t="s">
        <v>58</v>
      </c>
      <c r="B1869" t="s">
        <v>54</v>
      </c>
      <c r="C1869">
        <v>813</v>
      </c>
      <c r="D1869" t="s">
        <v>22</v>
      </c>
      <c r="E1869" t="s">
        <v>8</v>
      </c>
      <c r="F1869" t="s">
        <v>23</v>
      </c>
      <c r="AJ1869">
        <f>SUM(Post[[#This Row],[47]:[75]])</f>
        <v>0</v>
      </c>
    </row>
    <row r="1870" spans="1:36" x14ac:dyDescent="0.2">
      <c r="A1870" t="s">
        <v>58</v>
      </c>
      <c r="B1870" t="s">
        <v>54</v>
      </c>
      <c r="C1870">
        <v>1988</v>
      </c>
      <c r="D1870" t="s">
        <v>22</v>
      </c>
      <c r="E1870" t="s">
        <v>8</v>
      </c>
      <c r="F1870" t="s">
        <v>29</v>
      </c>
      <c r="K1870">
        <v>1</v>
      </c>
      <c r="AJ1870">
        <f>SUM(Post[[#This Row],[47]:[75]])</f>
        <v>1</v>
      </c>
    </row>
    <row r="1871" spans="1:36" x14ac:dyDescent="0.2">
      <c r="A1871" t="s">
        <v>58</v>
      </c>
      <c r="B1871" t="s">
        <v>54</v>
      </c>
      <c r="C1871">
        <v>2100</v>
      </c>
      <c r="D1871" t="s">
        <v>22</v>
      </c>
      <c r="E1871" t="s">
        <v>10</v>
      </c>
      <c r="F1871" t="s">
        <v>11</v>
      </c>
      <c r="AJ1871">
        <f>SUM(Post[[#This Row],[47]:[75]])</f>
        <v>0</v>
      </c>
    </row>
    <row r="1872" spans="1:36" x14ac:dyDescent="0.2">
      <c r="A1872" t="s">
        <v>58</v>
      </c>
      <c r="B1872" t="s">
        <v>54</v>
      </c>
      <c r="C1872">
        <v>3734</v>
      </c>
      <c r="D1872" t="s">
        <v>22</v>
      </c>
      <c r="E1872" t="s">
        <v>8</v>
      </c>
      <c r="F1872" t="s">
        <v>23</v>
      </c>
      <c r="I1872">
        <v>1</v>
      </c>
      <c r="Y1872">
        <v>1</v>
      </c>
      <c r="AJ1872">
        <f>SUM(Post[[#This Row],[47]:[75]])</f>
        <v>2</v>
      </c>
    </row>
    <row r="1873" spans="1:36" x14ac:dyDescent="0.2">
      <c r="A1873" t="s">
        <v>58</v>
      </c>
      <c r="B1873" t="s">
        <v>54</v>
      </c>
      <c r="C1873">
        <v>4259</v>
      </c>
      <c r="D1873" t="s">
        <v>22</v>
      </c>
      <c r="E1873" t="s">
        <v>8</v>
      </c>
      <c r="F1873" t="s">
        <v>23</v>
      </c>
      <c r="I1873">
        <v>1</v>
      </c>
      <c r="N1873">
        <v>1</v>
      </c>
      <c r="R1873">
        <v>1</v>
      </c>
      <c r="V1873">
        <v>1</v>
      </c>
      <c r="Z1873">
        <v>1</v>
      </c>
      <c r="AC1873">
        <v>1</v>
      </c>
      <c r="AG1873">
        <v>1</v>
      </c>
      <c r="AJ1873">
        <f>SUM(Post[[#This Row],[47]:[75]])</f>
        <v>7</v>
      </c>
    </row>
    <row r="1874" spans="1:36" x14ac:dyDescent="0.2">
      <c r="A1874" t="s">
        <v>58</v>
      </c>
      <c r="B1874" t="s">
        <v>54</v>
      </c>
      <c r="C1874">
        <v>4804</v>
      </c>
      <c r="D1874" t="s">
        <v>22</v>
      </c>
      <c r="E1874" t="s">
        <v>8</v>
      </c>
      <c r="F1874" t="s">
        <v>23</v>
      </c>
      <c r="J1874">
        <v>2</v>
      </c>
      <c r="W1874">
        <v>1</v>
      </c>
      <c r="AJ1874">
        <f>SUM(Post[[#This Row],[47]:[75]])</f>
        <v>3</v>
      </c>
    </row>
    <row r="1875" spans="1:36" x14ac:dyDescent="0.2">
      <c r="A1875" t="s">
        <v>58</v>
      </c>
      <c r="B1875" t="s">
        <v>54</v>
      </c>
      <c r="C1875">
        <v>5630</v>
      </c>
      <c r="D1875" t="s">
        <v>22</v>
      </c>
      <c r="E1875" t="s">
        <v>14</v>
      </c>
      <c r="F1875" t="s">
        <v>19</v>
      </c>
      <c r="AJ1875">
        <f>SUM(Post[[#This Row],[47]:[75]])</f>
        <v>0</v>
      </c>
    </row>
    <row r="1876" spans="1:36" x14ac:dyDescent="0.2">
      <c r="A1876" t="s">
        <v>58</v>
      </c>
      <c r="B1876" t="s">
        <v>54</v>
      </c>
      <c r="C1876">
        <v>5918</v>
      </c>
      <c r="D1876" t="s">
        <v>22</v>
      </c>
      <c r="E1876" t="s">
        <v>8</v>
      </c>
      <c r="F1876" t="s">
        <v>23</v>
      </c>
      <c r="H1876">
        <v>1</v>
      </c>
      <c r="V1876">
        <v>1</v>
      </c>
      <c r="AI1876">
        <v>1</v>
      </c>
      <c r="AJ1876">
        <f>SUM(Post[[#This Row],[47]:[75]])</f>
        <v>3</v>
      </c>
    </row>
    <row r="1877" spans="1:36" x14ac:dyDescent="0.2">
      <c r="A1877" t="s">
        <v>58</v>
      </c>
      <c r="B1877" t="s">
        <v>54</v>
      </c>
      <c r="C1877">
        <v>6395</v>
      </c>
      <c r="D1877" t="s">
        <v>22</v>
      </c>
      <c r="E1877" t="s">
        <v>8</v>
      </c>
      <c r="F1877" t="s">
        <v>23</v>
      </c>
      <c r="O1877">
        <v>1</v>
      </c>
      <c r="AJ1877">
        <f>SUM(Post[[#This Row],[47]:[75]])</f>
        <v>1</v>
      </c>
    </row>
    <row r="1878" spans="1:36" x14ac:dyDescent="0.2">
      <c r="A1878" t="s">
        <v>58</v>
      </c>
      <c r="B1878" t="s">
        <v>54</v>
      </c>
      <c r="C1878">
        <v>6691</v>
      </c>
      <c r="D1878" t="s">
        <v>22</v>
      </c>
      <c r="E1878" t="s">
        <v>40</v>
      </c>
      <c r="F1878" t="s">
        <v>44</v>
      </c>
      <c r="AJ1878">
        <f>SUM(Post[[#This Row],[47]:[75]])</f>
        <v>0</v>
      </c>
    </row>
    <row r="1879" spans="1:36" x14ac:dyDescent="0.2">
      <c r="A1879" t="s">
        <v>58</v>
      </c>
      <c r="B1879" t="s">
        <v>54</v>
      </c>
      <c r="C1879">
        <v>6691</v>
      </c>
      <c r="D1879" t="s">
        <v>22</v>
      </c>
      <c r="E1879" t="s">
        <v>40</v>
      </c>
      <c r="F1879" t="s">
        <v>41</v>
      </c>
      <c r="J1879">
        <v>1</v>
      </c>
      <c r="P1879">
        <v>1</v>
      </c>
      <c r="Y1879">
        <v>1</v>
      </c>
      <c r="AF1879">
        <v>1</v>
      </c>
      <c r="AJ1879">
        <f>SUM(Post[[#This Row],[47]:[75]])</f>
        <v>4</v>
      </c>
    </row>
    <row r="1880" spans="1:36" x14ac:dyDescent="0.2">
      <c r="A1880" t="s">
        <v>58</v>
      </c>
      <c r="B1880" t="s">
        <v>54</v>
      </c>
      <c r="C1880">
        <v>7190</v>
      </c>
      <c r="D1880" t="s">
        <v>22</v>
      </c>
      <c r="E1880" t="s">
        <v>14</v>
      </c>
      <c r="F1880" t="s">
        <v>20</v>
      </c>
      <c r="J1880">
        <v>1</v>
      </c>
      <c r="P1880">
        <v>1</v>
      </c>
      <c r="W1880">
        <v>1</v>
      </c>
      <c r="Z1880">
        <v>1</v>
      </c>
      <c r="AF1880">
        <v>1</v>
      </c>
      <c r="AJ1880">
        <f>SUM(Post[[#This Row],[47]:[75]])</f>
        <v>5</v>
      </c>
    </row>
    <row r="1881" spans="1:36" x14ac:dyDescent="0.2">
      <c r="A1881" t="s">
        <v>58</v>
      </c>
      <c r="B1881" t="s">
        <v>54</v>
      </c>
      <c r="C1881">
        <v>7373</v>
      </c>
      <c r="D1881" t="s">
        <v>22</v>
      </c>
      <c r="E1881" t="s">
        <v>14</v>
      </c>
      <c r="F1881" t="s">
        <v>19</v>
      </c>
      <c r="H1881">
        <v>5</v>
      </c>
      <c r="AJ1881">
        <f>SUM(Post[[#This Row],[47]:[75]])</f>
        <v>5</v>
      </c>
    </row>
    <row r="1882" spans="1:36" x14ac:dyDescent="0.2">
      <c r="A1882" t="s">
        <v>58</v>
      </c>
      <c r="B1882" t="s">
        <v>54</v>
      </c>
      <c r="C1882">
        <v>7533</v>
      </c>
      <c r="D1882" t="s">
        <v>22</v>
      </c>
      <c r="E1882" t="s">
        <v>8</v>
      </c>
      <c r="F1882" t="s">
        <v>23</v>
      </c>
      <c r="J1882">
        <v>1</v>
      </c>
      <c r="X1882">
        <v>1</v>
      </c>
      <c r="AJ1882">
        <f>SUM(Post[[#This Row],[47]:[75]])</f>
        <v>2</v>
      </c>
    </row>
    <row r="1883" spans="1:36" x14ac:dyDescent="0.2">
      <c r="A1883" t="s">
        <v>58</v>
      </c>
      <c r="B1883" t="s">
        <v>54</v>
      </c>
      <c r="C1883">
        <v>7533</v>
      </c>
      <c r="D1883" t="s">
        <v>22</v>
      </c>
      <c r="E1883" t="s">
        <v>26</v>
      </c>
      <c r="F1883" t="s">
        <v>27</v>
      </c>
      <c r="J1883">
        <v>1</v>
      </c>
      <c r="X1883">
        <v>1</v>
      </c>
      <c r="AJ1883">
        <f>SUM(Post[[#This Row],[47]:[75]])</f>
        <v>2</v>
      </c>
    </row>
    <row r="1884" spans="1:36" x14ac:dyDescent="0.2">
      <c r="A1884" t="s">
        <v>58</v>
      </c>
      <c r="B1884" t="s">
        <v>54</v>
      </c>
      <c r="C1884">
        <v>7982</v>
      </c>
      <c r="D1884" t="s">
        <v>22</v>
      </c>
      <c r="E1884" t="s">
        <v>14</v>
      </c>
      <c r="F1884" t="s">
        <v>20</v>
      </c>
      <c r="AJ1884">
        <f>SUM(Post[[#This Row],[47]:[75]])</f>
        <v>0</v>
      </c>
    </row>
    <row r="1885" spans="1:36" x14ac:dyDescent="0.2">
      <c r="A1885" t="s">
        <v>58</v>
      </c>
      <c r="B1885" t="s">
        <v>54</v>
      </c>
      <c r="C1885">
        <v>8170</v>
      </c>
      <c r="D1885" t="s">
        <v>22</v>
      </c>
      <c r="E1885" t="s">
        <v>8</v>
      </c>
      <c r="F1885" t="s">
        <v>23</v>
      </c>
      <c r="H1885">
        <v>1</v>
      </c>
      <c r="V1885">
        <v>1</v>
      </c>
      <c r="AH1885">
        <v>1</v>
      </c>
      <c r="AJ1885">
        <f>SUM(Post[[#This Row],[47]:[75]])</f>
        <v>3</v>
      </c>
    </row>
    <row r="1886" spans="1:36" x14ac:dyDescent="0.2">
      <c r="A1886" t="s">
        <v>58</v>
      </c>
      <c r="B1886" t="s">
        <v>54</v>
      </c>
      <c r="C1886">
        <v>8565</v>
      </c>
      <c r="D1886" t="s">
        <v>22</v>
      </c>
      <c r="E1886" t="s">
        <v>8</v>
      </c>
      <c r="F1886" t="s">
        <v>45</v>
      </c>
      <c r="AJ1886">
        <f>SUM(Post[[#This Row],[47]:[75]])</f>
        <v>0</v>
      </c>
    </row>
    <row r="1887" spans="1:36" x14ac:dyDescent="0.2">
      <c r="A1887" t="s">
        <v>58</v>
      </c>
      <c r="B1887" t="s">
        <v>54</v>
      </c>
      <c r="C1887">
        <v>8761</v>
      </c>
      <c r="D1887" t="s">
        <v>22</v>
      </c>
      <c r="E1887" t="s">
        <v>10</v>
      </c>
      <c r="F1887" t="s">
        <v>11</v>
      </c>
      <c r="J1887">
        <v>1</v>
      </c>
      <c r="AF1887">
        <v>1</v>
      </c>
      <c r="AJ1887">
        <f>SUM(Post[[#This Row],[47]:[75]])</f>
        <v>2</v>
      </c>
    </row>
    <row r="1888" spans="1:36" x14ac:dyDescent="0.2">
      <c r="A1888" t="s">
        <v>58</v>
      </c>
      <c r="B1888" t="s">
        <v>54</v>
      </c>
      <c r="C1888">
        <v>8958</v>
      </c>
      <c r="D1888" t="s">
        <v>22</v>
      </c>
      <c r="E1888" t="s">
        <v>8</v>
      </c>
      <c r="F1888" t="s">
        <v>23</v>
      </c>
      <c r="P1888">
        <v>1</v>
      </c>
      <c r="AC1888">
        <v>1</v>
      </c>
      <c r="AJ1888">
        <f>SUM(Post[[#This Row],[47]:[75]])</f>
        <v>2</v>
      </c>
    </row>
    <row r="1889" spans="1:36" x14ac:dyDescent="0.2">
      <c r="A1889" t="s">
        <v>58</v>
      </c>
      <c r="B1889" t="s">
        <v>54</v>
      </c>
      <c r="C1889">
        <v>9156</v>
      </c>
      <c r="D1889" t="s">
        <v>22</v>
      </c>
      <c r="E1889" t="s">
        <v>14</v>
      </c>
      <c r="F1889" t="s">
        <v>20</v>
      </c>
      <c r="AD1889">
        <v>1</v>
      </c>
      <c r="AJ1889">
        <f>SUM(Post[[#This Row],[47]:[75]])</f>
        <v>1</v>
      </c>
    </row>
    <row r="1890" spans="1:36" x14ac:dyDescent="0.2">
      <c r="A1890" t="s">
        <v>58</v>
      </c>
      <c r="B1890" t="s">
        <v>54</v>
      </c>
      <c r="C1890">
        <v>9346</v>
      </c>
      <c r="D1890" t="s">
        <v>22</v>
      </c>
      <c r="E1890" t="s">
        <v>8</v>
      </c>
      <c r="F1890" t="s">
        <v>23</v>
      </c>
      <c r="AJ1890">
        <f>SUM(Post[[#This Row],[47]:[75]])</f>
        <v>0</v>
      </c>
    </row>
    <row r="1891" spans="1:36" x14ac:dyDescent="0.2">
      <c r="A1891" t="s">
        <v>58</v>
      </c>
      <c r="B1891" t="s">
        <v>54</v>
      </c>
      <c r="C1891">
        <v>9346</v>
      </c>
      <c r="D1891" t="s">
        <v>22</v>
      </c>
      <c r="E1891" t="s">
        <v>14</v>
      </c>
      <c r="F1891" t="s">
        <v>20</v>
      </c>
      <c r="K1891">
        <v>1</v>
      </c>
      <c r="AB1891">
        <v>1</v>
      </c>
      <c r="AJ1891">
        <f>SUM(Post[[#This Row],[47]:[75]])</f>
        <v>2</v>
      </c>
    </row>
    <row r="1892" spans="1:36" x14ac:dyDescent="0.2">
      <c r="A1892" t="s">
        <v>58</v>
      </c>
      <c r="B1892" t="s">
        <v>54</v>
      </c>
      <c r="C1892">
        <v>11661</v>
      </c>
      <c r="D1892" t="s">
        <v>22</v>
      </c>
      <c r="E1892" t="s">
        <v>8</v>
      </c>
      <c r="F1892" t="s">
        <v>23</v>
      </c>
      <c r="AJ1892">
        <f>SUM(Post[[#This Row],[47]:[75]])</f>
        <v>0</v>
      </c>
    </row>
    <row r="1893" spans="1:36" x14ac:dyDescent="0.2">
      <c r="A1893" t="s">
        <v>58</v>
      </c>
      <c r="B1893" t="s">
        <v>54</v>
      </c>
      <c r="C1893">
        <v>11661</v>
      </c>
      <c r="D1893" t="s">
        <v>22</v>
      </c>
      <c r="E1893" t="s">
        <v>8</v>
      </c>
      <c r="F1893" t="s">
        <v>29</v>
      </c>
      <c r="I1893">
        <v>1</v>
      </c>
      <c r="R1893">
        <v>2</v>
      </c>
      <c r="W1893">
        <v>1</v>
      </c>
      <c r="AA1893">
        <v>1</v>
      </c>
      <c r="AE1893">
        <v>1</v>
      </c>
      <c r="AJ1893">
        <f>SUM(Post[[#This Row],[47]:[75]])</f>
        <v>6</v>
      </c>
    </row>
    <row r="1894" spans="1:36" x14ac:dyDescent="0.2">
      <c r="A1894" t="s">
        <v>58</v>
      </c>
      <c r="B1894" t="s">
        <v>54</v>
      </c>
      <c r="C1894">
        <v>13303</v>
      </c>
      <c r="D1894" t="s">
        <v>22</v>
      </c>
      <c r="E1894" t="s">
        <v>8</v>
      </c>
      <c r="F1894" t="s">
        <v>23</v>
      </c>
      <c r="AJ1894">
        <f>SUM(Post[[#This Row],[47]:[75]])</f>
        <v>0</v>
      </c>
    </row>
    <row r="1895" spans="1:36" x14ac:dyDescent="0.2">
      <c r="A1895" t="s">
        <v>58</v>
      </c>
      <c r="B1895" t="s">
        <v>54</v>
      </c>
      <c r="C1895">
        <v>13303</v>
      </c>
      <c r="D1895" t="s">
        <v>22</v>
      </c>
      <c r="E1895" t="s">
        <v>14</v>
      </c>
      <c r="F1895" t="s">
        <v>19</v>
      </c>
      <c r="I1895">
        <v>1</v>
      </c>
      <c r="AJ1895">
        <f>SUM(Post[[#This Row],[47]:[75]])</f>
        <v>1</v>
      </c>
    </row>
    <row r="1896" spans="1:36" x14ac:dyDescent="0.2">
      <c r="A1896" t="s">
        <v>58</v>
      </c>
      <c r="B1896" t="s">
        <v>54</v>
      </c>
      <c r="C1896">
        <v>13303</v>
      </c>
      <c r="D1896" t="s">
        <v>22</v>
      </c>
      <c r="E1896" t="s">
        <v>14</v>
      </c>
      <c r="F1896" t="s">
        <v>20</v>
      </c>
      <c r="AJ1896">
        <f>SUM(Post[[#This Row],[47]:[75]])</f>
        <v>0</v>
      </c>
    </row>
    <row r="1897" spans="1:36" x14ac:dyDescent="0.2">
      <c r="A1897" t="s">
        <v>58</v>
      </c>
      <c r="B1897" t="s">
        <v>54</v>
      </c>
      <c r="C1897">
        <v>17592</v>
      </c>
      <c r="D1897" t="s">
        <v>22</v>
      </c>
      <c r="E1897" t="s">
        <v>10</v>
      </c>
      <c r="F1897" t="s">
        <v>11</v>
      </c>
      <c r="K1897">
        <v>3</v>
      </c>
      <c r="AJ1897">
        <f>SUM(Post[[#This Row],[47]:[75]])</f>
        <v>3</v>
      </c>
    </row>
    <row r="1898" spans="1:36" x14ac:dyDescent="0.2">
      <c r="A1898" t="s">
        <v>58</v>
      </c>
      <c r="B1898" t="s">
        <v>54</v>
      </c>
      <c r="C1898">
        <v>20443</v>
      </c>
      <c r="D1898" t="s">
        <v>22</v>
      </c>
      <c r="E1898" t="s">
        <v>10</v>
      </c>
      <c r="F1898" t="s">
        <v>11</v>
      </c>
      <c r="G1898">
        <v>1</v>
      </c>
      <c r="L1898">
        <v>1</v>
      </c>
      <c r="T1898">
        <v>1</v>
      </c>
      <c r="X1898">
        <v>1</v>
      </c>
      <c r="AD1898">
        <v>1</v>
      </c>
      <c r="AJ1898">
        <f>SUM(Post[[#This Row],[47]:[75]])</f>
        <v>5</v>
      </c>
    </row>
    <row r="1899" spans="1:36" x14ac:dyDescent="0.2">
      <c r="A1899" t="s">
        <v>58</v>
      </c>
      <c r="B1899" t="s">
        <v>54</v>
      </c>
      <c r="C1899">
        <v>23103</v>
      </c>
      <c r="D1899" t="s">
        <v>22</v>
      </c>
      <c r="E1899" t="s">
        <v>10</v>
      </c>
      <c r="F1899" t="s">
        <v>11</v>
      </c>
      <c r="O1899">
        <v>1</v>
      </c>
      <c r="X1899">
        <v>1</v>
      </c>
      <c r="AJ1899">
        <f>SUM(Post[[#This Row],[47]:[75]])</f>
        <v>2</v>
      </c>
    </row>
    <row r="1900" spans="1:36" x14ac:dyDescent="0.2">
      <c r="A1900" t="s">
        <v>58</v>
      </c>
      <c r="B1900" t="s">
        <v>54</v>
      </c>
      <c r="C1900">
        <v>23103</v>
      </c>
      <c r="D1900" t="s">
        <v>22</v>
      </c>
      <c r="E1900" t="s">
        <v>14</v>
      </c>
      <c r="F1900" t="s">
        <v>35</v>
      </c>
      <c r="AJ1900">
        <f>SUM(Post[[#This Row],[47]:[75]])</f>
        <v>0</v>
      </c>
    </row>
    <row r="1901" spans="1:36" x14ac:dyDescent="0.2">
      <c r="A1901" t="s">
        <v>58</v>
      </c>
      <c r="B1901" t="s">
        <v>54</v>
      </c>
      <c r="C1901">
        <v>23103</v>
      </c>
      <c r="D1901" t="s">
        <v>22</v>
      </c>
      <c r="E1901" t="s">
        <v>14</v>
      </c>
      <c r="F1901" t="s">
        <v>19</v>
      </c>
      <c r="AE1901">
        <v>1</v>
      </c>
      <c r="AG1901">
        <v>1</v>
      </c>
      <c r="AJ1901">
        <f>SUM(Post[[#This Row],[47]:[75]])</f>
        <v>2</v>
      </c>
    </row>
    <row r="1902" spans="1:36" x14ac:dyDescent="0.2">
      <c r="A1902" t="s">
        <v>58</v>
      </c>
      <c r="B1902" t="s">
        <v>54</v>
      </c>
      <c r="C1902">
        <v>32686</v>
      </c>
      <c r="D1902" t="s">
        <v>22</v>
      </c>
      <c r="E1902" t="s">
        <v>8</v>
      </c>
      <c r="F1902" t="s">
        <v>29</v>
      </c>
      <c r="I1902">
        <v>1</v>
      </c>
      <c r="Y1902">
        <v>1</v>
      </c>
      <c r="AJ1902">
        <f>SUM(Post[[#This Row],[47]:[75]])</f>
        <v>2</v>
      </c>
    </row>
    <row r="1903" spans="1:36" x14ac:dyDescent="0.2">
      <c r="A1903" t="s">
        <v>58</v>
      </c>
      <c r="B1903" t="s">
        <v>54</v>
      </c>
      <c r="C1903">
        <v>32867</v>
      </c>
      <c r="D1903" t="s">
        <v>22</v>
      </c>
      <c r="E1903" t="s">
        <v>40</v>
      </c>
      <c r="F1903" t="s">
        <v>44</v>
      </c>
      <c r="AJ1903">
        <f>SUM(Post[[#This Row],[47]:[75]])</f>
        <v>0</v>
      </c>
    </row>
    <row r="1904" spans="1:36" x14ac:dyDescent="0.2">
      <c r="A1904" t="s">
        <v>58</v>
      </c>
      <c r="B1904" t="s">
        <v>54</v>
      </c>
      <c r="C1904">
        <v>12879</v>
      </c>
      <c r="D1904" t="s">
        <v>7</v>
      </c>
      <c r="E1904" t="s">
        <v>10</v>
      </c>
      <c r="F1904" t="s">
        <v>11</v>
      </c>
      <c r="AJ1904">
        <f>SUM(Post[[#This Row],[47]:[75]])</f>
        <v>0</v>
      </c>
    </row>
    <row r="1905" spans="1:36" x14ac:dyDescent="0.2">
      <c r="A1905" t="s">
        <v>58</v>
      </c>
      <c r="B1905" t="s">
        <v>54</v>
      </c>
      <c r="C1905">
        <v>1318</v>
      </c>
      <c r="D1905" t="s">
        <v>22</v>
      </c>
      <c r="E1905" t="s">
        <v>14</v>
      </c>
      <c r="F1905" t="s">
        <v>19</v>
      </c>
      <c r="X1905">
        <v>1</v>
      </c>
      <c r="AJ1905">
        <f>SUM(Post[[#This Row],[47]:[75]])</f>
        <v>1</v>
      </c>
    </row>
    <row r="1906" spans="1:36" x14ac:dyDescent="0.2">
      <c r="A1906" t="s">
        <v>58</v>
      </c>
      <c r="B1906" t="s">
        <v>54</v>
      </c>
      <c r="C1906">
        <v>1318</v>
      </c>
      <c r="D1906" t="s">
        <v>22</v>
      </c>
      <c r="E1906" t="s">
        <v>14</v>
      </c>
      <c r="F1906" t="s">
        <v>21</v>
      </c>
      <c r="AF1906">
        <v>1</v>
      </c>
      <c r="AJ1906">
        <f>SUM(Post[[#This Row],[47]:[75]])</f>
        <v>1</v>
      </c>
    </row>
    <row r="1907" spans="1:36" x14ac:dyDescent="0.2">
      <c r="A1907" t="s">
        <v>58</v>
      </c>
      <c r="B1907" t="s">
        <v>54</v>
      </c>
      <c r="C1907">
        <v>4567</v>
      </c>
      <c r="D1907" t="s">
        <v>7</v>
      </c>
      <c r="E1907" t="s">
        <v>10</v>
      </c>
      <c r="F1907" t="s">
        <v>11</v>
      </c>
      <c r="AD1907">
        <v>1</v>
      </c>
      <c r="AJ1907">
        <f>SUM(Post[[#This Row],[47]:[75]])</f>
        <v>1</v>
      </c>
    </row>
    <row r="1908" spans="1:36" x14ac:dyDescent="0.2">
      <c r="A1908" t="s">
        <v>58</v>
      </c>
      <c r="B1908" t="s">
        <v>54</v>
      </c>
      <c r="C1908">
        <v>4567</v>
      </c>
      <c r="D1908" t="s">
        <v>7</v>
      </c>
      <c r="E1908" t="s">
        <v>14</v>
      </c>
      <c r="F1908" t="s">
        <v>21</v>
      </c>
      <c r="AJ1908">
        <f>SUM(Post[[#This Row],[47]:[75]])</f>
        <v>0</v>
      </c>
    </row>
    <row r="1909" spans="1:36" x14ac:dyDescent="0.2">
      <c r="A1909" t="s">
        <v>58</v>
      </c>
      <c r="B1909" t="s">
        <v>54</v>
      </c>
      <c r="C1909">
        <v>4567</v>
      </c>
      <c r="D1909" t="s">
        <v>7</v>
      </c>
      <c r="E1909" t="s">
        <v>14</v>
      </c>
      <c r="F1909" t="s">
        <v>20</v>
      </c>
      <c r="J1909">
        <v>1</v>
      </c>
      <c r="O1909">
        <v>1</v>
      </c>
      <c r="S1909">
        <v>1</v>
      </c>
      <c r="W1909">
        <v>1</v>
      </c>
      <c r="Z1909">
        <v>1</v>
      </c>
      <c r="AB1909">
        <v>1</v>
      </c>
      <c r="AJ1909">
        <f>SUM(Post[[#This Row],[47]:[75]])</f>
        <v>6</v>
      </c>
    </row>
    <row r="1910" spans="1:36" x14ac:dyDescent="0.2">
      <c r="A1910" t="s">
        <v>58</v>
      </c>
      <c r="B1910" t="s">
        <v>54</v>
      </c>
      <c r="C1910">
        <v>8175</v>
      </c>
      <c r="D1910" t="s">
        <v>7</v>
      </c>
      <c r="E1910" t="s">
        <v>14</v>
      </c>
      <c r="F1910" t="s">
        <v>20</v>
      </c>
      <c r="AJ1910">
        <f>SUM(Post[[#This Row],[47]:[75]])</f>
        <v>0</v>
      </c>
    </row>
    <row r="1911" spans="1:36" x14ac:dyDescent="0.2">
      <c r="A1911" t="s">
        <v>58</v>
      </c>
      <c r="B1911" t="s">
        <v>54</v>
      </c>
      <c r="C1911">
        <v>9483</v>
      </c>
      <c r="D1911" t="s">
        <v>7</v>
      </c>
      <c r="E1911" t="s">
        <v>10</v>
      </c>
      <c r="F1911" t="s">
        <v>11</v>
      </c>
      <c r="AD1911">
        <v>1</v>
      </c>
      <c r="AJ1911">
        <f>SUM(Post[[#This Row],[47]:[75]])</f>
        <v>1</v>
      </c>
    </row>
    <row r="1912" spans="1:36" x14ac:dyDescent="0.2">
      <c r="A1912" t="s">
        <v>58</v>
      </c>
      <c r="B1912" t="s">
        <v>54</v>
      </c>
      <c r="C1912">
        <v>9483</v>
      </c>
      <c r="D1912" t="s">
        <v>7</v>
      </c>
      <c r="E1912" t="s">
        <v>14</v>
      </c>
      <c r="F1912" t="s">
        <v>31</v>
      </c>
      <c r="AJ1912">
        <f>SUM(Post[[#This Row],[47]:[75]])</f>
        <v>0</v>
      </c>
    </row>
    <row r="1913" spans="1:36" x14ac:dyDescent="0.2">
      <c r="A1913" t="s">
        <v>58</v>
      </c>
      <c r="B1913" t="s">
        <v>54</v>
      </c>
      <c r="C1913">
        <v>9483</v>
      </c>
      <c r="D1913" t="s">
        <v>7</v>
      </c>
      <c r="E1913" t="s">
        <v>14</v>
      </c>
      <c r="F1913" t="s">
        <v>28</v>
      </c>
      <c r="AJ1913">
        <f>SUM(Post[[#This Row],[47]:[75]])</f>
        <v>0</v>
      </c>
    </row>
    <row r="1914" spans="1:36" x14ac:dyDescent="0.2">
      <c r="A1914" t="s">
        <v>58</v>
      </c>
      <c r="B1914" t="s">
        <v>54</v>
      </c>
      <c r="C1914">
        <v>9483</v>
      </c>
      <c r="D1914" t="s">
        <v>7</v>
      </c>
      <c r="E1914" t="s">
        <v>14</v>
      </c>
      <c r="F1914" t="s">
        <v>21</v>
      </c>
      <c r="G1914">
        <v>1</v>
      </c>
      <c r="K1914">
        <v>1</v>
      </c>
      <c r="Q1914">
        <v>1</v>
      </c>
      <c r="U1914">
        <v>1</v>
      </c>
      <c r="Y1914">
        <v>1</v>
      </c>
      <c r="AH1914">
        <v>1</v>
      </c>
      <c r="AJ1914">
        <f>SUM(Post[[#This Row],[47]:[75]])</f>
        <v>6</v>
      </c>
    </row>
    <row r="1915" spans="1:36" x14ac:dyDescent="0.2">
      <c r="A1915" t="s">
        <v>58</v>
      </c>
      <c r="B1915" t="s">
        <v>54</v>
      </c>
      <c r="C1915">
        <v>16709</v>
      </c>
      <c r="D1915" t="s">
        <v>7</v>
      </c>
      <c r="E1915" t="s">
        <v>14</v>
      </c>
      <c r="F1915" t="s">
        <v>19</v>
      </c>
      <c r="AD1915">
        <v>1</v>
      </c>
      <c r="AJ1915">
        <f>SUM(Post[[#This Row],[47]:[75]])</f>
        <v>1</v>
      </c>
    </row>
    <row r="1916" spans="1:36" x14ac:dyDescent="0.2">
      <c r="A1916" t="s">
        <v>58</v>
      </c>
      <c r="B1916" t="s">
        <v>54</v>
      </c>
      <c r="C1916">
        <v>487</v>
      </c>
      <c r="D1916" t="s">
        <v>22</v>
      </c>
      <c r="E1916" t="s">
        <v>14</v>
      </c>
      <c r="F1916" t="s">
        <v>35</v>
      </c>
      <c r="AJ1916">
        <f>SUM(Post[[#This Row],[47]:[75]])</f>
        <v>0</v>
      </c>
    </row>
    <row r="1917" spans="1:36" x14ac:dyDescent="0.2">
      <c r="A1917" t="s">
        <v>58</v>
      </c>
      <c r="B1917" t="s">
        <v>54</v>
      </c>
      <c r="C1917">
        <v>7352</v>
      </c>
      <c r="D1917" t="s">
        <v>22</v>
      </c>
      <c r="E1917" t="s">
        <v>14</v>
      </c>
      <c r="F1917" t="s">
        <v>35</v>
      </c>
      <c r="AJ1917">
        <f>SUM(Post[[#This Row],[47]:[75]])</f>
        <v>0</v>
      </c>
    </row>
    <row r="1918" spans="1:36" x14ac:dyDescent="0.2">
      <c r="A1918" t="s">
        <v>58</v>
      </c>
      <c r="B1918" t="s">
        <v>54</v>
      </c>
      <c r="C1918">
        <v>13721</v>
      </c>
      <c r="D1918" t="s">
        <v>22</v>
      </c>
      <c r="E1918" t="s">
        <v>14</v>
      </c>
      <c r="F1918" t="s">
        <v>15</v>
      </c>
      <c r="N1918">
        <v>1</v>
      </c>
      <c r="AA1918">
        <v>1</v>
      </c>
      <c r="AJ1918">
        <f>SUM(Post[[#This Row],[47]:[75]])</f>
        <v>2</v>
      </c>
    </row>
    <row r="1919" spans="1:36" x14ac:dyDescent="0.2">
      <c r="A1919" t="s">
        <v>58</v>
      </c>
      <c r="B1919" t="s">
        <v>54</v>
      </c>
      <c r="C1919">
        <v>13736</v>
      </c>
      <c r="D1919" t="s">
        <v>22</v>
      </c>
      <c r="E1919" t="s">
        <v>14</v>
      </c>
      <c r="F1919" t="s">
        <v>20</v>
      </c>
      <c r="O1919">
        <v>1</v>
      </c>
      <c r="AC1919">
        <v>1</v>
      </c>
      <c r="AJ1919">
        <f>SUM(Post[[#This Row],[47]:[75]])</f>
        <v>2</v>
      </c>
    </row>
    <row r="1920" spans="1:36" x14ac:dyDescent="0.2">
      <c r="A1920" t="s">
        <v>58</v>
      </c>
      <c r="B1920" t="s">
        <v>54</v>
      </c>
      <c r="C1920">
        <v>9987</v>
      </c>
      <c r="D1920" t="s">
        <v>7</v>
      </c>
      <c r="E1920" t="s">
        <v>14</v>
      </c>
      <c r="F1920" t="s">
        <v>20</v>
      </c>
      <c r="H1920">
        <v>1</v>
      </c>
      <c r="X1920">
        <v>1</v>
      </c>
      <c r="AJ1920">
        <f>SUM(Post[[#This Row],[47]:[75]])</f>
        <v>2</v>
      </c>
    </row>
    <row r="1921" spans="1:36" x14ac:dyDescent="0.2">
      <c r="A1921" t="s">
        <v>58</v>
      </c>
      <c r="B1921" t="s">
        <v>54</v>
      </c>
      <c r="C1921">
        <v>30931</v>
      </c>
      <c r="D1921" t="s">
        <v>7</v>
      </c>
      <c r="E1921" t="s">
        <v>14</v>
      </c>
      <c r="F1921" t="s">
        <v>20</v>
      </c>
      <c r="AJ1921">
        <f>SUM(Post[[#This Row],[47]:[75]])</f>
        <v>0</v>
      </c>
    </row>
    <row r="1922" spans="1:36" x14ac:dyDescent="0.2">
      <c r="A1922" t="s">
        <v>58</v>
      </c>
      <c r="B1922" t="s">
        <v>54</v>
      </c>
      <c r="C1922">
        <v>3734</v>
      </c>
      <c r="D1922" t="s">
        <v>22</v>
      </c>
      <c r="E1922" t="s">
        <v>14</v>
      </c>
      <c r="F1922" t="s">
        <v>20</v>
      </c>
      <c r="N1922">
        <v>1</v>
      </c>
      <c r="AC1922">
        <v>1</v>
      </c>
      <c r="AJ1922">
        <f>SUM(Post[[#This Row],[47]:[75]])</f>
        <v>2</v>
      </c>
    </row>
    <row r="1923" spans="1:36" x14ac:dyDescent="0.2">
      <c r="A1923" t="s">
        <v>58</v>
      </c>
      <c r="B1923" t="s">
        <v>54</v>
      </c>
      <c r="C1923">
        <v>4259</v>
      </c>
      <c r="D1923" t="s">
        <v>22</v>
      </c>
      <c r="E1923" t="s">
        <v>14</v>
      </c>
      <c r="F1923" t="s">
        <v>15</v>
      </c>
      <c r="I1923">
        <v>1</v>
      </c>
      <c r="N1923">
        <v>1</v>
      </c>
      <c r="R1923">
        <v>1</v>
      </c>
      <c r="V1923">
        <v>1</v>
      </c>
      <c r="Z1923">
        <v>1</v>
      </c>
      <c r="AC1923">
        <v>1</v>
      </c>
      <c r="AG1923">
        <v>1</v>
      </c>
      <c r="AJ1923">
        <f>SUM(Post[[#This Row],[47]:[75]])</f>
        <v>7</v>
      </c>
    </row>
    <row r="1924" spans="1:36" x14ac:dyDescent="0.2">
      <c r="A1924" t="s">
        <v>58</v>
      </c>
      <c r="B1924" t="s">
        <v>54</v>
      </c>
      <c r="C1924">
        <v>4804</v>
      </c>
      <c r="D1924" t="s">
        <v>22</v>
      </c>
      <c r="E1924" t="s">
        <v>10</v>
      </c>
      <c r="F1924" t="s">
        <v>11</v>
      </c>
      <c r="O1924">
        <v>1</v>
      </c>
      <c r="AB1924">
        <v>1</v>
      </c>
      <c r="AJ1924">
        <f>SUM(Post[[#This Row],[47]:[75]])</f>
        <v>2</v>
      </c>
    </row>
    <row r="1925" spans="1:36" x14ac:dyDescent="0.2">
      <c r="A1925" t="s">
        <v>58</v>
      </c>
      <c r="B1925" t="s">
        <v>54</v>
      </c>
      <c r="C1925">
        <v>4804</v>
      </c>
      <c r="D1925" t="s">
        <v>22</v>
      </c>
      <c r="E1925" t="s">
        <v>14</v>
      </c>
      <c r="F1925" t="s">
        <v>35</v>
      </c>
      <c r="AJ1925">
        <f>SUM(Post[[#This Row],[47]:[75]])</f>
        <v>0</v>
      </c>
    </row>
    <row r="1926" spans="1:36" x14ac:dyDescent="0.2">
      <c r="A1926" t="s">
        <v>58</v>
      </c>
      <c r="B1926" t="s">
        <v>54</v>
      </c>
      <c r="C1926">
        <v>8565</v>
      </c>
      <c r="D1926" t="s">
        <v>22</v>
      </c>
      <c r="E1926" t="s">
        <v>14</v>
      </c>
      <c r="F1926" t="s">
        <v>20</v>
      </c>
      <c r="AJ1926">
        <f>SUM(Post[[#This Row],[47]:[75]])</f>
        <v>0</v>
      </c>
    </row>
    <row r="1927" spans="1:36" x14ac:dyDescent="0.2">
      <c r="A1927" t="s">
        <v>58</v>
      </c>
      <c r="B1927" t="s">
        <v>54</v>
      </c>
      <c r="C1927">
        <v>32867</v>
      </c>
      <c r="D1927" t="s">
        <v>22</v>
      </c>
      <c r="E1927" t="s">
        <v>14</v>
      </c>
      <c r="F1927" t="s">
        <v>19</v>
      </c>
      <c r="AJ1927">
        <f>SUM(Post[[#This Row],[47]:[75]])</f>
        <v>0</v>
      </c>
    </row>
    <row r="1928" spans="1:36" x14ac:dyDescent="0.2">
      <c r="A1928" t="s">
        <v>58</v>
      </c>
      <c r="B1928" t="s">
        <v>54</v>
      </c>
      <c r="C1928">
        <v>4340</v>
      </c>
      <c r="D1928" t="s">
        <v>22</v>
      </c>
      <c r="E1928" t="s">
        <v>14</v>
      </c>
      <c r="F1928" t="s">
        <v>20</v>
      </c>
      <c r="G1928">
        <v>1</v>
      </c>
      <c r="V1928">
        <v>1</v>
      </c>
      <c r="AJ1928">
        <f>SUM(Post[[#This Row],[47]:[75]])</f>
        <v>2</v>
      </c>
    </row>
    <row r="1929" spans="1:36" x14ac:dyDescent="0.2">
      <c r="A1929" t="s">
        <v>58</v>
      </c>
      <c r="B1929" t="s">
        <v>54</v>
      </c>
      <c r="C1929">
        <v>18260</v>
      </c>
      <c r="D1929" t="s">
        <v>22</v>
      </c>
      <c r="E1929" t="s">
        <v>14</v>
      </c>
      <c r="F1929" t="s">
        <v>20</v>
      </c>
      <c r="AJ1929">
        <f>SUM(Post[[#This Row],[47]:[75]])</f>
        <v>0</v>
      </c>
    </row>
    <row r="1930" spans="1:36" x14ac:dyDescent="0.2">
      <c r="A1930" t="s">
        <v>58</v>
      </c>
      <c r="B1930" t="s">
        <v>54</v>
      </c>
      <c r="C1930">
        <v>7614</v>
      </c>
      <c r="D1930" t="s">
        <v>22</v>
      </c>
      <c r="E1930" t="s">
        <v>14</v>
      </c>
      <c r="F1930" t="s">
        <v>20</v>
      </c>
      <c r="AJ1930">
        <f>SUM(Post[[#This Row],[47]:[75]])</f>
        <v>0</v>
      </c>
    </row>
    <row r="1931" spans="1:36" x14ac:dyDescent="0.2">
      <c r="A1931" t="s">
        <v>58</v>
      </c>
      <c r="B1931" t="s">
        <v>54</v>
      </c>
      <c r="C1931">
        <v>8170</v>
      </c>
      <c r="D1931" t="s">
        <v>22</v>
      </c>
      <c r="E1931" t="s">
        <v>10</v>
      </c>
      <c r="F1931" t="s">
        <v>11</v>
      </c>
      <c r="V1931">
        <v>1</v>
      </c>
      <c r="AJ1931">
        <f>SUM(Post[[#This Row],[47]:[75]])</f>
        <v>1</v>
      </c>
    </row>
    <row r="1932" spans="1:36" x14ac:dyDescent="0.2">
      <c r="A1932" t="s">
        <v>58</v>
      </c>
      <c r="B1932" t="s">
        <v>54</v>
      </c>
      <c r="C1932">
        <v>11661</v>
      </c>
      <c r="D1932" t="s">
        <v>22</v>
      </c>
      <c r="E1932" t="s">
        <v>10</v>
      </c>
      <c r="F1932" t="s">
        <v>11</v>
      </c>
      <c r="I1932">
        <v>2</v>
      </c>
      <c r="L1932">
        <v>1</v>
      </c>
      <c r="R1932">
        <v>2</v>
      </c>
      <c r="W1932">
        <v>1</v>
      </c>
      <c r="AA1932">
        <v>1</v>
      </c>
      <c r="AF1932">
        <v>2</v>
      </c>
      <c r="AJ1932">
        <f>SUM(Post[[#This Row],[47]:[75]])</f>
        <v>9</v>
      </c>
    </row>
    <row r="1933" spans="1:36" x14ac:dyDescent="0.2">
      <c r="A1933" t="s">
        <v>58</v>
      </c>
      <c r="B1933" t="s">
        <v>54</v>
      </c>
      <c r="C1933">
        <v>4639</v>
      </c>
      <c r="D1933" t="s">
        <v>7</v>
      </c>
      <c r="E1933" t="s">
        <v>8</v>
      </c>
      <c r="F1933" t="s">
        <v>23</v>
      </c>
      <c r="L1933">
        <v>1</v>
      </c>
      <c r="Y1933">
        <v>1</v>
      </c>
      <c r="AH1933">
        <v>1</v>
      </c>
      <c r="AJ1933">
        <f>SUM(Post[[#This Row],[47]:[75]])</f>
        <v>3</v>
      </c>
    </row>
    <row r="1934" spans="1:36" x14ac:dyDescent="0.2">
      <c r="A1934" t="s">
        <v>58</v>
      </c>
      <c r="B1934" t="s">
        <v>54</v>
      </c>
      <c r="C1934">
        <v>9352</v>
      </c>
      <c r="D1934" t="s">
        <v>7</v>
      </c>
      <c r="E1934" t="s">
        <v>8</v>
      </c>
      <c r="F1934" t="s">
        <v>23</v>
      </c>
      <c r="AJ1934">
        <f>SUM(Post[[#This Row],[47]:[75]])</f>
        <v>0</v>
      </c>
    </row>
    <row r="1935" spans="1:36" x14ac:dyDescent="0.2">
      <c r="A1935" t="s">
        <v>58</v>
      </c>
      <c r="B1935" t="s">
        <v>54</v>
      </c>
      <c r="C1935">
        <v>12879</v>
      </c>
      <c r="D1935" t="s">
        <v>7</v>
      </c>
      <c r="E1935" t="s">
        <v>8</v>
      </c>
      <c r="F1935" t="s">
        <v>9</v>
      </c>
      <c r="AB1935">
        <v>1</v>
      </c>
      <c r="AG1935">
        <v>1</v>
      </c>
      <c r="AJ1935">
        <f>SUM(Post[[#This Row],[47]:[75]])</f>
        <v>2</v>
      </c>
    </row>
    <row r="1936" spans="1:36" x14ac:dyDescent="0.2">
      <c r="A1936" t="s">
        <v>58</v>
      </c>
      <c r="B1936" t="s">
        <v>54</v>
      </c>
      <c r="C1936">
        <v>14546</v>
      </c>
      <c r="D1936" t="s">
        <v>7</v>
      </c>
      <c r="E1936" t="s">
        <v>8</v>
      </c>
      <c r="F1936" t="s">
        <v>29</v>
      </c>
      <c r="T1936">
        <v>1</v>
      </c>
      <c r="AJ1936">
        <f>SUM(Post[[#This Row],[47]:[75]])</f>
        <v>1</v>
      </c>
    </row>
    <row r="1937" spans="1:36" x14ac:dyDescent="0.2">
      <c r="A1937" t="s">
        <v>58</v>
      </c>
      <c r="B1937" t="s">
        <v>54</v>
      </c>
      <c r="C1937">
        <v>15082</v>
      </c>
      <c r="D1937" t="s">
        <v>7</v>
      </c>
      <c r="E1937" t="s">
        <v>8</v>
      </c>
      <c r="F1937" t="s">
        <v>30</v>
      </c>
      <c r="G1937">
        <v>1</v>
      </c>
      <c r="Q1937">
        <v>1</v>
      </c>
      <c r="AG1937">
        <v>1</v>
      </c>
      <c r="AJ1937">
        <f>SUM(Post[[#This Row],[47]:[75]])</f>
        <v>3</v>
      </c>
    </row>
    <row r="1938" spans="1:36" x14ac:dyDescent="0.2">
      <c r="A1938" t="s">
        <v>58</v>
      </c>
      <c r="B1938" t="s">
        <v>54</v>
      </c>
      <c r="C1938">
        <v>15112</v>
      </c>
      <c r="D1938" t="s">
        <v>7</v>
      </c>
      <c r="E1938" t="s">
        <v>8</v>
      </c>
      <c r="F1938" t="s">
        <v>29</v>
      </c>
      <c r="N1938">
        <v>1</v>
      </c>
      <c r="AA1938">
        <v>1</v>
      </c>
      <c r="AJ1938">
        <f>SUM(Post[[#This Row],[47]:[75]])</f>
        <v>2</v>
      </c>
    </row>
    <row r="1939" spans="1:36" x14ac:dyDescent="0.2">
      <c r="A1939" t="s">
        <v>58</v>
      </c>
      <c r="B1939" t="s">
        <v>54</v>
      </c>
      <c r="C1939">
        <v>931</v>
      </c>
      <c r="D1939" t="s">
        <v>22</v>
      </c>
      <c r="E1939" t="s">
        <v>8</v>
      </c>
      <c r="F1939" t="s">
        <v>23</v>
      </c>
      <c r="I1939">
        <v>1</v>
      </c>
      <c r="AA1939">
        <v>1</v>
      </c>
      <c r="AJ1939">
        <f>SUM(Post[[#This Row],[47]:[75]])</f>
        <v>2</v>
      </c>
    </row>
    <row r="1940" spans="1:36" x14ac:dyDescent="0.2">
      <c r="A1940" t="s">
        <v>58</v>
      </c>
      <c r="B1940" t="s">
        <v>54</v>
      </c>
      <c r="C1940">
        <v>2017</v>
      </c>
      <c r="D1940" t="s">
        <v>22</v>
      </c>
      <c r="E1940" t="s">
        <v>37</v>
      </c>
      <c r="F1940" t="s">
        <v>38</v>
      </c>
      <c r="K1940">
        <v>1</v>
      </c>
      <c r="V1940">
        <v>1</v>
      </c>
      <c r="AJ1940">
        <f>SUM(Post[[#This Row],[47]:[75]])</f>
        <v>2</v>
      </c>
    </row>
    <row r="1941" spans="1:36" x14ac:dyDescent="0.2">
      <c r="A1941" t="s">
        <v>58</v>
      </c>
      <c r="B1941" t="s">
        <v>54</v>
      </c>
      <c r="C1941">
        <v>4194</v>
      </c>
      <c r="D1941" t="s">
        <v>22</v>
      </c>
      <c r="E1941" t="s">
        <v>8</v>
      </c>
      <c r="F1941" t="s">
        <v>23</v>
      </c>
      <c r="AJ1941">
        <f>SUM(Post[[#This Row],[47]:[75]])</f>
        <v>0</v>
      </c>
    </row>
    <row r="1942" spans="1:36" x14ac:dyDescent="0.2">
      <c r="A1942" t="s">
        <v>58</v>
      </c>
      <c r="B1942" t="s">
        <v>54</v>
      </c>
      <c r="C1942">
        <v>4482</v>
      </c>
      <c r="D1942" t="s">
        <v>22</v>
      </c>
      <c r="E1942" t="s">
        <v>40</v>
      </c>
      <c r="F1942" t="s">
        <v>44</v>
      </c>
      <c r="I1942">
        <v>1</v>
      </c>
      <c r="AJ1942">
        <f>SUM(Post[[#This Row],[47]:[75]])</f>
        <v>1</v>
      </c>
    </row>
    <row r="1943" spans="1:36" x14ac:dyDescent="0.2">
      <c r="A1943" t="s">
        <v>58</v>
      </c>
      <c r="B1943" t="s">
        <v>54</v>
      </c>
      <c r="C1943">
        <v>6543</v>
      </c>
      <c r="D1943" t="s">
        <v>22</v>
      </c>
      <c r="E1943" t="s">
        <v>8</v>
      </c>
      <c r="F1943" t="s">
        <v>23</v>
      </c>
      <c r="P1943">
        <v>1</v>
      </c>
      <c r="S1943">
        <v>1</v>
      </c>
      <c r="AF1943">
        <v>1</v>
      </c>
      <c r="AJ1943">
        <f>SUM(Post[[#This Row],[47]:[75]])</f>
        <v>3</v>
      </c>
    </row>
    <row r="1944" spans="1:36" x14ac:dyDescent="0.2">
      <c r="A1944" t="s">
        <v>58</v>
      </c>
      <c r="B1944" t="s">
        <v>54</v>
      </c>
      <c r="C1944">
        <v>6689</v>
      </c>
      <c r="D1944" t="s">
        <v>22</v>
      </c>
      <c r="E1944" t="s">
        <v>8</v>
      </c>
      <c r="F1944" t="s">
        <v>29</v>
      </c>
      <c r="I1944">
        <v>1</v>
      </c>
      <c r="AD1944">
        <v>1</v>
      </c>
      <c r="AJ1944">
        <f>SUM(Post[[#This Row],[47]:[75]])</f>
        <v>2</v>
      </c>
    </row>
    <row r="1945" spans="1:36" x14ac:dyDescent="0.2">
      <c r="A1945" t="s">
        <v>58</v>
      </c>
      <c r="B1945" t="s">
        <v>54</v>
      </c>
      <c r="C1945">
        <v>9033</v>
      </c>
      <c r="D1945" t="s">
        <v>22</v>
      </c>
      <c r="E1945" t="s">
        <v>8</v>
      </c>
      <c r="F1945" t="s">
        <v>9</v>
      </c>
      <c r="R1945">
        <v>1</v>
      </c>
      <c r="AD1945">
        <v>1</v>
      </c>
      <c r="AJ1945">
        <f>SUM(Post[[#This Row],[47]:[75]])</f>
        <v>2</v>
      </c>
    </row>
    <row r="1946" spans="1:36" x14ac:dyDescent="0.2">
      <c r="A1946" t="s">
        <v>58</v>
      </c>
      <c r="B1946" t="s">
        <v>54</v>
      </c>
      <c r="C1946">
        <v>9395</v>
      </c>
      <c r="D1946" t="s">
        <v>22</v>
      </c>
      <c r="E1946" t="s">
        <v>8</v>
      </c>
      <c r="F1946" t="s">
        <v>29</v>
      </c>
      <c r="H1946">
        <v>1</v>
      </c>
      <c r="V1946">
        <v>1</v>
      </c>
      <c r="AI1946">
        <v>1</v>
      </c>
      <c r="AJ1946">
        <f>SUM(Post[[#This Row],[47]:[75]])</f>
        <v>3</v>
      </c>
    </row>
    <row r="1947" spans="1:36" x14ac:dyDescent="0.2">
      <c r="A1947" t="s">
        <v>58</v>
      </c>
      <c r="B1947" t="s">
        <v>54</v>
      </c>
      <c r="C1947">
        <v>10505</v>
      </c>
      <c r="D1947" t="s">
        <v>22</v>
      </c>
      <c r="E1947" t="s">
        <v>8</v>
      </c>
      <c r="F1947" t="s">
        <v>9</v>
      </c>
      <c r="I1947">
        <v>1</v>
      </c>
      <c r="N1947">
        <v>1</v>
      </c>
      <c r="R1947">
        <v>1</v>
      </c>
      <c r="W1947">
        <v>1</v>
      </c>
      <c r="AA1947">
        <v>1</v>
      </c>
      <c r="AF1947">
        <v>1</v>
      </c>
      <c r="AJ1947">
        <f>SUM(Post[[#This Row],[47]:[75]])</f>
        <v>6</v>
      </c>
    </row>
    <row r="1948" spans="1:36" x14ac:dyDescent="0.2">
      <c r="A1948" t="s">
        <v>58</v>
      </c>
      <c r="B1948" t="s">
        <v>54</v>
      </c>
      <c r="C1948">
        <v>14764</v>
      </c>
      <c r="D1948" t="s">
        <v>22</v>
      </c>
      <c r="E1948" t="s">
        <v>8</v>
      </c>
      <c r="F1948" t="s">
        <v>29</v>
      </c>
      <c r="I1948">
        <v>1</v>
      </c>
      <c r="P1948">
        <v>1</v>
      </c>
      <c r="AF1948">
        <v>1</v>
      </c>
      <c r="AJ1948">
        <f>SUM(Post[[#This Row],[47]:[75]])</f>
        <v>3</v>
      </c>
    </row>
    <row r="1949" spans="1:36" x14ac:dyDescent="0.2">
      <c r="A1949" t="s">
        <v>58</v>
      </c>
      <c r="B1949" t="s">
        <v>54</v>
      </c>
      <c r="C1949">
        <v>19458</v>
      </c>
      <c r="D1949" t="s">
        <v>22</v>
      </c>
      <c r="E1949" t="s">
        <v>8</v>
      </c>
      <c r="F1949" t="s">
        <v>23</v>
      </c>
      <c r="I1949">
        <v>1</v>
      </c>
      <c r="X1949">
        <v>1</v>
      </c>
      <c r="AJ1949">
        <f>SUM(Post[[#This Row],[47]:[75]])</f>
        <v>2</v>
      </c>
    </row>
    <row r="1950" spans="1:36" x14ac:dyDescent="0.2">
      <c r="A1950" t="s">
        <v>58</v>
      </c>
      <c r="B1950" t="s">
        <v>54</v>
      </c>
      <c r="C1950">
        <v>19991</v>
      </c>
      <c r="D1950" t="s">
        <v>22</v>
      </c>
      <c r="E1950" t="s">
        <v>8</v>
      </c>
      <c r="F1950" t="s">
        <v>23</v>
      </c>
      <c r="O1950">
        <v>1</v>
      </c>
      <c r="W1950">
        <v>1</v>
      </c>
      <c r="AJ1950">
        <f>SUM(Post[[#This Row],[47]:[75]])</f>
        <v>2</v>
      </c>
    </row>
    <row r="1951" spans="1:36" x14ac:dyDescent="0.2">
      <c r="A1951" t="s">
        <v>58</v>
      </c>
      <c r="B1951" t="s">
        <v>54</v>
      </c>
      <c r="C1951">
        <v>21240</v>
      </c>
      <c r="D1951" t="s">
        <v>22</v>
      </c>
      <c r="E1951" t="s">
        <v>8</v>
      </c>
      <c r="F1951" t="s">
        <v>23</v>
      </c>
      <c r="G1951">
        <v>1</v>
      </c>
      <c r="T1951">
        <v>1</v>
      </c>
      <c r="AD1951">
        <v>1</v>
      </c>
      <c r="AJ1951">
        <f>SUM(Post[[#This Row],[47]:[75]])</f>
        <v>3</v>
      </c>
    </row>
    <row r="1952" spans="1:36" x14ac:dyDescent="0.2">
      <c r="A1952" t="s">
        <v>58</v>
      </c>
      <c r="B1952" t="s">
        <v>54</v>
      </c>
      <c r="C1952">
        <v>22515</v>
      </c>
      <c r="D1952" t="s">
        <v>22</v>
      </c>
      <c r="E1952" t="s">
        <v>37</v>
      </c>
      <c r="F1952" t="s">
        <v>39</v>
      </c>
      <c r="N1952">
        <v>1</v>
      </c>
      <c r="P1952">
        <v>1</v>
      </c>
      <c r="Q1952">
        <v>1</v>
      </c>
      <c r="U1952">
        <v>1</v>
      </c>
      <c r="AA1952">
        <v>1</v>
      </c>
      <c r="AD1952">
        <v>1</v>
      </c>
      <c r="AJ1952">
        <f>SUM(Post[[#This Row],[47]:[75]])</f>
        <v>6</v>
      </c>
    </row>
    <row r="1953" spans="1:36" x14ac:dyDescent="0.2">
      <c r="A1953" t="s">
        <v>58</v>
      </c>
      <c r="B1953" t="s">
        <v>54</v>
      </c>
      <c r="C1953">
        <v>22515</v>
      </c>
      <c r="D1953" t="s">
        <v>22</v>
      </c>
      <c r="E1953" t="s">
        <v>8</v>
      </c>
      <c r="F1953" t="s">
        <v>23</v>
      </c>
      <c r="Q1953">
        <v>1</v>
      </c>
      <c r="AJ1953">
        <f>SUM(Post[[#This Row],[47]:[75]])</f>
        <v>1</v>
      </c>
    </row>
    <row r="1954" spans="1:36" x14ac:dyDescent="0.2">
      <c r="A1954" t="s">
        <v>58</v>
      </c>
      <c r="B1954" t="s">
        <v>54</v>
      </c>
      <c r="C1954">
        <v>5560</v>
      </c>
      <c r="D1954" t="s">
        <v>7</v>
      </c>
      <c r="E1954" t="s">
        <v>8</v>
      </c>
      <c r="F1954" t="s">
        <v>23</v>
      </c>
      <c r="AE1954">
        <v>1</v>
      </c>
      <c r="AJ1954">
        <f>SUM(Post[[#This Row],[47]:[75]])</f>
        <v>1</v>
      </c>
    </row>
    <row r="1955" spans="1:36" x14ac:dyDescent="0.2">
      <c r="A1955" t="s">
        <v>58</v>
      </c>
      <c r="B1955" t="s">
        <v>54</v>
      </c>
      <c r="C1955">
        <v>7887</v>
      </c>
      <c r="D1955" t="s">
        <v>7</v>
      </c>
      <c r="E1955" t="s">
        <v>8</v>
      </c>
      <c r="F1955" t="s">
        <v>34</v>
      </c>
      <c r="AG1955">
        <v>1</v>
      </c>
      <c r="AJ1955">
        <f>SUM(Post[[#This Row],[47]:[75]])</f>
        <v>1</v>
      </c>
    </row>
    <row r="1956" spans="1:36" x14ac:dyDescent="0.2">
      <c r="A1956" t="s">
        <v>58</v>
      </c>
      <c r="B1956" t="s">
        <v>54</v>
      </c>
      <c r="C1956">
        <v>9590</v>
      </c>
      <c r="D1956" t="s">
        <v>7</v>
      </c>
      <c r="E1956" t="s">
        <v>8</v>
      </c>
      <c r="F1956" t="s">
        <v>23</v>
      </c>
      <c r="T1956">
        <v>1</v>
      </c>
      <c r="AJ1956">
        <f>SUM(Post[[#This Row],[47]:[75]])</f>
        <v>1</v>
      </c>
    </row>
    <row r="1957" spans="1:36" x14ac:dyDescent="0.2">
      <c r="A1957" t="s">
        <v>58</v>
      </c>
      <c r="B1957" t="s">
        <v>54</v>
      </c>
      <c r="C1957">
        <v>12788</v>
      </c>
      <c r="D1957" t="s">
        <v>7</v>
      </c>
      <c r="E1957" t="s">
        <v>8</v>
      </c>
      <c r="F1957" t="s">
        <v>9</v>
      </c>
      <c r="J1957">
        <v>1</v>
      </c>
      <c r="AJ1957">
        <f>SUM(Post[[#This Row],[47]:[75]])</f>
        <v>1</v>
      </c>
    </row>
    <row r="1958" spans="1:36" x14ac:dyDescent="0.2">
      <c r="A1958" t="s">
        <v>58</v>
      </c>
      <c r="B1958" t="s">
        <v>54</v>
      </c>
      <c r="C1958">
        <v>172</v>
      </c>
      <c r="D1958" t="s">
        <v>22</v>
      </c>
      <c r="E1958" t="s">
        <v>8</v>
      </c>
      <c r="F1958" t="s">
        <v>23</v>
      </c>
      <c r="H1958">
        <v>1</v>
      </c>
      <c r="W1958">
        <v>1</v>
      </c>
      <c r="AJ1958">
        <f>SUM(Post[[#This Row],[47]:[75]])</f>
        <v>2</v>
      </c>
    </row>
    <row r="1959" spans="1:36" x14ac:dyDescent="0.2">
      <c r="A1959" t="s">
        <v>58</v>
      </c>
      <c r="B1959" t="s">
        <v>54</v>
      </c>
      <c r="C1959">
        <v>6334</v>
      </c>
      <c r="D1959" t="s">
        <v>22</v>
      </c>
      <c r="E1959" t="s">
        <v>8</v>
      </c>
      <c r="F1959" t="s">
        <v>23</v>
      </c>
      <c r="L1959">
        <v>1</v>
      </c>
      <c r="Z1959">
        <v>1</v>
      </c>
      <c r="AJ1959">
        <f>SUM(Post[[#This Row],[47]:[75]])</f>
        <v>2</v>
      </c>
    </row>
    <row r="1960" spans="1:36" x14ac:dyDescent="0.2">
      <c r="A1960" t="s">
        <v>58</v>
      </c>
      <c r="B1960" t="s">
        <v>54</v>
      </c>
      <c r="C1960">
        <v>6334</v>
      </c>
      <c r="D1960" t="s">
        <v>22</v>
      </c>
      <c r="E1960" t="s">
        <v>26</v>
      </c>
      <c r="F1960" t="s">
        <v>27</v>
      </c>
      <c r="P1960">
        <v>1</v>
      </c>
      <c r="AB1960">
        <v>1</v>
      </c>
      <c r="AJ1960">
        <f>SUM(Post[[#This Row],[47]:[75]])</f>
        <v>2</v>
      </c>
    </row>
    <row r="1961" spans="1:36" x14ac:dyDescent="0.2">
      <c r="A1961" t="s">
        <v>58</v>
      </c>
      <c r="B1961" t="s">
        <v>54</v>
      </c>
      <c r="C1961">
        <v>16566</v>
      </c>
      <c r="D1961" t="s">
        <v>22</v>
      </c>
      <c r="E1961" t="s">
        <v>8</v>
      </c>
      <c r="F1961" t="s">
        <v>9</v>
      </c>
      <c r="K1961">
        <v>1</v>
      </c>
      <c r="AB1961">
        <v>1</v>
      </c>
      <c r="AJ1961">
        <f>SUM(Post[[#This Row],[47]:[75]])</f>
        <v>2</v>
      </c>
    </row>
    <row r="1962" spans="1:36" x14ac:dyDescent="0.2">
      <c r="A1962" t="s">
        <v>58</v>
      </c>
      <c r="B1962" t="s">
        <v>54</v>
      </c>
      <c r="C1962">
        <v>23103</v>
      </c>
      <c r="D1962" t="s">
        <v>22</v>
      </c>
      <c r="E1962" t="s">
        <v>8</v>
      </c>
      <c r="F1962" t="s">
        <v>23</v>
      </c>
      <c r="AE1962">
        <v>1</v>
      </c>
      <c r="AG1962">
        <v>1</v>
      </c>
      <c r="AJ1962">
        <f>SUM(Post[[#This Row],[47]:[75]])</f>
        <v>2</v>
      </c>
    </row>
    <row r="1963" spans="1:36" x14ac:dyDescent="0.2">
      <c r="A1963" t="s">
        <v>22</v>
      </c>
      <c r="B1963" t="s">
        <v>54</v>
      </c>
      <c r="C1963">
        <v>2622</v>
      </c>
      <c r="D1963" t="s">
        <v>7</v>
      </c>
      <c r="E1963" t="s">
        <v>14</v>
      </c>
      <c r="F1963" t="s">
        <v>20</v>
      </c>
      <c r="U1963">
        <v>1</v>
      </c>
      <c r="X1963">
        <v>1</v>
      </c>
      <c r="AH1963">
        <v>1</v>
      </c>
      <c r="AJ1963">
        <f>SUM(Post[[#This Row],[47]:[75]])</f>
        <v>3</v>
      </c>
    </row>
    <row r="1964" spans="1:36" x14ac:dyDescent="0.2">
      <c r="A1964" t="s">
        <v>22</v>
      </c>
      <c r="B1964" t="s">
        <v>54</v>
      </c>
      <c r="C1964">
        <v>3698</v>
      </c>
      <c r="D1964" t="s">
        <v>7</v>
      </c>
      <c r="E1964" t="s">
        <v>14</v>
      </c>
      <c r="F1964" t="s">
        <v>20</v>
      </c>
      <c r="Q1964">
        <v>1</v>
      </c>
      <c r="AJ1964">
        <f>SUM(Post[[#This Row],[47]:[75]])</f>
        <v>1</v>
      </c>
    </row>
    <row r="1965" spans="1:36" x14ac:dyDescent="0.2">
      <c r="A1965" t="s">
        <v>22</v>
      </c>
      <c r="B1965" t="s">
        <v>54</v>
      </c>
      <c r="C1965">
        <v>4319</v>
      </c>
      <c r="D1965" t="s">
        <v>7</v>
      </c>
      <c r="E1965" t="s">
        <v>14</v>
      </c>
      <c r="F1965" t="s">
        <v>20</v>
      </c>
      <c r="X1965">
        <v>1</v>
      </c>
      <c r="AC1965">
        <v>1</v>
      </c>
      <c r="AG1965">
        <v>1</v>
      </c>
      <c r="AJ1965">
        <f>SUM(Post[[#This Row],[47]:[75]])</f>
        <v>3</v>
      </c>
    </row>
    <row r="1966" spans="1:36" x14ac:dyDescent="0.2">
      <c r="A1966" t="s">
        <v>22</v>
      </c>
      <c r="B1966" t="s">
        <v>54</v>
      </c>
      <c r="C1966">
        <v>4371</v>
      </c>
      <c r="D1966" t="s">
        <v>7</v>
      </c>
      <c r="E1966" t="s">
        <v>8</v>
      </c>
      <c r="F1966" t="s">
        <v>9</v>
      </c>
      <c r="I1966">
        <v>1</v>
      </c>
      <c r="Q1966">
        <v>1</v>
      </c>
      <c r="V1966">
        <v>1</v>
      </c>
      <c r="AE1966">
        <v>1</v>
      </c>
      <c r="AJ1966">
        <f>SUM(Post[[#This Row],[47]:[75]])</f>
        <v>4</v>
      </c>
    </row>
    <row r="1967" spans="1:36" x14ac:dyDescent="0.2">
      <c r="A1967" t="s">
        <v>22</v>
      </c>
      <c r="B1967" t="s">
        <v>54</v>
      </c>
      <c r="C1967">
        <v>5286</v>
      </c>
      <c r="D1967" t="s">
        <v>7</v>
      </c>
      <c r="E1967" t="s">
        <v>14</v>
      </c>
      <c r="F1967" t="s">
        <v>20</v>
      </c>
      <c r="P1967">
        <v>1</v>
      </c>
      <c r="X1967">
        <v>1</v>
      </c>
      <c r="AF1967">
        <v>1</v>
      </c>
      <c r="AJ1967">
        <f>SUM(Post[[#This Row],[47]:[75]])</f>
        <v>3</v>
      </c>
    </row>
    <row r="1968" spans="1:36" x14ac:dyDescent="0.2">
      <c r="A1968" t="s">
        <v>22</v>
      </c>
      <c r="B1968" t="s">
        <v>54</v>
      </c>
      <c r="C1968">
        <v>6186</v>
      </c>
      <c r="D1968" t="s">
        <v>7</v>
      </c>
      <c r="E1968" t="s">
        <v>14</v>
      </c>
      <c r="F1968" t="s">
        <v>31</v>
      </c>
      <c r="AJ1968">
        <f>SUM(Post[[#This Row],[47]:[75]])</f>
        <v>0</v>
      </c>
    </row>
    <row r="1969" spans="1:36" x14ac:dyDescent="0.2">
      <c r="A1969" t="s">
        <v>22</v>
      </c>
      <c r="B1969" t="s">
        <v>54</v>
      </c>
      <c r="C1969">
        <v>6186</v>
      </c>
      <c r="D1969" t="s">
        <v>7</v>
      </c>
      <c r="E1969" t="s">
        <v>14</v>
      </c>
      <c r="F1969" t="s">
        <v>28</v>
      </c>
      <c r="N1969">
        <v>1</v>
      </c>
      <c r="T1969">
        <v>1</v>
      </c>
      <c r="U1969">
        <v>1</v>
      </c>
      <c r="AC1969">
        <v>2</v>
      </c>
      <c r="AJ1969">
        <f>SUM(Post[[#This Row],[47]:[75]])</f>
        <v>5</v>
      </c>
    </row>
    <row r="1970" spans="1:36" x14ac:dyDescent="0.2">
      <c r="A1970" t="s">
        <v>22</v>
      </c>
      <c r="B1970" t="s">
        <v>54</v>
      </c>
      <c r="C1970">
        <v>6445</v>
      </c>
      <c r="D1970" t="s">
        <v>7</v>
      </c>
      <c r="E1970" t="s">
        <v>10</v>
      </c>
      <c r="F1970" t="s">
        <v>11</v>
      </c>
      <c r="AH1970">
        <v>1</v>
      </c>
      <c r="AJ1970">
        <f>SUM(Post[[#This Row],[47]:[75]])</f>
        <v>1</v>
      </c>
    </row>
    <row r="1971" spans="1:36" x14ac:dyDescent="0.2">
      <c r="A1971" t="s">
        <v>22</v>
      </c>
      <c r="B1971" t="s">
        <v>54</v>
      </c>
      <c r="C1971">
        <v>8508</v>
      </c>
      <c r="D1971" t="s">
        <v>7</v>
      </c>
      <c r="E1971" t="s">
        <v>8</v>
      </c>
      <c r="F1971" t="s">
        <v>23</v>
      </c>
      <c r="AJ1971">
        <f>SUM(Post[[#This Row],[47]:[75]])</f>
        <v>0</v>
      </c>
    </row>
    <row r="1972" spans="1:36" x14ac:dyDescent="0.2">
      <c r="A1972" t="s">
        <v>22</v>
      </c>
      <c r="B1972" t="s">
        <v>54</v>
      </c>
      <c r="C1972">
        <v>8508</v>
      </c>
      <c r="D1972" t="s">
        <v>7</v>
      </c>
      <c r="E1972" t="s">
        <v>8</v>
      </c>
      <c r="F1972" t="s">
        <v>29</v>
      </c>
      <c r="G1972">
        <v>1</v>
      </c>
      <c r="J1972">
        <v>1</v>
      </c>
      <c r="K1972">
        <v>1</v>
      </c>
      <c r="L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f>SUM(Post[[#This Row],[47]:[75]])</f>
        <v>26</v>
      </c>
    </row>
    <row r="1973" spans="1:36" x14ac:dyDescent="0.2">
      <c r="A1973" t="s">
        <v>22</v>
      </c>
      <c r="B1973" t="s">
        <v>54</v>
      </c>
      <c r="C1973">
        <v>8609</v>
      </c>
      <c r="D1973" t="s">
        <v>7</v>
      </c>
      <c r="E1973" t="s">
        <v>8</v>
      </c>
      <c r="F1973" t="s">
        <v>23</v>
      </c>
      <c r="AC1973">
        <v>1</v>
      </c>
      <c r="AJ1973">
        <f>SUM(Post[[#This Row],[47]:[75]])</f>
        <v>1</v>
      </c>
    </row>
    <row r="1974" spans="1:36" x14ac:dyDescent="0.2">
      <c r="A1974" t="s">
        <v>22</v>
      </c>
      <c r="B1974" t="s">
        <v>54</v>
      </c>
      <c r="C1974">
        <v>9729</v>
      </c>
      <c r="D1974" t="s">
        <v>7</v>
      </c>
      <c r="E1974" t="s">
        <v>8</v>
      </c>
      <c r="F1974" t="s">
        <v>29</v>
      </c>
      <c r="H1974">
        <v>1</v>
      </c>
      <c r="AA1974">
        <v>1</v>
      </c>
      <c r="AJ1974">
        <f>SUM(Post[[#This Row],[47]:[75]])</f>
        <v>2</v>
      </c>
    </row>
    <row r="1975" spans="1:36" x14ac:dyDescent="0.2">
      <c r="A1975" t="s">
        <v>22</v>
      </c>
      <c r="B1975" t="s">
        <v>54</v>
      </c>
      <c r="C1975">
        <v>10742</v>
      </c>
      <c r="D1975" t="s">
        <v>7</v>
      </c>
      <c r="E1975" t="s">
        <v>8</v>
      </c>
      <c r="F1975" t="s">
        <v>29</v>
      </c>
      <c r="G1975">
        <v>1</v>
      </c>
      <c r="U1975">
        <v>1</v>
      </c>
      <c r="AJ1975">
        <f>SUM(Post[[#This Row],[47]:[75]])</f>
        <v>2</v>
      </c>
    </row>
    <row r="1976" spans="1:36" x14ac:dyDescent="0.2">
      <c r="A1976" t="s">
        <v>22</v>
      </c>
      <c r="B1976" t="s">
        <v>54</v>
      </c>
      <c r="C1976">
        <v>11669</v>
      </c>
      <c r="D1976" t="s">
        <v>7</v>
      </c>
      <c r="E1976" t="s">
        <v>10</v>
      </c>
      <c r="F1976" t="s">
        <v>11</v>
      </c>
      <c r="J1976">
        <v>1</v>
      </c>
      <c r="O1976">
        <v>1</v>
      </c>
      <c r="S1976">
        <v>1</v>
      </c>
      <c r="W1976">
        <v>1</v>
      </c>
      <c r="AA1976">
        <v>1</v>
      </c>
      <c r="AE1976">
        <v>1</v>
      </c>
      <c r="AJ1976">
        <f>SUM(Post[[#This Row],[47]:[75]])</f>
        <v>6</v>
      </c>
    </row>
    <row r="1977" spans="1:36" x14ac:dyDescent="0.2">
      <c r="A1977" t="s">
        <v>22</v>
      </c>
      <c r="B1977" t="s">
        <v>54</v>
      </c>
      <c r="C1977">
        <v>13104</v>
      </c>
      <c r="D1977" t="s">
        <v>7</v>
      </c>
      <c r="E1977" t="s">
        <v>8</v>
      </c>
      <c r="F1977" t="s">
        <v>9</v>
      </c>
      <c r="AJ1977">
        <f>SUM(Post[[#This Row],[47]:[75]])</f>
        <v>0</v>
      </c>
    </row>
    <row r="1978" spans="1:36" x14ac:dyDescent="0.2">
      <c r="A1978" t="s">
        <v>22</v>
      </c>
      <c r="B1978" t="s">
        <v>54</v>
      </c>
      <c r="C1978">
        <v>13221</v>
      </c>
      <c r="D1978" t="s">
        <v>7</v>
      </c>
      <c r="E1978" t="s">
        <v>8</v>
      </c>
      <c r="F1978" t="s">
        <v>9</v>
      </c>
      <c r="AJ1978">
        <f>SUM(Post[[#This Row],[47]:[75]])</f>
        <v>0</v>
      </c>
    </row>
    <row r="1979" spans="1:36" x14ac:dyDescent="0.2">
      <c r="A1979" t="s">
        <v>22</v>
      </c>
      <c r="B1979" t="s">
        <v>54</v>
      </c>
      <c r="C1979">
        <v>13536</v>
      </c>
      <c r="D1979" t="s">
        <v>7</v>
      </c>
      <c r="E1979" t="s">
        <v>14</v>
      </c>
      <c r="F1979" t="s">
        <v>35</v>
      </c>
      <c r="AI1979">
        <v>2</v>
      </c>
      <c r="AJ1979">
        <f>SUM(Post[[#This Row],[47]:[75]])</f>
        <v>2</v>
      </c>
    </row>
    <row r="1980" spans="1:36" x14ac:dyDescent="0.2">
      <c r="A1980" t="s">
        <v>22</v>
      </c>
      <c r="B1980" t="s">
        <v>54</v>
      </c>
      <c r="C1980">
        <v>13890</v>
      </c>
      <c r="D1980" t="s">
        <v>7</v>
      </c>
      <c r="E1980" t="s">
        <v>14</v>
      </c>
      <c r="F1980" t="s">
        <v>35</v>
      </c>
      <c r="AJ1980">
        <f>SUM(Post[[#This Row],[47]:[75]])</f>
        <v>0</v>
      </c>
    </row>
    <row r="1981" spans="1:36" x14ac:dyDescent="0.2">
      <c r="A1981" t="s">
        <v>22</v>
      </c>
      <c r="B1981" t="s">
        <v>54</v>
      </c>
      <c r="C1981">
        <v>13910</v>
      </c>
      <c r="D1981" t="s">
        <v>7</v>
      </c>
      <c r="E1981" t="s">
        <v>14</v>
      </c>
      <c r="F1981" t="s">
        <v>20</v>
      </c>
      <c r="R1981">
        <v>1</v>
      </c>
      <c r="AJ1981">
        <f>SUM(Post[[#This Row],[47]:[75]])</f>
        <v>1</v>
      </c>
    </row>
    <row r="1982" spans="1:36" x14ac:dyDescent="0.2">
      <c r="A1982" t="s">
        <v>22</v>
      </c>
      <c r="B1982" t="s">
        <v>54</v>
      </c>
      <c r="C1982">
        <v>14855</v>
      </c>
      <c r="D1982" t="s">
        <v>7</v>
      </c>
      <c r="E1982" t="s">
        <v>8</v>
      </c>
      <c r="F1982" t="s">
        <v>9</v>
      </c>
      <c r="H1982">
        <v>1</v>
      </c>
      <c r="AH1982">
        <v>1</v>
      </c>
      <c r="AJ1982">
        <f>SUM(Post[[#This Row],[47]:[75]])</f>
        <v>2</v>
      </c>
    </row>
    <row r="1983" spans="1:36" x14ac:dyDescent="0.2">
      <c r="A1983" t="s">
        <v>22</v>
      </c>
      <c r="B1983" t="s">
        <v>54</v>
      </c>
      <c r="C1983">
        <v>15269</v>
      </c>
      <c r="D1983" t="s">
        <v>7</v>
      </c>
      <c r="E1983" t="s">
        <v>8</v>
      </c>
      <c r="F1983" t="s">
        <v>23</v>
      </c>
      <c r="AJ1983">
        <f>SUM(Post[[#This Row],[47]:[75]])</f>
        <v>0</v>
      </c>
    </row>
    <row r="1984" spans="1:36" x14ac:dyDescent="0.2">
      <c r="A1984" t="s">
        <v>22</v>
      </c>
      <c r="B1984" t="s">
        <v>54</v>
      </c>
      <c r="C1984">
        <v>15531</v>
      </c>
      <c r="D1984" t="s">
        <v>7</v>
      </c>
      <c r="E1984" t="s">
        <v>8</v>
      </c>
      <c r="F1984" t="s">
        <v>9</v>
      </c>
      <c r="S1984">
        <v>1</v>
      </c>
      <c r="AC1984">
        <v>1</v>
      </c>
      <c r="AJ1984">
        <f>SUM(Post[[#This Row],[47]:[75]])</f>
        <v>2</v>
      </c>
    </row>
    <row r="1985" spans="1:36" x14ac:dyDescent="0.2">
      <c r="A1985" t="s">
        <v>22</v>
      </c>
      <c r="B1985" t="s">
        <v>54</v>
      </c>
      <c r="C1985">
        <v>15692</v>
      </c>
      <c r="D1985" t="s">
        <v>7</v>
      </c>
      <c r="E1985" t="s">
        <v>8</v>
      </c>
      <c r="F1985" t="s">
        <v>9</v>
      </c>
      <c r="AJ1985">
        <f>SUM(Post[[#This Row],[47]:[75]])</f>
        <v>0</v>
      </c>
    </row>
    <row r="1986" spans="1:36" x14ac:dyDescent="0.2">
      <c r="A1986" t="s">
        <v>22</v>
      </c>
      <c r="B1986" t="s">
        <v>54</v>
      </c>
      <c r="C1986">
        <v>16059</v>
      </c>
      <c r="D1986" t="s">
        <v>7</v>
      </c>
      <c r="E1986" t="s">
        <v>14</v>
      </c>
      <c r="F1986" t="s">
        <v>35</v>
      </c>
      <c r="AJ1986">
        <f>SUM(Post[[#This Row],[47]:[75]])</f>
        <v>0</v>
      </c>
    </row>
    <row r="1987" spans="1:36" x14ac:dyDescent="0.2">
      <c r="A1987" t="s">
        <v>22</v>
      </c>
      <c r="B1987" t="s">
        <v>54</v>
      </c>
      <c r="C1987">
        <v>16281</v>
      </c>
      <c r="D1987" t="s">
        <v>7</v>
      </c>
      <c r="E1987" t="s">
        <v>14</v>
      </c>
      <c r="F1987" t="s">
        <v>35</v>
      </c>
      <c r="V1987">
        <v>2</v>
      </c>
      <c r="AH1987">
        <v>1</v>
      </c>
      <c r="AJ1987">
        <f>SUM(Post[[#This Row],[47]:[75]])</f>
        <v>3</v>
      </c>
    </row>
    <row r="1988" spans="1:36" x14ac:dyDescent="0.2">
      <c r="A1988" t="s">
        <v>22</v>
      </c>
      <c r="B1988" t="s">
        <v>54</v>
      </c>
      <c r="C1988">
        <v>16498</v>
      </c>
      <c r="D1988" t="s">
        <v>7</v>
      </c>
      <c r="E1988" t="s">
        <v>14</v>
      </c>
      <c r="F1988" t="s">
        <v>35</v>
      </c>
      <c r="AD1988">
        <v>1</v>
      </c>
      <c r="AJ1988">
        <f>SUM(Post[[#This Row],[47]:[75]])</f>
        <v>1</v>
      </c>
    </row>
    <row r="1989" spans="1:36" x14ac:dyDescent="0.2">
      <c r="A1989" t="s">
        <v>22</v>
      </c>
      <c r="B1989" t="s">
        <v>54</v>
      </c>
      <c r="C1989">
        <v>17469</v>
      </c>
      <c r="D1989" t="s">
        <v>7</v>
      </c>
      <c r="E1989" t="s">
        <v>14</v>
      </c>
      <c r="F1989" t="s">
        <v>20</v>
      </c>
      <c r="R1989">
        <v>1</v>
      </c>
      <c r="AJ1989">
        <f>SUM(Post[[#This Row],[47]:[75]])</f>
        <v>1</v>
      </c>
    </row>
    <row r="1990" spans="1:36" x14ac:dyDescent="0.2">
      <c r="A1990" t="s">
        <v>22</v>
      </c>
      <c r="B1990" t="s">
        <v>54</v>
      </c>
      <c r="C1990">
        <v>22019</v>
      </c>
      <c r="D1990" t="s">
        <v>7</v>
      </c>
      <c r="E1990" t="s">
        <v>14</v>
      </c>
      <c r="F1990" t="s">
        <v>20</v>
      </c>
      <c r="AA1990">
        <v>1</v>
      </c>
      <c r="AJ1990">
        <f>SUM(Post[[#This Row],[47]:[75]])</f>
        <v>1</v>
      </c>
    </row>
    <row r="1991" spans="1:36" x14ac:dyDescent="0.2">
      <c r="A1991" t="s">
        <v>22</v>
      </c>
      <c r="B1991" t="s">
        <v>54</v>
      </c>
      <c r="C1991">
        <v>25173</v>
      </c>
      <c r="D1991" t="s">
        <v>7</v>
      </c>
      <c r="E1991" t="s">
        <v>14</v>
      </c>
      <c r="F1991" t="s">
        <v>19</v>
      </c>
      <c r="AC1991">
        <v>2</v>
      </c>
      <c r="AD1991">
        <v>1</v>
      </c>
      <c r="AI1991">
        <v>1</v>
      </c>
      <c r="AJ1991">
        <f>SUM(Post[[#This Row],[47]:[75]])</f>
        <v>4</v>
      </c>
    </row>
    <row r="1992" spans="1:36" x14ac:dyDescent="0.2">
      <c r="A1992" t="s">
        <v>22</v>
      </c>
      <c r="B1992" t="s">
        <v>54</v>
      </c>
      <c r="C1992">
        <v>510</v>
      </c>
      <c r="D1992" t="s">
        <v>22</v>
      </c>
      <c r="E1992" t="s">
        <v>8</v>
      </c>
      <c r="F1992" t="s">
        <v>9</v>
      </c>
      <c r="X1992">
        <v>1</v>
      </c>
      <c r="AJ1992">
        <f>SUM(Post[[#This Row],[47]:[75]])</f>
        <v>1</v>
      </c>
    </row>
    <row r="1993" spans="1:36" x14ac:dyDescent="0.2">
      <c r="A1993" t="s">
        <v>22</v>
      </c>
      <c r="B1993" t="s">
        <v>54</v>
      </c>
      <c r="C1993">
        <v>510</v>
      </c>
      <c r="D1993" t="s">
        <v>22</v>
      </c>
      <c r="E1993" t="s">
        <v>14</v>
      </c>
      <c r="F1993" t="s">
        <v>35</v>
      </c>
      <c r="AF1993">
        <v>1</v>
      </c>
      <c r="AJ1993">
        <f>SUM(Post[[#This Row],[47]:[75]])</f>
        <v>1</v>
      </c>
    </row>
    <row r="1994" spans="1:36" x14ac:dyDescent="0.2">
      <c r="A1994" t="s">
        <v>22</v>
      </c>
      <c r="B1994" t="s">
        <v>54</v>
      </c>
      <c r="C1994">
        <v>552</v>
      </c>
      <c r="D1994" t="s">
        <v>22</v>
      </c>
      <c r="E1994" t="s">
        <v>8</v>
      </c>
      <c r="F1994" t="s">
        <v>9</v>
      </c>
      <c r="I1994">
        <v>1</v>
      </c>
      <c r="R1994">
        <v>1</v>
      </c>
      <c r="Y1994">
        <v>1</v>
      </c>
      <c r="AF1994">
        <v>1</v>
      </c>
      <c r="AJ1994">
        <f>SUM(Post[[#This Row],[47]:[75]])</f>
        <v>4</v>
      </c>
    </row>
    <row r="1995" spans="1:36" x14ac:dyDescent="0.2">
      <c r="A1995" t="s">
        <v>22</v>
      </c>
      <c r="B1995" t="s">
        <v>54</v>
      </c>
      <c r="C1995">
        <v>1486</v>
      </c>
      <c r="D1995" t="s">
        <v>22</v>
      </c>
      <c r="E1995" t="s">
        <v>8</v>
      </c>
      <c r="F1995" t="s">
        <v>9</v>
      </c>
      <c r="I1995">
        <v>1</v>
      </c>
      <c r="Y1995">
        <v>1</v>
      </c>
      <c r="AJ1995">
        <f>SUM(Post[[#This Row],[47]:[75]])</f>
        <v>2</v>
      </c>
    </row>
    <row r="1996" spans="1:36" x14ac:dyDescent="0.2">
      <c r="A1996" t="s">
        <v>22</v>
      </c>
      <c r="B1996" t="s">
        <v>54</v>
      </c>
      <c r="C1996">
        <v>1703</v>
      </c>
      <c r="D1996" t="s">
        <v>22</v>
      </c>
      <c r="E1996" t="s">
        <v>8</v>
      </c>
      <c r="F1996" t="s">
        <v>9</v>
      </c>
      <c r="AD1996">
        <v>1</v>
      </c>
      <c r="AJ1996">
        <f>SUM(Post[[#This Row],[47]:[75]])</f>
        <v>1</v>
      </c>
    </row>
    <row r="1997" spans="1:36" x14ac:dyDescent="0.2">
      <c r="A1997" t="s">
        <v>22</v>
      </c>
      <c r="B1997" t="s">
        <v>54</v>
      </c>
      <c r="C1997">
        <v>3738</v>
      </c>
      <c r="D1997" t="s">
        <v>22</v>
      </c>
      <c r="E1997" t="s">
        <v>8</v>
      </c>
      <c r="F1997" t="s">
        <v>9</v>
      </c>
      <c r="U1997">
        <v>1</v>
      </c>
      <c r="AJ1997">
        <f>SUM(Post[[#This Row],[47]:[75]])</f>
        <v>1</v>
      </c>
    </row>
    <row r="1998" spans="1:36" x14ac:dyDescent="0.2">
      <c r="A1998" t="s">
        <v>22</v>
      </c>
      <c r="B1998" t="s">
        <v>54</v>
      </c>
      <c r="C1998">
        <v>4728</v>
      </c>
      <c r="D1998" t="s">
        <v>22</v>
      </c>
      <c r="E1998" t="s">
        <v>8</v>
      </c>
      <c r="F1998" t="s">
        <v>9</v>
      </c>
      <c r="AJ1998">
        <f>SUM(Post[[#This Row],[47]:[75]])</f>
        <v>0</v>
      </c>
    </row>
    <row r="1999" spans="1:36" x14ac:dyDescent="0.2">
      <c r="A1999" t="s">
        <v>22</v>
      </c>
      <c r="B1999" t="s">
        <v>54</v>
      </c>
      <c r="C1999">
        <v>5730</v>
      </c>
      <c r="D1999" t="s">
        <v>22</v>
      </c>
      <c r="E1999" t="s">
        <v>8</v>
      </c>
      <c r="F1999" t="s">
        <v>29</v>
      </c>
      <c r="G1999">
        <v>1</v>
      </c>
      <c r="AA1999">
        <v>1</v>
      </c>
      <c r="AJ1999">
        <f>SUM(Post[[#This Row],[47]:[75]])</f>
        <v>2</v>
      </c>
    </row>
    <row r="2000" spans="1:36" x14ac:dyDescent="0.2">
      <c r="A2000" t="s">
        <v>22</v>
      </c>
      <c r="B2000" t="s">
        <v>54</v>
      </c>
      <c r="C2000">
        <v>5774</v>
      </c>
      <c r="D2000" t="s">
        <v>22</v>
      </c>
      <c r="E2000" t="s">
        <v>8</v>
      </c>
      <c r="F2000" t="s">
        <v>9</v>
      </c>
      <c r="O2000">
        <v>1</v>
      </c>
      <c r="AC2000">
        <v>1</v>
      </c>
      <c r="AJ2000">
        <f>SUM(Post[[#This Row],[47]:[75]])</f>
        <v>2</v>
      </c>
    </row>
    <row r="2001" spans="1:36" x14ac:dyDescent="0.2">
      <c r="A2001" t="s">
        <v>22</v>
      </c>
      <c r="B2001" t="s">
        <v>54</v>
      </c>
      <c r="C2001">
        <v>5815</v>
      </c>
      <c r="D2001" t="s">
        <v>22</v>
      </c>
      <c r="E2001" t="s">
        <v>8</v>
      </c>
      <c r="F2001" t="s">
        <v>9</v>
      </c>
      <c r="H2001">
        <v>1</v>
      </c>
      <c r="AD2001">
        <v>1</v>
      </c>
      <c r="AJ2001">
        <f>SUM(Post[[#This Row],[47]:[75]])</f>
        <v>2</v>
      </c>
    </row>
    <row r="2002" spans="1:36" x14ac:dyDescent="0.2">
      <c r="A2002" t="s">
        <v>22</v>
      </c>
      <c r="B2002" t="s">
        <v>54</v>
      </c>
      <c r="C2002">
        <v>6412</v>
      </c>
      <c r="D2002" t="s">
        <v>22</v>
      </c>
      <c r="E2002" t="s">
        <v>8</v>
      </c>
      <c r="F2002" t="s">
        <v>9</v>
      </c>
      <c r="U2002">
        <v>1</v>
      </c>
      <c r="AG2002">
        <v>1</v>
      </c>
      <c r="AJ2002">
        <f>SUM(Post[[#This Row],[47]:[75]])</f>
        <v>2</v>
      </c>
    </row>
    <row r="2003" spans="1:36" x14ac:dyDescent="0.2">
      <c r="A2003" t="s">
        <v>22</v>
      </c>
      <c r="B2003" t="s">
        <v>54</v>
      </c>
      <c r="C2003">
        <v>6414</v>
      </c>
      <c r="D2003" t="s">
        <v>22</v>
      </c>
      <c r="E2003" t="s">
        <v>8</v>
      </c>
      <c r="F2003" t="s">
        <v>23</v>
      </c>
      <c r="I2003">
        <v>1</v>
      </c>
      <c r="X2003">
        <v>2</v>
      </c>
      <c r="AJ2003">
        <f>SUM(Post[[#This Row],[47]:[75]])</f>
        <v>3</v>
      </c>
    </row>
    <row r="2004" spans="1:36" x14ac:dyDescent="0.2">
      <c r="A2004" t="s">
        <v>22</v>
      </c>
      <c r="B2004" t="s">
        <v>54</v>
      </c>
      <c r="C2004">
        <v>7278</v>
      </c>
      <c r="D2004" t="s">
        <v>22</v>
      </c>
      <c r="E2004" t="s">
        <v>8</v>
      </c>
      <c r="F2004" t="s">
        <v>23</v>
      </c>
      <c r="R2004">
        <v>1</v>
      </c>
      <c r="AC2004">
        <v>1</v>
      </c>
      <c r="AJ2004">
        <f>SUM(Post[[#This Row],[47]:[75]])</f>
        <v>2</v>
      </c>
    </row>
    <row r="2005" spans="1:36" x14ac:dyDescent="0.2">
      <c r="A2005" t="s">
        <v>22</v>
      </c>
      <c r="B2005" t="s">
        <v>54</v>
      </c>
      <c r="C2005">
        <v>9650</v>
      </c>
      <c r="D2005" t="s">
        <v>22</v>
      </c>
      <c r="E2005" t="s">
        <v>8</v>
      </c>
      <c r="F2005" t="s">
        <v>23</v>
      </c>
      <c r="P2005">
        <v>1</v>
      </c>
      <c r="Z2005">
        <v>1</v>
      </c>
      <c r="AJ2005">
        <f>SUM(Post[[#This Row],[47]:[75]])</f>
        <v>2</v>
      </c>
    </row>
    <row r="2006" spans="1:36" x14ac:dyDescent="0.2">
      <c r="A2006" t="s">
        <v>22</v>
      </c>
      <c r="B2006" t="s">
        <v>54</v>
      </c>
      <c r="C2006">
        <v>9730</v>
      </c>
      <c r="D2006" t="s">
        <v>22</v>
      </c>
      <c r="E2006" t="s">
        <v>8</v>
      </c>
      <c r="F2006" t="s">
        <v>9</v>
      </c>
      <c r="P2006">
        <v>1</v>
      </c>
      <c r="AJ2006">
        <f>SUM(Post[[#This Row],[47]:[75]])</f>
        <v>1</v>
      </c>
    </row>
    <row r="2007" spans="1:36" x14ac:dyDescent="0.2">
      <c r="A2007" t="s">
        <v>22</v>
      </c>
      <c r="B2007" t="s">
        <v>54</v>
      </c>
      <c r="C2007">
        <v>10152</v>
      </c>
      <c r="D2007" t="s">
        <v>22</v>
      </c>
      <c r="E2007" t="s">
        <v>8</v>
      </c>
      <c r="F2007" t="s">
        <v>9</v>
      </c>
      <c r="I2007">
        <v>1</v>
      </c>
      <c r="W2007">
        <v>1</v>
      </c>
      <c r="AC2007">
        <v>1</v>
      </c>
      <c r="AG2007">
        <v>1</v>
      </c>
      <c r="AJ2007">
        <f>SUM(Post[[#This Row],[47]:[75]])</f>
        <v>4</v>
      </c>
    </row>
    <row r="2008" spans="1:36" x14ac:dyDescent="0.2">
      <c r="A2008" t="s">
        <v>22</v>
      </c>
      <c r="B2008" t="s">
        <v>54</v>
      </c>
      <c r="C2008">
        <v>13775</v>
      </c>
      <c r="D2008" t="s">
        <v>22</v>
      </c>
      <c r="E2008" t="s">
        <v>8</v>
      </c>
      <c r="F2008" t="s">
        <v>23</v>
      </c>
      <c r="N2008">
        <v>1</v>
      </c>
      <c r="AA2008">
        <v>1</v>
      </c>
      <c r="AJ2008">
        <f>SUM(Post[[#This Row],[47]:[75]])</f>
        <v>2</v>
      </c>
    </row>
    <row r="2009" spans="1:36" x14ac:dyDescent="0.2">
      <c r="A2009" t="s">
        <v>22</v>
      </c>
      <c r="B2009" t="s">
        <v>54</v>
      </c>
      <c r="C2009">
        <v>13909</v>
      </c>
      <c r="D2009" t="s">
        <v>22</v>
      </c>
      <c r="E2009" t="s">
        <v>8</v>
      </c>
      <c r="F2009" t="s">
        <v>23</v>
      </c>
      <c r="AJ2009">
        <f>SUM(Post[[#This Row],[47]:[75]])</f>
        <v>0</v>
      </c>
    </row>
    <row r="2010" spans="1:36" x14ac:dyDescent="0.2">
      <c r="A2010" t="s">
        <v>22</v>
      </c>
      <c r="B2010" t="s">
        <v>54</v>
      </c>
      <c r="C2010">
        <v>13909</v>
      </c>
      <c r="D2010" t="s">
        <v>22</v>
      </c>
      <c r="E2010" t="s">
        <v>8</v>
      </c>
      <c r="F2010" t="s">
        <v>29</v>
      </c>
      <c r="I2010">
        <v>1</v>
      </c>
      <c r="O2010">
        <v>2</v>
      </c>
      <c r="R2010">
        <v>1</v>
      </c>
      <c r="W2010">
        <v>1</v>
      </c>
      <c r="AA2010">
        <v>1</v>
      </c>
      <c r="AF2010">
        <v>1</v>
      </c>
      <c r="AJ2010">
        <f>SUM(Post[[#This Row],[47]:[75]])</f>
        <v>7</v>
      </c>
    </row>
    <row r="2011" spans="1:36" x14ac:dyDescent="0.2">
      <c r="A2011" t="s">
        <v>22</v>
      </c>
      <c r="B2011" t="s">
        <v>54</v>
      </c>
      <c r="C2011">
        <v>14948</v>
      </c>
      <c r="D2011" t="s">
        <v>22</v>
      </c>
      <c r="E2011" t="s">
        <v>10</v>
      </c>
      <c r="F2011" t="s">
        <v>11</v>
      </c>
      <c r="H2011">
        <v>1</v>
      </c>
      <c r="N2011">
        <v>1</v>
      </c>
      <c r="S2011">
        <v>1</v>
      </c>
      <c r="AC2011">
        <v>1</v>
      </c>
      <c r="AJ2011">
        <f>SUM(Post[[#This Row],[47]:[75]])</f>
        <v>4</v>
      </c>
    </row>
    <row r="2012" spans="1:36" x14ac:dyDescent="0.2">
      <c r="A2012" t="s">
        <v>22</v>
      </c>
      <c r="B2012" t="s">
        <v>54</v>
      </c>
      <c r="C2012">
        <v>15360</v>
      </c>
      <c r="D2012" t="s">
        <v>22</v>
      </c>
      <c r="E2012" t="s">
        <v>8</v>
      </c>
      <c r="F2012" t="s">
        <v>29</v>
      </c>
      <c r="H2012">
        <v>1</v>
      </c>
      <c r="W2012">
        <v>1</v>
      </c>
      <c r="AJ2012">
        <f>SUM(Post[[#This Row],[47]:[75]])</f>
        <v>2</v>
      </c>
    </row>
    <row r="2013" spans="1:36" x14ac:dyDescent="0.2">
      <c r="A2013" t="s">
        <v>22</v>
      </c>
      <c r="B2013" t="s">
        <v>54</v>
      </c>
      <c r="C2013">
        <v>15707</v>
      </c>
      <c r="D2013" t="s">
        <v>22</v>
      </c>
      <c r="E2013" t="s">
        <v>8</v>
      </c>
      <c r="F2013" t="s">
        <v>9</v>
      </c>
      <c r="U2013">
        <v>1</v>
      </c>
      <c r="V2013">
        <v>1</v>
      </c>
      <c r="AJ2013">
        <f>SUM(Post[[#This Row],[47]:[75]])</f>
        <v>2</v>
      </c>
    </row>
    <row r="2014" spans="1:36" x14ac:dyDescent="0.2">
      <c r="A2014" t="s">
        <v>22</v>
      </c>
      <c r="B2014" t="s">
        <v>54</v>
      </c>
      <c r="C2014">
        <v>16300</v>
      </c>
      <c r="D2014" t="s">
        <v>22</v>
      </c>
      <c r="E2014" t="s">
        <v>8</v>
      </c>
      <c r="F2014" t="s">
        <v>23</v>
      </c>
      <c r="J2014">
        <v>1</v>
      </c>
      <c r="V2014">
        <v>1</v>
      </c>
      <c r="AC2014">
        <v>1</v>
      </c>
      <c r="AJ2014">
        <f>SUM(Post[[#This Row],[47]:[75]])</f>
        <v>3</v>
      </c>
    </row>
    <row r="2015" spans="1:36" x14ac:dyDescent="0.2">
      <c r="A2015" t="s">
        <v>22</v>
      </c>
      <c r="B2015" t="s">
        <v>54</v>
      </c>
      <c r="C2015">
        <v>16452</v>
      </c>
      <c r="D2015" t="s">
        <v>22</v>
      </c>
      <c r="E2015" t="s">
        <v>14</v>
      </c>
      <c r="F2015" t="s">
        <v>19</v>
      </c>
      <c r="R2015">
        <v>1</v>
      </c>
      <c r="AJ2015">
        <f>SUM(Post[[#This Row],[47]:[75]])</f>
        <v>1</v>
      </c>
    </row>
    <row r="2016" spans="1:36" x14ac:dyDescent="0.2">
      <c r="A2016" t="s">
        <v>22</v>
      </c>
      <c r="B2016" t="s">
        <v>54</v>
      </c>
      <c r="C2016">
        <v>16546</v>
      </c>
      <c r="D2016" t="s">
        <v>22</v>
      </c>
      <c r="E2016" t="s">
        <v>10</v>
      </c>
      <c r="F2016" t="s">
        <v>11</v>
      </c>
      <c r="W2016">
        <v>1</v>
      </c>
      <c r="AG2016">
        <v>1</v>
      </c>
      <c r="AJ2016">
        <f>SUM(Post[[#This Row],[47]:[75]])</f>
        <v>2</v>
      </c>
    </row>
    <row r="2017" spans="1:36" x14ac:dyDescent="0.2">
      <c r="A2017" t="s">
        <v>22</v>
      </c>
      <c r="B2017" t="s">
        <v>54</v>
      </c>
      <c r="C2017">
        <v>16714</v>
      </c>
      <c r="D2017" t="s">
        <v>22</v>
      </c>
      <c r="E2017" t="s">
        <v>14</v>
      </c>
      <c r="F2017" t="s">
        <v>21</v>
      </c>
      <c r="AG2017">
        <v>1</v>
      </c>
      <c r="AJ2017">
        <f>SUM(Post[[#This Row],[47]:[75]])</f>
        <v>1</v>
      </c>
    </row>
    <row r="2018" spans="1:36" x14ac:dyDescent="0.2">
      <c r="A2018" t="s">
        <v>22</v>
      </c>
      <c r="B2018" t="s">
        <v>54</v>
      </c>
      <c r="C2018">
        <v>18686</v>
      </c>
      <c r="D2018" t="s">
        <v>22</v>
      </c>
      <c r="E2018" t="s">
        <v>10</v>
      </c>
      <c r="F2018" t="s">
        <v>11</v>
      </c>
      <c r="AC2018">
        <v>1</v>
      </c>
      <c r="AJ2018">
        <f>SUM(Post[[#This Row],[47]:[75]])</f>
        <v>1</v>
      </c>
    </row>
    <row r="2019" spans="1:36" x14ac:dyDescent="0.2">
      <c r="A2019" t="s">
        <v>22</v>
      </c>
      <c r="B2019" t="s">
        <v>54</v>
      </c>
      <c r="C2019">
        <v>21165</v>
      </c>
      <c r="D2019" t="s">
        <v>22</v>
      </c>
      <c r="E2019" t="s">
        <v>14</v>
      </c>
      <c r="F2019" t="s">
        <v>35</v>
      </c>
      <c r="AJ2019">
        <f>SUM(Post[[#This Row],[47]:[75]])</f>
        <v>0</v>
      </c>
    </row>
    <row r="2020" spans="1:36" x14ac:dyDescent="0.2">
      <c r="A2020" t="s">
        <v>22</v>
      </c>
      <c r="B2020" t="s">
        <v>54</v>
      </c>
      <c r="C2020">
        <v>25326</v>
      </c>
      <c r="D2020" t="s">
        <v>22</v>
      </c>
      <c r="E2020" t="s">
        <v>14</v>
      </c>
      <c r="F2020" t="s">
        <v>20</v>
      </c>
      <c r="AJ2020">
        <f>SUM(Post[[#This Row],[47]:[75]])</f>
        <v>0</v>
      </c>
    </row>
    <row r="2021" spans="1:36" x14ac:dyDescent="0.2">
      <c r="A2021" t="s">
        <v>22</v>
      </c>
      <c r="B2021" t="s">
        <v>54</v>
      </c>
      <c r="C2021">
        <v>27561</v>
      </c>
      <c r="D2021" t="s">
        <v>22</v>
      </c>
      <c r="E2021" t="s">
        <v>37</v>
      </c>
      <c r="F2021" t="s">
        <v>38</v>
      </c>
      <c r="R2021">
        <v>1</v>
      </c>
      <c r="AJ2021">
        <f>SUM(Post[[#This Row],[47]:[75]])</f>
        <v>1</v>
      </c>
    </row>
    <row r="2022" spans="1:36" x14ac:dyDescent="0.2">
      <c r="A2022" t="s">
        <v>22</v>
      </c>
      <c r="B2022" t="s">
        <v>54</v>
      </c>
      <c r="C2022">
        <v>29647</v>
      </c>
      <c r="D2022" t="s">
        <v>22</v>
      </c>
      <c r="E2022" t="s">
        <v>8</v>
      </c>
      <c r="F2022" t="s">
        <v>9</v>
      </c>
      <c r="AJ2022">
        <f>SUM(Post[[#This Row],[47]:[75]])</f>
        <v>0</v>
      </c>
    </row>
    <row r="2023" spans="1:36" x14ac:dyDescent="0.2">
      <c r="A2023" t="s">
        <v>22</v>
      </c>
      <c r="B2023" t="s">
        <v>54</v>
      </c>
      <c r="C2023">
        <v>342</v>
      </c>
      <c r="D2023" t="s">
        <v>7</v>
      </c>
      <c r="E2023" t="s">
        <v>14</v>
      </c>
      <c r="F2023" t="s">
        <v>20</v>
      </c>
      <c r="J2023">
        <v>1</v>
      </c>
      <c r="X2023">
        <v>1</v>
      </c>
      <c r="AC2023">
        <v>1</v>
      </c>
      <c r="AG2023">
        <v>1</v>
      </c>
      <c r="AJ2023">
        <f>SUM(Post[[#This Row],[47]:[75]])</f>
        <v>4</v>
      </c>
    </row>
    <row r="2024" spans="1:36" x14ac:dyDescent="0.2">
      <c r="A2024" t="s">
        <v>22</v>
      </c>
      <c r="B2024" t="s">
        <v>54</v>
      </c>
      <c r="C2024">
        <v>397</v>
      </c>
      <c r="D2024" t="s">
        <v>7</v>
      </c>
      <c r="E2024" t="s">
        <v>12</v>
      </c>
      <c r="F2024" t="s">
        <v>13</v>
      </c>
      <c r="AJ2024">
        <f>SUM(Post[[#This Row],[47]:[75]])</f>
        <v>0</v>
      </c>
    </row>
    <row r="2025" spans="1:36" x14ac:dyDescent="0.2">
      <c r="A2025" t="s">
        <v>22</v>
      </c>
      <c r="B2025" t="s">
        <v>54</v>
      </c>
      <c r="C2025">
        <v>573</v>
      </c>
      <c r="D2025" t="s">
        <v>7</v>
      </c>
      <c r="E2025" t="s">
        <v>8</v>
      </c>
      <c r="F2025" t="s">
        <v>23</v>
      </c>
      <c r="O2025">
        <v>1</v>
      </c>
      <c r="AA2025">
        <v>1</v>
      </c>
      <c r="AJ2025">
        <f>SUM(Post[[#This Row],[47]:[75]])</f>
        <v>2</v>
      </c>
    </row>
    <row r="2026" spans="1:36" x14ac:dyDescent="0.2">
      <c r="A2026" t="s">
        <v>22</v>
      </c>
      <c r="B2026" t="s">
        <v>54</v>
      </c>
      <c r="C2026">
        <v>573</v>
      </c>
      <c r="D2026" t="s">
        <v>7</v>
      </c>
      <c r="E2026" t="s">
        <v>14</v>
      </c>
      <c r="F2026" t="s">
        <v>20</v>
      </c>
      <c r="K2026">
        <v>1</v>
      </c>
      <c r="Y2026">
        <v>1</v>
      </c>
      <c r="AJ2026">
        <f>SUM(Post[[#This Row],[47]:[75]])</f>
        <v>2</v>
      </c>
    </row>
    <row r="2027" spans="1:36" x14ac:dyDescent="0.2">
      <c r="A2027" t="s">
        <v>22</v>
      </c>
      <c r="B2027" t="s">
        <v>54</v>
      </c>
      <c r="C2027">
        <v>667</v>
      </c>
      <c r="D2027" t="s">
        <v>7</v>
      </c>
      <c r="E2027" t="s">
        <v>8</v>
      </c>
      <c r="F2027" t="s">
        <v>9</v>
      </c>
      <c r="L2027">
        <v>1</v>
      </c>
      <c r="U2027">
        <v>1</v>
      </c>
      <c r="AJ2027">
        <f>SUM(Post[[#This Row],[47]:[75]])</f>
        <v>2</v>
      </c>
    </row>
    <row r="2028" spans="1:36" x14ac:dyDescent="0.2">
      <c r="A2028" t="s">
        <v>22</v>
      </c>
      <c r="B2028" t="s">
        <v>54</v>
      </c>
      <c r="C2028">
        <v>667</v>
      </c>
      <c r="D2028" t="s">
        <v>7</v>
      </c>
      <c r="E2028" t="s">
        <v>8</v>
      </c>
      <c r="F2028" t="s">
        <v>29</v>
      </c>
      <c r="AG2028">
        <v>1</v>
      </c>
      <c r="AJ2028">
        <f>SUM(Post[[#This Row],[47]:[75]])</f>
        <v>1</v>
      </c>
    </row>
    <row r="2029" spans="1:36" x14ac:dyDescent="0.2">
      <c r="A2029" t="s">
        <v>22</v>
      </c>
      <c r="B2029" t="s">
        <v>54</v>
      </c>
      <c r="C2029">
        <v>667</v>
      </c>
      <c r="D2029" t="s">
        <v>7</v>
      </c>
      <c r="E2029" t="s">
        <v>14</v>
      </c>
      <c r="F2029" t="s">
        <v>35</v>
      </c>
      <c r="L2029">
        <v>1</v>
      </c>
      <c r="AA2029">
        <v>2</v>
      </c>
      <c r="AJ2029">
        <f>SUM(Post[[#This Row],[47]:[75]])</f>
        <v>3</v>
      </c>
    </row>
    <row r="2030" spans="1:36" x14ac:dyDescent="0.2">
      <c r="A2030" t="s">
        <v>22</v>
      </c>
      <c r="B2030" t="s">
        <v>54</v>
      </c>
      <c r="C2030">
        <v>1936</v>
      </c>
      <c r="D2030" t="s">
        <v>7</v>
      </c>
      <c r="E2030" t="s">
        <v>14</v>
      </c>
      <c r="F2030" t="s">
        <v>35</v>
      </c>
      <c r="O2030">
        <v>1</v>
      </c>
      <c r="AJ2030">
        <f>SUM(Post[[#This Row],[47]:[75]])</f>
        <v>1</v>
      </c>
    </row>
    <row r="2031" spans="1:36" x14ac:dyDescent="0.2">
      <c r="A2031" t="s">
        <v>22</v>
      </c>
      <c r="B2031" t="s">
        <v>54</v>
      </c>
      <c r="C2031">
        <v>2814</v>
      </c>
      <c r="D2031" t="s">
        <v>7</v>
      </c>
      <c r="E2031" t="s">
        <v>14</v>
      </c>
      <c r="F2031" t="s">
        <v>35</v>
      </c>
      <c r="AJ2031">
        <f>SUM(Post[[#This Row],[47]:[75]])</f>
        <v>0</v>
      </c>
    </row>
    <row r="2032" spans="1:36" x14ac:dyDescent="0.2">
      <c r="A2032" t="s">
        <v>22</v>
      </c>
      <c r="B2032" t="s">
        <v>54</v>
      </c>
      <c r="C2032">
        <v>2884</v>
      </c>
      <c r="D2032" t="s">
        <v>7</v>
      </c>
      <c r="E2032" t="s">
        <v>14</v>
      </c>
      <c r="F2032" t="s">
        <v>35</v>
      </c>
      <c r="P2032">
        <v>1</v>
      </c>
      <c r="AD2032">
        <v>1</v>
      </c>
      <c r="AJ2032">
        <f>SUM(Post[[#This Row],[47]:[75]])</f>
        <v>2</v>
      </c>
    </row>
    <row r="2033" spans="1:36" x14ac:dyDescent="0.2">
      <c r="A2033" t="s">
        <v>22</v>
      </c>
      <c r="B2033" t="s">
        <v>54</v>
      </c>
      <c r="C2033">
        <v>3282</v>
      </c>
      <c r="D2033" t="s">
        <v>7</v>
      </c>
      <c r="E2033" t="s">
        <v>14</v>
      </c>
      <c r="F2033" t="s">
        <v>35</v>
      </c>
      <c r="Q2033">
        <v>3</v>
      </c>
      <c r="T2033">
        <v>1</v>
      </c>
      <c r="X2033">
        <v>1</v>
      </c>
      <c r="Z2033">
        <v>1</v>
      </c>
      <c r="AB2033">
        <v>1</v>
      </c>
      <c r="AC2033">
        <v>1</v>
      </c>
      <c r="AJ2033">
        <f>SUM(Post[[#This Row],[47]:[75]])</f>
        <v>8</v>
      </c>
    </row>
    <row r="2034" spans="1:36" x14ac:dyDescent="0.2">
      <c r="A2034" t="s">
        <v>22</v>
      </c>
      <c r="B2034" t="s">
        <v>54</v>
      </c>
      <c r="C2034">
        <v>3384</v>
      </c>
      <c r="D2034" t="s">
        <v>7</v>
      </c>
      <c r="E2034" t="s">
        <v>8</v>
      </c>
      <c r="F2034" t="s">
        <v>29</v>
      </c>
      <c r="P2034">
        <v>1</v>
      </c>
      <c r="AC2034">
        <v>1</v>
      </c>
      <c r="AJ2034">
        <f>SUM(Post[[#This Row],[47]:[75]])</f>
        <v>2</v>
      </c>
    </row>
    <row r="2035" spans="1:36" x14ac:dyDescent="0.2">
      <c r="A2035" t="s">
        <v>22</v>
      </c>
      <c r="B2035" t="s">
        <v>54</v>
      </c>
      <c r="C2035">
        <v>3690</v>
      </c>
      <c r="D2035" t="s">
        <v>7</v>
      </c>
      <c r="E2035" t="s">
        <v>8</v>
      </c>
      <c r="F2035" t="s">
        <v>29</v>
      </c>
      <c r="G2035">
        <v>1</v>
      </c>
      <c r="H2035">
        <v>1</v>
      </c>
      <c r="AJ2035">
        <f>SUM(Post[[#This Row],[47]:[75]])</f>
        <v>2</v>
      </c>
    </row>
    <row r="2036" spans="1:36" x14ac:dyDescent="0.2">
      <c r="A2036" t="s">
        <v>22</v>
      </c>
      <c r="B2036" t="s">
        <v>54</v>
      </c>
      <c r="C2036">
        <v>3874</v>
      </c>
      <c r="D2036" t="s">
        <v>7</v>
      </c>
      <c r="E2036" t="s">
        <v>14</v>
      </c>
      <c r="F2036" t="s">
        <v>20</v>
      </c>
      <c r="O2036">
        <v>2</v>
      </c>
      <c r="AA2036">
        <v>1</v>
      </c>
      <c r="AJ2036">
        <f>SUM(Post[[#This Row],[47]:[75]])</f>
        <v>3</v>
      </c>
    </row>
    <row r="2037" spans="1:36" x14ac:dyDescent="0.2">
      <c r="A2037" t="s">
        <v>22</v>
      </c>
      <c r="B2037" t="s">
        <v>54</v>
      </c>
      <c r="C2037">
        <v>3969</v>
      </c>
      <c r="D2037" t="s">
        <v>7</v>
      </c>
      <c r="E2037" t="s">
        <v>8</v>
      </c>
      <c r="F2037" t="s">
        <v>9</v>
      </c>
      <c r="O2037">
        <v>1</v>
      </c>
      <c r="AJ2037">
        <f>SUM(Post[[#This Row],[47]:[75]])</f>
        <v>1</v>
      </c>
    </row>
    <row r="2038" spans="1:36" x14ac:dyDescent="0.2">
      <c r="A2038" t="s">
        <v>22</v>
      </c>
      <c r="B2038" t="s">
        <v>54</v>
      </c>
      <c r="C2038">
        <v>5749</v>
      </c>
      <c r="D2038" t="s">
        <v>7</v>
      </c>
      <c r="E2038" t="s">
        <v>8</v>
      </c>
      <c r="F2038" t="s">
        <v>9</v>
      </c>
      <c r="Q2038">
        <v>1</v>
      </c>
      <c r="AF2038">
        <v>1</v>
      </c>
      <c r="AG2038">
        <v>1</v>
      </c>
      <c r="AJ2038">
        <f>SUM(Post[[#This Row],[47]:[75]])</f>
        <v>3</v>
      </c>
    </row>
    <row r="2039" spans="1:36" x14ac:dyDescent="0.2">
      <c r="A2039" t="s">
        <v>22</v>
      </c>
      <c r="B2039" t="s">
        <v>54</v>
      </c>
      <c r="C2039">
        <v>5749</v>
      </c>
      <c r="D2039" t="s">
        <v>7</v>
      </c>
      <c r="E2039" t="s">
        <v>14</v>
      </c>
      <c r="F2039" t="s">
        <v>35</v>
      </c>
      <c r="Q2039">
        <v>1</v>
      </c>
      <c r="AG2039">
        <v>1</v>
      </c>
      <c r="AJ2039">
        <f>SUM(Post[[#This Row],[47]:[75]])</f>
        <v>2</v>
      </c>
    </row>
    <row r="2040" spans="1:36" x14ac:dyDescent="0.2">
      <c r="A2040" t="s">
        <v>22</v>
      </c>
      <c r="B2040" t="s">
        <v>54</v>
      </c>
      <c r="C2040">
        <v>6436</v>
      </c>
      <c r="D2040" t="s">
        <v>7</v>
      </c>
      <c r="E2040" t="s">
        <v>14</v>
      </c>
      <c r="F2040" t="s">
        <v>20</v>
      </c>
      <c r="AB2040">
        <v>1</v>
      </c>
      <c r="AJ2040">
        <f>SUM(Post[[#This Row],[47]:[75]])</f>
        <v>1</v>
      </c>
    </row>
    <row r="2041" spans="1:36" x14ac:dyDescent="0.2">
      <c r="A2041" t="s">
        <v>22</v>
      </c>
      <c r="B2041" t="s">
        <v>54</v>
      </c>
      <c r="C2041">
        <v>6723</v>
      </c>
      <c r="D2041" t="s">
        <v>7</v>
      </c>
      <c r="E2041" t="s">
        <v>8</v>
      </c>
      <c r="F2041" t="s">
        <v>9</v>
      </c>
      <c r="J2041">
        <v>1</v>
      </c>
      <c r="AJ2041">
        <f>SUM(Post[[#This Row],[47]:[75]])</f>
        <v>1</v>
      </c>
    </row>
    <row r="2042" spans="1:36" x14ac:dyDescent="0.2">
      <c r="A2042" t="s">
        <v>22</v>
      </c>
      <c r="B2042" t="s">
        <v>54</v>
      </c>
      <c r="C2042">
        <v>6723</v>
      </c>
      <c r="D2042" t="s">
        <v>7</v>
      </c>
      <c r="E2042" t="s">
        <v>14</v>
      </c>
      <c r="F2042" t="s">
        <v>35</v>
      </c>
      <c r="G2042">
        <v>1</v>
      </c>
      <c r="AJ2042">
        <f>SUM(Post[[#This Row],[47]:[75]])</f>
        <v>1</v>
      </c>
    </row>
    <row r="2043" spans="1:36" x14ac:dyDescent="0.2">
      <c r="A2043" t="s">
        <v>22</v>
      </c>
      <c r="B2043" t="s">
        <v>54</v>
      </c>
      <c r="C2043">
        <v>6838</v>
      </c>
      <c r="D2043" t="s">
        <v>7</v>
      </c>
      <c r="E2043" t="s">
        <v>8</v>
      </c>
      <c r="F2043" t="s">
        <v>9</v>
      </c>
      <c r="L2043">
        <v>2</v>
      </c>
      <c r="AJ2043">
        <f>SUM(Post[[#This Row],[47]:[75]])</f>
        <v>2</v>
      </c>
    </row>
    <row r="2044" spans="1:36" x14ac:dyDescent="0.2">
      <c r="A2044" t="s">
        <v>22</v>
      </c>
      <c r="B2044" t="s">
        <v>54</v>
      </c>
      <c r="C2044">
        <v>6838</v>
      </c>
      <c r="D2044" t="s">
        <v>7</v>
      </c>
      <c r="E2044" t="s">
        <v>14</v>
      </c>
      <c r="F2044" t="s">
        <v>35</v>
      </c>
      <c r="AJ2044">
        <f>SUM(Post[[#This Row],[47]:[75]])</f>
        <v>0</v>
      </c>
    </row>
    <row r="2045" spans="1:36" x14ac:dyDescent="0.2">
      <c r="A2045" t="s">
        <v>22</v>
      </c>
      <c r="B2045" t="s">
        <v>54</v>
      </c>
      <c r="C2045">
        <v>7928</v>
      </c>
      <c r="D2045" t="s">
        <v>7</v>
      </c>
      <c r="E2045" t="s">
        <v>14</v>
      </c>
      <c r="F2045" t="s">
        <v>35</v>
      </c>
      <c r="H2045">
        <v>1</v>
      </c>
      <c r="J2045">
        <v>1</v>
      </c>
      <c r="L2045">
        <v>2</v>
      </c>
      <c r="O2045">
        <v>1</v>
      </c>
      <c r="Q2045">
        <v>1</v>
      </c>
      <c r="R2045">
        <v>1</v>
      </c>
      <c r="T2045">
        <v>1</v>
      </c>
      <c r="W2045">
        <v>1</v>
      </c>
      <c r="Y2045">
        <v>1</v>
      </c>
      <c r="AA2045">
        <v>1</v>
      </c>
      <c r="AC2045">
        <v>1</v>
      </c>
      <c r="AF2045">
        <v>2</v>
      </c>
      <c r="AH2045">
        <v>1</v>
      </c>
      <c r="AJ2045">
        <f>SUM(Post[[#This Row],[47]:[75]])</f>
        <v>15</v>
      </c>
    </row>
    <row r="2046" spans="1:36" x14ac:dyDescent="0.2">
      <c r="A2046" t="s">
        <v>22</v>
      </c>
      <c r="B2046" t="s">
        <v>54</v>
      </c>
      <c r="C2046">
        <v>7947</v>
      </c>
      <c r="D2046" t="s">
        <v>7</v>
      </c>
      <c r="E2046" t="s">
        <v>8</v>
      </c>
      <c r="F2046" t="s">
        <v>9</v>
      </c>
      <c r="T2046">
        <v>1</v>
      </c>
      <c r="AH2046">
        <v>1</v>
      </c>
      <c r="AJ2046">
        <f>SUM(Post[[#This Row],[47]:[75]])</f>
        <v>2</v>
      </c>
    </row>
    <row r="2047" spans="1:36" x14ac:dyDescent="0.2">
      <c r="A2047" t="s">
        <v>22</v>
      </c>
      <c r="B2047" t="s">
        <v>54</v>
      </c>
      <c r="C2047">
        <v>8010</v>
      </c>
      <c r="D2047" t="s">
        <v>7</v>
      </c>
      <c r="E2047" t="s">
        <v>8</v>
      </c>
      <c r="F2047" t="s">
        <v>23</v>
      </c>
      <c r="AJ2047">
        <f>SUM(Post[[#This Row],[47]:[75]])</f>
        <v>0</v>
      </c>
    </row>
    <row r="2048" spans="1:36" x14ac:dyDescent="0.2">
      <c r="A2048" t="s">
        <v>22</v>
      </c>
      <c r="B2048" t="s">
        <v>54</v>
      </c>
      <c r="C2048">
        <v>8810</v>
      </c>
      <c r="D2048" t="s">
        <v>7</v>
      </c>
      <c r="E2048" t="s">
        <v>8</v>
      </c>
      <c r="F2048" t="s">
        <v>9</v>
      </c>
      <c r="Q2048">
        <v>1</v>
      </c>
      <c r="AE2048">
        <v>1</v>
      </c>
      <c r="AJ2048">
        <f>SUM(Post[[#This Row],[47]:[75]])</f>
        <v>2</v>
      </c>
    </row>
    <row r="2049" spans="1:36" x14ac:dyDescent="0.2">
      <c r="A2049" t="s">
        <v>22</v>
      </c>
      <c r="B2049" t="s">
        <v>54</v>
      </c>
      <c r="C2049">
        <v>10127</v>
      </c>
      <c r="D2049" t="s">
        <v>7</v>
      </c>
      <c r="E2049" t="s">
        <v>14</v>
      </c>
      <c r="F2049" t="s">
        <v>21</v>
      </c>
      <c r="U2049">
        <v>2</v>
      </c>
      <c r="Z2049">
        <v>1</v>
      </c>
      <c r="AJ2049">
        <f>SUM(Post[[#This Row],[47]:[75]])</f>
        <v>3</v>
      </c>
    </row>
    <row r="2050" spans="1:36" x14ac:dyDescent="0.2">
      <c r="A2050" t="s">
        <v>22</v>
      </c>
      <c r="B2050" t="s">
        <v>54</v>
      </c>
      <c r="C2050">
        <v>10639</v>
      </c>
      <c r="D2050" t="s">
        <v>7</v>
      </c>
      <c r="E2050" t="s">
        <v>14</v>
      </c>
      <c r="F2050" t="s">
        <v>20</v>
      </c>
      <c r="AJ2050">
        <f>SUM(Post[[#This Row],[47]:[75]])</f>
        <v>0</v>
      </c>
    </row>
    <row r="2051" spans="1:36" x14ac:dyDescent="0.2">
      <c r="A2051" t="s">
        <v>22</v>
      </c>
      <c r="B2051" t="s">
        <v>54</v>
      </c>
      <c r="C2051">
        <v>10896</v>
      </c>
      <c r="D2051" t="s">
        <v>7</v>
      </c>
      <c r="E2051" t="s">
        <v>8</v>
      </c>
      <c r="F2051" t="s">
        <v>23</v>
      </c>
      <c r="R2051">
        <v>1</v>
      </c>
      <c r="AD2051">
        <v>1</v>
      </c>
      <c r="AJ2051">
        <f>SUM(Post[[#This Row],[47]:[75]])</f>
        <v>2</v>
      </c>
    </row>
    <row r="2052" spans="1:36" x14ac:dyDescent="0.2">
      <c r="A2052" t="s">
        <v>22</v>
      </c>
      <c r="B2052" t="s">
        <v>54</v>
      </c>
      <c r="C2052">
        <v>11399</v>
      </c>
      <c r="D2052" t="s">
        <v>7</v>
      </c>
      <c r="E2052" t="s">
        <v>14</v>
      </c>
      <c r="F2052" t="s">
        <v>20</v>
      </c>
      <c r="T2052">
        <v>2</v>
      </c>
      <c r="AF2052">
        <v>1</v>
      </c>
      <c r="AJ2052">
        <f>SUM(Post[[#This Row],[47]:[75]])</f>
        <v>3</v>
      </c>
    </row>
    <row r="2053" spans="1:36" x14ac:dyDescent="0.2">
      <c r="A2053" t="s">
        <v>22</v>
      </c>
      <c r="B2053" t="s">
        <v>54</v>
      </c>
      <c r="C2053">
        <v>11606</v>
      </c>
      <c r="D2053" t="s">
        <v>7</v>
      </c>
      <c r="E2053" t="s">
        <v>8</v>
      </c>
      <c r="F2053" t="s">
        <v>29</v>
      </c>
      <c r="V2053">
        <v>1</v>
      </c>
      <c r="AJ2053">
        <f>SUM(Post[[#This Row],[47]:[75]])</f>
        <v>1</v>
      </c>
    </row>
    <row r="2054" spans="1:36" x14ac:dyDescent="0.2">
      <c r="A2054" t="s">
        <v>22</v>
      </c>
      <c r="B2054" t="s">
        <v>54</v>
      </c>
      <c r="C2054">
        <v>11853</v>
      </c>
      <c r="D2054" t="s">
        <v>7</v>
      </c>
      <c r="E2054" t="s">
        <v>14</v>
      </c>
      <c r="F2054" t="s">
        <v>35</v>
      </c>
      <c r="S2054">
        <v>1</v>
      </c>
      <c r="Y2054">
        <v>1</v>
      </c>
      <c r="AJ2054">
        <f>SUM(Post[[#This Row],[47]:[75]])</f>
        <v>2</v>
      </c>
    </row>
    <row r="2055" spans="1:36" x14ac:dyDescent="0.2">
      <c r="A2055" t="s">
        <v>22</v>
      </c>
      <c r="B2055" t="s">
        <v>54</v>
      </c>
      <c r="C2055">
        <v>12082</v>
      </c>
      <c r="D2055" t="s">
        <v>7</v>
      </c>
      <c r="E2055" t="s">
        <v>8</v>
      </c>
      <c r="F2055" t="s">
        <v>9</v>
      </c>
      <c r="S2055">
        <v>1</v>
      </c>
      <c r="AF2055">
        <v>1</v>
      </c>
      <c r="AJ2055">
        <f>SUM(Post[[#This Row],[47]:[75]])</f>
        <v>2</v>
      </c>
    </row>
    <row r="2056" spans="1:36" x14ac:dyDescent="0.2">
      <c r="A2056" t="s">
        <v>22</v>
      </c>
      <c r="B2056" t="s">
        <v>54</v>
      </c>
      <c r="C2056">
        <v>12131</v>
      </c>
      <c r="D2056" t="s">
        <v>7</v>
      </c>
      <c r="E2056" t="s">
        <v>14</v>
      </c>
      <c r="F2056" t="s">
        <v>35</v>
      </c>
      <c r="I2056">
        <v>1</v>
      </c>
      <c r="AJ2056">
        <f>SUM(Post[[#This Row],[47]:[75]])</f>
        <v>1</v>
      </c>
    </row>
    <row r="2057" spans="1:36" x14ac:dyDescent="0.2">
      <c r="A2057" t="s">
        <v>22</v>
      </c>
      <c r="B2057" t="s">
        <v>54</v>
      </c>
      <c r="C2057">
        <v>12469</v>
      </c>
      <c r="D2057" t="s">
        <v>7</v>
      </c>
      <c r="E2057" t="s">
        <v>8</v>
      </c>
      <c r="F2057" t="s">
        <v>9</v>
      </c>
      <c r="G2057">
        <v>1</v>
      </c>
      <c r="K2057">
        <v>1</v>
      </c>
      <c r="Q2057">
        <v>1</v>
      </c>
      <c r="V2057">
        <v>1</v>
      </c>
      <c r="Z2057">
        <v>1</v>
      </c>
      <c r="AJ2057">
        <f>SUM(Post[[#This Row],[47]:[75]])</f>
        <v>5</v>
      </c>
    </row>
    <row r="2058" spans="1:36" x14ac:dyDescent="0.2">
      <c r="A2058" t="s">
        <v>22</v>
      </c>
      <c r="B2058" t="s">
        <v>54</v>
      </c>
      <c r="C2058">
        <v>12469</v>
      </c>
      <c r="D2058" t="s">
        <v>7</v>
      </c>
      <c r="E2058" t="s">
        <v>14</v>
      </c>
      <c r="F2058" t="s">
        <v>20</v>
      </c>
      <c r="J2058">
        <v>1</v>
      </c>
      <c r="R2058">
        <v>1</v>
      </c>
      <c r="AC2058">
        <v>1</v>
      </c>
      <c r="AJ2058">
        <f>SUM(Post[[#This Row],[47]:[75]])</f>
        <v>3</v>
      </c>
    </row>
    <row r="2059" spans="1:36" x14ac:dyDescent="0.2">
      <c r="A2059" t="s">
        <v>22</v>
      </c>
      <c r="B2059" t="s">
        <v>54</v>
      </c>
      <c r="C2059">
        <v>12703</v>
      </c>
      <c r="D2059" t="s">
        <v>7</v>
      </c>
      <c r="E2059" t="s">
        <v>14</v>
      </c>
      <c r="F2059" t="s">
        <v>35</v>
      </c>
      <c r="G2059">
        <v>1</v>
      </c>
      <c r="N2059">
        <v>1</v>
      </c>
      <c r="S2059">
        <v>1</v>
      </c>
      <c r="W2059">
        <v>1</v>
      </c>
      <c r="AA2059">
        <v>1</v>
      </c>
      <c r="AF2059">
        <v>1</v>
      </c>
      <c r="AJ2059">
        <f>SUM(Post[[#This Row],[47]:[75]])</f>
        <v>6</v>
      </c>
    </row>
    <row r="2060" spans="1:36" x14ac:dyDescent="0.2">
      <c r="A2060" t="s">
        <v>22</v>
      </c>
      <c r="B2060" t="s">
        <v>54</v>
      </c>
      <c r="C2060">
        <v>12913</v>
      </c>
      <c r="D2060" t="s">
        <v>7</v>
      </c>
      <c r="E2060" t="s">
        <v>8</v>
      </c>
      <c r="F2060" t="s">
        <v>23</v>
      </c>
      <c r="J2060">
        <v>1</v>
      </c>
      <c r="AJ2060">
        <f>SUM(Post[[#This Row],[47]:[75]])</f>
        <v>1</v>
      </c>
    </row>
    <row r="2061" spans="1:36" x14ac:dyDescent="0.2">
      <c r="A2061" t="s">
        <v>22</v>
      </c>
      <c r="B2061" t="s">
        <v>54</v>
      </c>
      <c r="C2061">
        <v>12913</v>
      </c>
      <c r="D2061" t="s">
        <v>7</v>
      </c>
      <c r="E2061" t="s">
        <v>14</v>
      </c>
      <c r="F2061" t="s">
        <v>20</v>
      </c>
      <c r="J2061">
        <v>1</v>
      </c>
      <c r="X2061">
        <v>1</v>
      </c>
      <c r="AJ2061">
        <f>SUM(Post[[#This Row],[47]:[75]])</f>
        <v>2</v>
      </c>
    </row>
    <row r="2062" spans="1:36" x14ac:dyDescent="0.2">
      <c r="A2062" t="s">
        <v>22</v>
      </c>
      <c r="B2062" t="s">
        <v>54</v>
      </c>
      <c r="C2062">
        <v>12979</v>
      </c>
      <c r="D2062" t="s">
        <v>7</v>
      </c>
      <c r="E2062" t="s">
        <v>14</v>
      </c>
      <c r="F2062" t="s">
        <v>15</v>
      </c>
      <c r="AJ2062">
        <f>SUM(Post[[#This Row],[47]:[75]])</f>
        <v>0</v>
      </c>
    </row>
    <row r="2063" spans="1:36" x14ac:dyDescent="0.2">
      <c r="A2063" t="s">
        <v>22</v>
      </c>
      <c r="B2063" t="s">
        <v>54</v>
      </c>
      <c r="C2063">
        <v>14417</v>
      </c>
      <c r="D2063" t="s">
        <v>7</v>
      </c>
      <c r="E2063" t="s">
        <v>8</v>
      </c>
      <c r="F2063" t="s">
        <v>9</v>
      </c>
      <c r="O2063">
        <v>1</v>
      </c>
      <c r="AB2063">
        <v>1</v>
      </c>
      <c r="AJ2063">
        <f>SUM(Post[[#This Row],[47]:[75]])</f>
        <v>2</v>
      </c>
    </row>
    <row r="2064" spans="1:36" x14ac:dyDescent="0.2">
      <c r="A2064" t="s">
        <v>22</v>
      </c>
      <c r="B2064" t="s">
        <v>54</v>
      </c>
      <c r="C2064">
        <v>14739</v>
      </c>
      <c r="D2064" t="s">
        <v>7</v>
      </c>
      <c r="E2064" t="s">
        <v>14</v>
      </c>
      <c r="F2064" t="s">
        <v>20</v>
      </c>
      <c r="S2064">
        <v>1</v>
      </c>
      <c r="AD2064">
        <v>1</v>
      </c>
      <c r="AJ2064">
        <f>SUM(Post[[#This Row],[47]:[75]])</f>
        <v>2</v>
      </c>
    </row>
    <row r="2065" spans="1:36" x14ac:dyDescent="0.2">
      <c r="A2065" t="s">
        <v>22</v>
      </c>
      <c r="B2065" t="s">
        <v>54</v>
      </c>
      <c r="C2065">
        <v>15015</v>
      </c>
      <c r="D2065" t="s">
        <v>7</v>
      </c>
      <c r="E2065" t="s">
        <v>14</v>
      </c>
      <c r="F2065" t="s">
        <v>35</v>
      </c>
      <c r="Y2065">
        <v>1</v>
      </c>
      <c r="AJ2065">
        <f>SUM(Post[[#This Row],[47]:[75]])</f>
        <v>1</v>
      </c>
    </row>
    <row r="2066" spans="1:36" x14ac:dyDescent="0.2">
      <c r="A2066" t="s">
        <v>22</v>
      </c>
      <c r="B2066" t="s">
        <v>54</v>
      </c>
      <c r="C2066">
        <v>15403</v>
      </c>
      <c r="D2066" t="s">
        <v>7</v>
      </c>
      <c r="E2066" t="s">
        <v>14</v>
      </c>
      <c r="F2066" t="s">
        <v>19</v>
      </c>
      <c r="AC2066">
        <v>1</v>
      </c>
      <c r="AJ2066">
        <f>SUM(Post[[#This Row],[47]:[75]])</f>
        <v>1</v>
      </c>
    </row>
    <row r="2067" spans="1:36" x14ac:dyDescent="0.2">
      <c r="A2067" t="s">
        <v>22</v>
      </c>
      <c r="B2067" t="s">
        <v>54</v>
      </c>
      <c r="C2067">
        <v>17618</v>
      </c>
      <c r="D2067" t="s">
        <v>7</v>
      </c>
      <c r="E2067" t="s">
        <v>14</v>
      </c>
      <c r="F2067" t="s">
        <v>20</v>
      </c>
      <c r="J2067">
        <v>1</v>
      </c>
      <c r="W2067">
        <v>1</v>
      </c>
      <c r="AJ2067">
        <f>SUM(Post[[#This Row],[47]:[75]])</f>
        <v>2</v>
      </c>
    </row>
    <row r="2068" spans="1:36" x14ac:dyDescent="0.2">
      <c r="A2068" t="s">
        <v>22</v>
      </c>
      <c r="B2068" t="s">
        <v>54</v>
      </c>
      <c r="C2068">
        <v>19347</v>
      </c>
      <c r="D2068" t="s">
        <v>7</v>
      </c>
      <c r="E2068" t="s">
        <v>8</v>
      </c>
      <c r="F2068" t="s">
        <v>23</v>
      </c>
      <c r="S2068">
        <v>1</v>
      </c>
      <c r="AJ2068">
        <f>SUM(Post[[#This Row],[47]:[75]])</f>
        <v>1</v>
      </c>
    </row>
    <row r="2069" spans="1:36" x14ac:dyDescent="0.2">
      <c r="A2069" t="s">
        <v>22</v>
      </c>
      <c r="B2069" t="s">
        <v>54</v>
      </c>
      <c r="C2069">
        <v>20827</v>
      </c>
      <c r="D2069" t="s">
        <v>7</v>
      </c>
      <c r="E2069" t="s">
        <v>14</v>
      </c>
      <c r="F2069" t="s">
        <v>35</v>
      </c>
      <c r="AJ2069">
        <f>SUM(Post[[#This Row],[47]:[75]])</f>
        <v>0</v>
      </c>
    </row>
    <row r="2070" spans="1:36" x14ac:dyDescent="0.2">
      <c r="A2070" t="s">
        <v>22</v>
      </c>
      <c r="B2070" t="s">
        <v>54</v>
      </c>
      <c r="C2070">
        <v>20861</v>
      </c>
      <c r="D2070" t="s">
        <v>7</v>
      </c>
      <c r="E2070" t="s">
        <v>8</v>
      </c>
      <c r="F2070" t="s">
        <v>9</v>
      </c>
      <c r="P2070">
        <v>1</v>
      </c>
      <c r="AC2070">
        <v>1</v>
      </c>
      <c r="AJ2070">
        <f>SUM(Post[[#This Row],[47]:[75]])</f>
        <v>2</v>
      </c>
    </row>
    <row r="2071" spans="1:36" x14ac:dyDescent="0.2">
      <c r="A2071" t="s">
        <v>22</v>
      </c>
      <c r="B2071" t="s">
        <v>54</v>
      </c>
      <c r="C2071">
        <v>21185</v>
      </c>
      <c r="D2071" t="s">
        <v>7</v>
      </c>
      <c r="E2071" t="s">
        <v>14</v>
      </c>
      <c r="F2071" t="s">
        <v>35</v>
      </c>
      <c r="AE2071">
        <v>1</v>
      </c>
      <c r="AJ2071">
        <f>SUM(Post[[#This Row],[47]:[75]])</f>
        <v>1</v>
      </c>
    </row>
    <row r="2072" spans="1:36" x14ac:dyDescent="0.2">
      <c r="A2072" t="s">
        <v>22</v>
      </c>
      <c r="B2072" t="s">
        <v>54</v>
      </c>
      <c r="C2072">
        <v>23380</v>
      </c>
      <c r="D2072" t="s">
        <v>7</v>
      </c>
      <c r="E2072" t="s">
        <v>14</v>
      </c>
      <c r="F2072" t="s">
        <v>35</v>
      </c>
      <c r="AJ2072">
        <f>SUM(Post[[#This Row],[47]:[75]])</f>
        <v>0</v>
      </c>
    </row>
    <row r="2073" spans="1:36" x14ac:dyDescent="0.2">
      <c r="A2073" t="s">
        <v>22</v>
      </c>
      <c r="B2073" t="s">
        <v>54</v>
      </c>
      <c r="C2073">
        <v>23631</v>
      </c>
      <c r="D2073" t="s">
        <v>7</v>
      </c>
      <c r="E2073" t="s">
        <v>14</v>
      </c>
      <c r="F2073" t="s">
        <v>20</v>
      </c>
      <c r="K2073">
        <v>2</v>
      </c>
      <c r="AJ2073">
        <f>SUM(Post[[#This Row],[47]:[75]])</f>
        <v>2</v>
      </c>
    </row>
    <row r="2074" spans="1:36" x14ac:dyDescent="0.2">
      <c r="A2074" t="s">
        <v>22</v>
      </c>
      <c r="B2074" t="s">
        <v>54</v>
      </c>
      <c r="C2074">
        <v>24592</v>
      </c>
      <c r="D2074" t="s">
        <v>7</v>
      </c>
      <c r="E2074" t="s">
        <v>10</v>
      </c>
      <c r="F2074" t="s">
        <v>11</v>
      </c>
      <c r="AJ2074">
        <f>SUM(Post[[#This Row],[47]:[75]])</f>
        <v>0</v>
      </c>
    </row>
    <row r="2075" spans="1:36" x14ac:dyDescent="0.2">
      <c r="A2075" t="s">
        <v>22</v>
      </c>
      <c r="B2075" t="s">
        <v>54</v>
      </c>
      <c r="C2075">
        <v>30203</v>
      </c>
      <c r="D2075" t="s">
        <v>7</v>
      </c>
      <c r="E2075" t="s">
        <v>14</v>
      </c>
      <c r="F2075" t="s">
        <v>35</v>
      </c>
      <c r="AJ2075">
        <f>SUM(Post[[#This Row],[47]:[75]])</f>
        <v>0</v>
      </c>
    </row>
    <row r="2076" spans="1:36" x14ac:dyDescent="0.2">
      <c r="A2076" t="s">
        <v>22</v>
      </c>
      <c r="B2076" t="s">
        <v>54</v>
      </c>
      <c r="C2076">
        <v>30638</v>
      </c>
      <c r="D2076" t="s">
        <v>7</v>
      </c>
      <c r="E2076" t="s">
        <v>14</v>
      </c>
      <c r="F2076" t="s">
        <v>35</v>
      </c>
      <c r="U2076">
        <v>3</v>
      </c>
      <c r="AJ2076">
        <f>SUM(Post[[#This Row],[47]:[75]])</f>
        <v>3</v>
      </c>
    </row>
    <row r="2077" spans="1:36" x14ac:dyDescent="0.2">
      <c r="A2077" t="s">
        <v>22</v>
      </c>
      <c r="B2077" t="s">
        <v>54</v>
      </c>
      <c r="C2077">
        <v>485</v>
      </c>
      <c r="D2077" t="s">
        <v>22</v>
      </c>
      <c r="E2077" t="s">
        <v>8</v>
      </c>
      <c r="F2077" t="s">
        <v>9</v>
      </c>
      <c r="O2077">
        <v>1</v>
      </c>
      <c r="AJ2077">
        <f>SUM(Post[[#This Row],[47]:[75]])</f>
        <v>1</v>
      </c>
    </row>
    <row r="2078" spans="1:36" x14ac:dyDescent="0.2">
      <c r="A2078" t="s">
        <v>22</v>
      </c>
      <c r="B2078" t="s">
        <v>54</v>
      </c>
      <c r="C2078">
        <v>485</v>
      </c>
      <c r="D2078" t="s">
        <v>22</v>
      </c>
      <c r="E2078" t="s">
        <v>14</v>
      </c>
      <c r="F2078" t="s">
        <v>20</v>
      </c>
      <c r="V2078">
        <v>1</v>
      </c>
      <c r="X2078">
        <v>1</v>
      </c>
      <c r="AJ2078">
        <f>SUM(Post[[#This Row],[47]:[75]])</f>
        <v>2</v>
      </c>
    </row>
    <row r="2079" spans="1:36" x14ac:dyDescent="0.2">
      <c r="A2079" t="s">
        <v>22</v>
      </c>
      <c r="B2079" t="s">
        <v>54</v>
      </c>
      <c r="C2079">
        <v>1227</v>
      </c>
      <c r="D2079" t="s">
        <v>22</v>
      </c>
      <c r="E2079" t="s">
        <v>14</v>
      </c>
      <c r="F2079" t="s">
        <v>19</v>
      </c>
      <c r="Z2079">
        <v>1</v>
      </c>
      <c r="AJ2079">
        <f>SUM(Post[[#This Row],[47]:[75]])</f>
        <v>1</v>
      </c>
    </row>
    <row r="2080" spans="1:36" x14ac:dyDescent="0.2">
      <c r="A2080" t="s">
        <v>22</v>
      </c>
      <c r="B2080" t="s">
        <v>54</v>
      </c>
      <c r="C2080">
        <v>1399</v>
      </c>
      <c r="D2080" t="s">
        <v>22</v>
      </c>
      <c r="E2080" t="s">
        <v>14</v>
      </c>
      <c r="F2080" t="s">
        <v>31</v>
      </c>
      <c r="O2080">
        <v>1</v>
      </c>
      <c r="AA2080">
        <v>1</v>
      </c>
      <c r="AE2080">
        <v>1</v>
      </c>
      <c r="AH2080">
        <v>1</v>
      </c>
      <c r="AJ2080">
        <f>SUM(Post[[#This Row],[47]:[75]])</f>
        <v>4</v>
      </c>
    </row>
    <row r="2081" spans="1:36" x14ac:dyDescent="0.2">
      <c r="A2081" t="s">
        <v>22</v>
      </c>
      <c r="B2081" t="s">
        <v>54</v>
      </c>
      <c r="C2081">
        <v>1679</v>
      </c>
      <c r="D2081" t="s">
        <v>22</v>
      </c>
      <c r="E2081" t="s">
        <v>14</v>
      </c>
      <c r="F2081" t="s">
        <v>19</v>
      </c>
      <c r="G2081">
        <v>1</v>
      </c>
      <c r="AJ2081">
        <f>SUM(Post[[#This Row],[47]:[75]])</f>
        <v>1</v>
      </c>
    </row>
    <row r="2082" spans="1:36" x14ac:dyDescent="0.2">
      <c r="A2082" t="s">
        <v>22</v>
      </c>
      <c r="B2082" t="s">
        <v>54</v>
      </c>
      <c r="C2082">
        <v>1976</v>
      </c>
      <c r="D2082" t="s">
        <v>22</v>
      </c>
      <c r="E2082" t="s">
        <v>14</v>
      </c>
      <c r="F2082" t="s">
        <v>35</v>
      </c>
      <c r="G2082">
        <v>1</v>
      </c>
      <c r="N2082">
        <v>1</v>
      </c>
      <c r="V2082">
        <v>1</v>
      </c>
      <c r="AJ2082">
        <f>SUM(Post[[#This Row],[47]:[75]])</f>
        <v>3</v>
      </c>
    </row>
    <row r="2083" spans="1:36" x14ac:dyDescent="0.2">
      <c r="A2083" t="s">
        <v>22</v>
      </c>
      <c r="B2083" t="s">
        <v>54</v>
      </c>
      <c r="C2083">
        <v>1976</v>
      </c>
      <c r="D2083" t="s">
        <v>22</v>
      </c>
      <c r="E2083" t="s">
        <v>14</v>
      </c>
      <c r="F2083" t="s">
        <v>21</v>
      </c>
      <c r="AJ2083">
        <f>SUM(Post[[#This Row],[47]:[75]])</f>
        <v>0</v>
      </c>
    </row>
    <row r="2084" spans="1:36" x14ac:dyDescent="0.2">
      <c r="A2084" t="s">
        <v>22</v>
      </c>
      <c r="B2084" t="s">
        <v>54</v>
      </c>
      <c r="C2084">
        <v>1976</v>
      </c>
      <c r="D2084" t="s">
        <v>22</v>
      </c>
      <c r="E2084" t="s">
        <v>14</v>
      </c>
      <c r="F2084" t="s">
        <v>20</v>
      </c>
      <c r="AJ2084">
        <f>SUM(Post[[#This Row],[47]:[75]])</f>
        <v>0</v>
      </c>
    </row>
    <row r="2085" spans="1:36" x14ac:dyDescent="0.2">
      <c r="A2085" t="s">
        <v>22</v>
      </c>
      <c r="B2085" t="s">
        <v>54</v>
      </c>
      <c r="C2085">
        <v>2051</v>
      </c>
      <c r="D2085" t="s">
        <v>22</v>
      </c>
      <c r="E2085" t="s">
        <v>14</v>
      </c>
      <c r="F2085" t="s">
        <v>20</v>
      </c>
      <c r="AJ2085">
        <f>SUM(Post[[#This Row],[47]:[75]])</f>
        <v>0</v>
      </c>
    </row>
    <row r="2086" spans="1:36" x14ac:dyDescent="0.2">
      <c r="A2086" t="s">
        <v>22</v>
      </c>
      <c r="B2086" t="s">
        <v>54</v>
      </c>
      <c r="C2086">
        <v>2389</v>
      </c>
      <c r="D2086" t="s">
        <v>22</v>
      </c>
      <c r="E2086" t="s">
        <v>8</v>
      </c>
      <c r="F2086" t="s">
        <v>9</v>
      </c>
      <c r="N2086">
        <v>1</v>
      </c>
      <c r="AD2086">
        <v>1</v>
      </c>
      <c r="AJ2086">
        <f>SUM(Post[[#This Row],[47]:[75]])</f>
        <v>2</v>
      </c>
    </row>
    <row r="2087" spans="1:36" x14ac:dyDescent="0.2">
      <c r="A2087" t="s">
        <v>22</v>
      </c>
      <c r="B2087" t="s">
        <v>54</v>
      </c>
      <c r="C2087">
        <v>2389</v>
      </c>
      <c r="D2087" t="s">
        <v>22</v>
      </c>
      <c r="E2087" t="s">
        <v>26</v>
      </c>
      <c r="F2087" t="s">
        <v>27</v>
      </c>
      <c r="N2087">
        <v>1</v>
      </c>
      <c r="AB2087">
        <v>1</v>
      </c>
      <c r="AD2087">
        <v>1</v>
      </c>
      <c r="AJ2087">
        <f>SUM(Post[[#This Row],[47]:[75]])</f>
        <v>3</v>
      </c>
    </row>
    <row r="2088" spans="1:36" x14ac:dyDescent="0.2">
      <c r="A2088" t="s">
        <v>22</v>
      </c>
      <c r="B2088" t="s">
        <v>54</v>
      </c>
      <c r="C2088">
        <v>2389</v>
      </c>
      <c r="D2088" t="s">
        <v>22</v>
      </c>
      <c r="E2088" t="s">
        <v>14</v>
      </c>
      <c r="F2088" t="s">
        <v>20</v>
      </c>
      <c r="I2088">
        <v>1</v>
      </c>
      <c r="AF2088">
        <v>1</v>
      </c>
      <c r="AJ2088">
        <f>SUM(Post[[#This Row],[47]:[75]])</f>
        <v>2</v>
      </c>
    </row>
    <row r="2089" spans="1:36" x14ac:dyDescent="0.2">
      <c r="A2089" t="s">
        <v>22</v>
      </c>
      <c r="B2089" t="s">
        <v>54</v>
      </c>
      <c r="C2089">
        <v>2417</v>
      </c>
      <c r="D2089" t="s">
        <v>22</v>
      </c>
      <c r="E2089" t="s">
        <v>14</v>
      </c>
      <c r="F2089" t="s">
        <v>19</v>
      </c>
      <c r="AC2089">
        <v>1</v>
      </c>
      <c r="AJ2089">
        <f>SUM(Post[[#This Row],[47]:[75]])</f>
        <v>1</v>
      </c>
    </row>
    <row r="2090" spans="1:36" x14ac:dyDescent="0.2">
      <c r="A2090" t="s">
        <v>22</v>
      </c>
      <c r="B2090" t="s">
        <v>54</v>
      </c>
      <c r="C2090">
        <v>2775</v>
      </c>
      <c r="D2090" t="s">
        <v>22</v>
      </c>
      <c r="E2090" t="s">
        <v>8</v>
      </c>
      <c r="F2090" t="s">
        <v>29</v>
      </c>
      <c r="G2090">
        <v>1</v>
      </c>
      <c r="I2090">
        <v>1</v>
      </c>
      <c r="AA2090">
        <v>2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J2090">
        <f>SUM(Post[[#This Row],[47]:[75]])</f>
        <v>11</v>
      </c>
    </row>
    <row r="2091" spans="1:36" x14ac:dyDescent="0.2">
      <c r="A2091" t="s">
        <v>22</v>
      </c>
      <c r="B2091" t="s">
        <v>54</v>
      </c>
      <c r="C2091">
        <v>2793</v>
      </c>
      <c r="D2091" t="s">
        <v>22</v>
      </c>
      <c r="E2091" t="s">
        <v>14</v>
      </c>
      <c r="F2091" t="s">
        <v>20</v>
      </c>
      <c r="AB2091">
        <v>2</v>
      </c>
      <c r="AJ2091">
        <f>SUM(Post[[#This Row],[47]:[75]])</f>
        <v>2</v>
      </c>
    </row>
    <row r="2092" spans="1:36" x14ac:dyDescent="0.2">
      <c r="A2092" t="s">
        <v>22</v>
      </c>
      <c r="B2092" t="s">
        <v>54</v>
      </c>
      <c r="C2092">
        <v>3908</v>
      </c>
      <c r="D2092" t="s">
        <v>22</v>
      </c>
      <c r="E2092" t="s">
        <v>14</v>
      </c>
      <c r="F2092" t="s">
        <v>20</v>
      </c>
      <c r="H2092">
        <v>1</v>
      </c>
      <c r="L2092">
        <v>1</v>
      </c>
      <c r="R2092">
        <v>1</v>
      </c>
      <c r="W2092">
        <v>1</v>
      </c>
      <c r="AJ2092">
        <f>SUM(Post[[#This Row],[47]:[75]])</f>
        <v>4</v>
      </c>
    </row>
    <row r="2093" spans="1:36" x14ac:dyDescent="0.2">
      <c r="A2093" t="s">
        <v>22</v>
      </c>
      <c r="B2093" t="s">
        <v>54</v>
      </c>
      <c r="C2093">
        <v>3980</v>
      </c>
      <c r="D2093" t="s">
        <v>22</v>
      </c>
      <c r="E2093" t="s">
        <v>8</v>
      </c>
      <c r="F2093" t="s">
        <v>9</v>
      </c>
      <c r="Z2093">
        <v>1</v>
      </c>
      <c r="AJ2093">
        <f>SUM(Post[[#This Row],[47]:[75]])</f>
        <v>1</v>
      </c>
    </row>
    <row r="2094" spans="1:36" x14ac:dyDescent="0.2">
      <c r="A2094" t="s">
        <v>22</v>
      </c>
      <c r="B2094" t="s">
        <v>54</v>
      </c>
      <c r="C2094">
        <v>4153</v>
      </c>
      <c r="D2094" t="s">
        <v>22</v>
      </c>
      <c r="E2094" t="s">
        <v>8</v>
      </c>
      <c r="F2094" t="s">
        <v>29</v>
      </c>
      <c r="AJ2094">
        <f>SUM(Post[[#This Row],[47]:[75]])</f>
        <v>0</v>
      </c>
    </row>
    <row r="2095" spans="1:36" x14ac:dyDescent="0.2">
      <c r="A2095" t="s">
        <v>22</v>
      </c>
      <c r="B2095" t="s">
        <v>54</v>
      </c>
      <c r="C2095">
        <v>4308</v>
      </c>
      <c r="D2095" t="s">
        <v>22</v>
      </c>
      <c r="E2095" t="s">
        <v>8</v>
      </c>
      <c r="F2095" t="s">
        <v>29</v>
      </c>
      <c r="N2095">
        <v>1</v>
      </c>
      <c r="AD2095">
        <v>1</v>
      </c>
      <c r="AJ2095">
        <f>SUM(Post[[#This Row],[47]:[75]])</f>
        <v>2</v>
      </c>
    </row>
    <row r="2096" spans="1:36" x14ac:dyDescent="0.2">
      <c r="A2096" t="s">
        <v>22</v>
      </c>
      <c r="B2096" t="s">
        <v>54</v>
      </c>
      <c r="C2096">
        <v>4308</v>
      </c>
      <c r="D2096" t="s">
        <v>22</v>
      </c>
      <c r="E2096" t="s">
        <v>26</v>
      </c>
      <c r="F2096" t="s">
        <v>27</v>
      </c>
      <c r="S2096">
        <v>1</v>
      </c>
      <c r="AG2096">
        <v>1</v>
      </c>
      <c r="AJ2096">
        <f>SUM(Post[[#This Row],[47]:[75]])</f>
        <v>2</v>
      </c>
    </row>
    <row r="2097" spans="1:36" x14ac:dyDescent="0.2">
      <c r="A2097" t="s">
        <v>22</v>
      </c>
      <c r="B2097" t="s">
        <v>54</v>
      </c>
      <c r="C2097">
        <v>5342</v>
      </c>
      <c r="D2097" t="s">
        <v>22</v>
      </c>
      <c r="E2097" t="s">
        <v>10</v>
      </c>
      <c r="F2097" t="s">
        <v>11</v>
      </c>
      <c r="G2097">
        <v>1</v>
      </c>
      <c r="AJ2097">
        <f>SUM(Post[[#This Row],[47]:[75]])</f>
        <v>1</v>
      </c>
    </row>
    <row r="2098" spans="1:36" x14ac:dyDescent="0.2">
      <c r="A2098" t="s">
        <v>22</v>
      </c>
      <c r="B2098" t="s">
        <v>54</v>
      </c>
      <c r="C2098">
        <v>5342</v>
      </c>
      <c r="D2098" t="s">
        <v>22</v>
      </c>
      <c r="E2098" t="s">
        <v>14</v>
      </c>
      <c r="F2098" t="s">
        <v>19</v>
      </c>
      <c r="Q2098">
        <v>1</v>
      </c>
      <c r="AD2098">
        <v>1</v>
      </c>
      <c r="AJ2098">
        <f>SUM(Post[[#This Row],[47]:[75]])</f>
        <v>2</v>
      </c>
    </row>
    <row r="2099" spans="1:36" x14ac:dyDescent="0.2">
      <c r="A2099" t="s">
        <v>22</v>
      </c>
      <c r="B2099" t="s">
        <v>54</v>
      </c>
      <c r="C2099">
        <v>5499</v>
      </c>
      <c r="D2099" t="s">
        <v>22</v>
      </c>
      <c r="E2099" t="s">
        <v>8</v>
      </c>
      <c r="F2099" t="s">
        <v>9</v>
      </c>
      <c r="K2099">
        <v>1</v>
      </c>
      <c r="AJ2099">
        <f>SUM(Post[[#This Row],[47]:[75]])</f>
        <v>1</v>
      </c>
    </row>
    <row r="2100" spans="1:36" x14ac:dyDescent="0.2">
      <c r="A2100" t="s">
        <v>22</v>
      </c>
      <c r="B2100" t="s">
        <v>54</v>
      </c>
      <c r="C2100">
        <v>5499</v>
      </c>
      <c r="D2100" t="s">
        <v>22</v>
      </c>
      <c r="E2100" t="s">
        <v>14</v>
      </c>
      <c r="F2100" t="s">
        <v>35</v>
      </c>
      <c r="O2100">
        <v>2</v>
      </c>
      <c r="AJ2100">
        <f>SUM(Post[[#This Row],[47]:[75]])</f>
        <v>2</v>
      </c>
    </row>
    <row r="2101" spans="1:36" x14ac:dyDescent="0.2">
      <c r="A2101" t="s">
        <v>22</v>
      </c>
      <c r="B2101" t="s">
        <v>54</v>
      </c>
      <c r="C2101">
        <v>5506</v>
      </c>
      <c r="D2101" t="s">
        <v>22</v>
      </c>
      <c r="E2101" t="s">
        <v>14</v>
      </c>
      <c r="F2101" t="s">
        <v>20</v>
      </c>
      <c r="AJ2101">
        <f>SUM(Post[[#This Row],[47]:[75]])</f>
        <v>0</v>
      </c>
    </row>
    <row r="2102" spans="1:36" x14ac:dyDescent="0.2">
      <c r="A2102" t="s">
        <v>22</v>
      </c>
      <c r="B2102" t="s">
        <v>54</v>
      </c>
      <c r="C2102">
        <v>6435</v>
      </c>
      <c r="D2102" t="s">
        <v>22</v>
      </c>
      <c r="E2102" t="s">
        <v>14</v>
      </c>
      <c r="F2102" t="s">
        <v>20</v>
      </c>
      <c r="V2102">
        <v>1</v>
      </c>
      <c r="AJ2102">
        <f>SUM(Post[[#This Row],[47]:[75]])</f>
        <v>1</v>
      </c>
    </row>
    <row r="2103" spans="1:36" x14ac:dyDescent="0.2">
      <c r="A2103" t="s">
        <v>22</v>
      </c>
      <c r="B2103" t="s">
        <v>54</v>
      </c>
      <c r="C2103">
        <v>6777</v>
      </c>
      <c r="D2103" t="s">
        <v>22</v>
      </c>
      <c r="E2103" t="s">
        <v>14</v>
      </c>
      <c r="F2103" t="s">
        <v>20</v>
      </c>
      <c r="K2103">
        <v>1</v>
      </c>
      <c r="U2103">
        <v>1</v>
      </c>
      <c r="AJ2103">
        <f>SUM(Post[[#This Row],[47]:[75]])</f>
        <v>2</v>
      </c>
    </row>
    <row r="2104" spans="1:36" x14ac:dyDescent="0.2">
      <c r="A2104" t="s">
        <v>22</v>
      </c>
      <c r="B2104" t="s">
        <v>54</v>
      </c>
      <c r="C2104">
        <v>7242</v>
      </c>
      <c r="D2104" t="s">
        <v>22</v>
      </c>
      <c r="E2104" t="s">
        <v>10</v>
      </c>
      <c r="F2104" t="s">
        <v>11</v>
      </c>
      <c r="N2104">
        <v>1</v>
      </c>
      <c r="Q2104">
        <v>1</v>
      </c>
      <c r="AE2104">
        <v>1</v>
      </c>
      <c r="AJ2104">
        <f>SUM(Post[[#This Row],[47]:[75]])</f>
        <v>3</v>
      </c>
    </row>
    <row r="2105" spans="1:36" x14ac:dyDescent="0.2">
      <c r="A2105" t="s">
        <v>22</v>
      </c>
      <c r="B2105" t="s">
        <v>54</v>
      </c>
      <c r="C2105">
        <v>7333</v>
      </c>
      <c r="D2105" t="s">
        <v>22</v>
      </c>
      <c r="E2105" t="s">
        <v>8</v>
      </c>
      <c r="F2105" t="s">
        <v>23</v>
      </c>
      <c r="AA2105">
        <v>1</v>
      </c>
      <c r="AJ2105">
        <f>SUM(Post[[#This Row],[47]:[75]])</f>
        <v>1</v>
      </c>
    </row>
    <row r="2106" spans="1:36" x14ac:dyDescent="0.2">
      <c r="A2106" t="s">
        <v>22</v>
      </c>
      <c r="B2106" t="s">
        <v>54</v>
      </c>
      <c r="C2106">
        <v>7333</v>
      </c>
      <c r="D2106" t="s">
        <v>22</v>
      </c>
      <c r="E2106" t="s">
        <v>14</v>
      </c>
      <c r="F2106" t="s">
        <v>20</v>
      </c>
      <c r="Q2106">
        <v>1</v>
      </c>
      <c r="AJ2106">
        <f>SUM(Post[[#This Row],[47]:[75]])</f>
        <v>1</v>
      </c>
    </row>
    <row r="2107" spans="1:36" x14ac:dyDescent="0.2">
      <c r="A2107" t="s">
        <v>22</v>
      </c>
      <c r="B2107" t="s">
        <v>54</v>
      </c>
      <c r="C2107">
        <v>7398</v>
      </c>
      <c r="D2107" t="s">
        <v>22</v>
      </c>
      <c r="E2107" t="s">
        <v>14</v>
      </c>
      <c r="F2107" t="s">
        <v>19</v>
      </c>
      <c r="R2107">
        <v>1</v>
      </c>
      <c r="AJ2107">
        <f>SUM(Post[[#This Row],[47]:[75]])</f>
        <v>1</v>
      </c>
    </row>
    <row r="2108" spans="1:36" x14ac:dyDescent="0.2">
      <c r="A2108" t="s">
        <v>22</v>
      </c>
      <c r="B2108" t="s">
        <v>54</v>
      </c>
      <c r="C2108">
        <v>7691</v>
      </c>
      <c r="D2108" t="s">
        <v>22</v>
      </c>
      <c r="E2108" t="s">
        <v>14</v>
      </c>
      <c r="F2108" t="s">
        <v>31</v>
      </c>
      <c r="P2108">
        <v>1</v>
      </c>
      <c r="AG2108">
        <v>1</v>
      </c>
      <c r="AJ2108">
        <f>SUM(Post[[#This Row],[47]:[75]])</f>
        <v>2</v>
      </c>
    </row>
    <row r="2109" spans="1:36" x14ac:dyDescent="0.2">
      <c r="A2109" t="s">
        <v>22</v>
      </c>
      <c r="B2109" t="s">
        <v>54</v>
      </c>
      <c r="C2109">
        <v>7946</v>
      </c>
      <c r="D2109" t="s">
        <v>22</v>
      </c>
      <c r="E2109" t="s">
        <v>14</v>
      </c>
      <c r="F2109" t="s">
        <v>35</v>
      </c>
      <c r="J2109">
        <v>3</v>
      </c>
      <c r="AJ2109">
        <f>SUM(Post[[#This Row],[47]:[75]])</f>
        <v>3</v>
      </c>
    </row>
    <row r="2110" spans="1:36" x14ac:dyDescent="0.2">
      <c r="A2110" t="s">
        <v>22</v>
      </c>
      <c r="B2110" t="s">
        <v>54</v>
      </c>
      <c r="C2110">
        <v>7946</v>
      </c>
      <c r="D2110" t="s">
        <v>22</v>
      </c>
      <c r="E2110" t="s">
        <v>14</v>
      </c>
      <c r="F2110" t="s">
        <v>19</v>
      </c>
      <c r="G2110">
        <v>1</v>
      </c>
      <c r="AJ2110">
        <f>SUM(Post[[#This Row],[47]:[75]])</f>
        <v>1</v>
      </c>
    </row>
    <row r="2111" spans="1:36" x14ac:dyDescent="0.2">
      <c r="A2111" t="s">
        <v>22</v>
      </c>
      <c r="B2111" t="s">
        <v>54</v>
      </c>
      <c r="C2111">
        <v>7946</v>
      </c>
      <c r="D2111" t="s">
        <v>22</v>
      </c>
      <c r="E2111" t="s">
        <v>14</v>
      </c>
      <c r="F2111" t="s">
        <v>20</v>
      </c>
      <c r="AJ2111">
        <f>SUM(Post[[#This Row],[47]:[75]])</f>
        <v>0</v>
      </c>
    </row>
    <row r="2112" spans="1:36" x14ac:dyDescent="0.2">
      <c r="A2112" t="s">
        <v>22</v>
      </c>
      <c r="B2112" t="s">
        <v>54</v>
      </c>
      <c r="C2112">
        <v>7977</v>
      </c>
      <c r="D2112" t="s">
        <v>22</v>
      </c>
      <c r="E2112" t="s">
        <v>14</v>
      </c>
      <c r="F2112" t="s">
        <v>20</v>
      </c>
      <c r="AJ2112">
        <f>SUM(Post[[#This Row],[47]:[75]])</f>
        <v>0</v>
      </c>
    </row>
    <row r="2113" spans="1:36" x14ac:dyDescent="0.2">
      <c r="A2113" t="s">
        <v>22</v>
      </c>
      <c r="B2113" t="s">
        <v>54</v>
      </c>
      <c r="C2113">
        <v>8145</v>
      </c>
      <c r="D2113" t="s">
        <v>22</v>
      </c>
      <c r="E2113" t="s">
        <v>8</v>
      </c>
      <c r="F2113" t="s">
        <v>23</v>
      </c>
      <c r="W2113">
        <v>1</v>
      </c>
      <c r="Y2113">
        <v>2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f>SUM(Post[[#This Row],[47]:[75]])</f>
        <v>13</v>
      </c>
    </row>
    <row r="2114" spans="1:36" x14ac:dyDescent="0.2">
      <c r="A2114" t="s">
        <v>22</v>
      </c>
      <c r="B2114" t="s">
        <v>54</v>
      </c>
      <c r="C2114">
        <v>8145</v>
      </c>
      <c r="D2114" t="s">
        <v>22</v>
      </c>
      <c r="E2114" t="s">
        <v>8</v>
      </c>
      <c r="F2114" t="s">
        <v>34</v>
      </c>
      <c r="G2114">
        <v>1</v>
      </c>
      <c r="H2114">
        <v>1</v>
      </c>
      <c r="J2114">
        <v>1</v>
      </c>
      <c r="K2114">
        <v>1</v>
      </c>
      <c r="N2114">
        <v>1</v>
      </c>
      <c r="O2114">
        <v>1</v>
      </c>
      <c r="R2114">
        <v>1</v>
      </c>
      <c r="AJ2114">
        <f>SUM(Post[[#This Row],[47]:[75]])</f>
        <v>7</v>
      </c>
    </row>
    <row r="2115" spans="1:36" x14ac:dyDescent="0.2">
      <c r="A2115" t="s">
        <v>22</v>
      </c>
      <c r="B2115" t="s">
        <v>54</v>
      </c>
      <c r="C2115">
        <v>8303</v>
      </c>
      <c r="D2115" t="s">
        <v>22</v>
      </c>
      <c r="E2115" t="s">
        <v>8</v>
      </c>
      <c r="F2115" t="s">
        <v>30</v>
      </c>
      <c r="H2115">
        <v>1</v>
      </c>
      <c r="V2115">
        <v>1</v>
      </c>
      <c r="AJ2115">
        <f>SUM(Post[[#This Row],[47]:[75]])</f>
        <v>2</v>
      </c>
    </row>
    <row r="2116" spans="1:36" x14ac:dyDescent="0.2">
      <c r="A2116" t="s">
        <v>22</v>
      </c>
      <c r="B2116" t="s">
        <v>54</v>
      </c>
      <c r="C2116">
        <v>9007</v>
      </c>
      <c r="D2116" t="s">
        <v>22</v>
      </c>
      <c r="E2116" t="s">
        <v>14</v>
      </c>
      <c r="F2116" t="s">
        <v>20</v>
      </c>
      <c r="S2116">
        <v>1</v>
      </c>
      <c r="AF2116">
        <v>1</v>
      </c>
      <c r="AJ2116">
        <f>SUM(Post[[#This Row],[47]:[75]])</f>
        <v>2</v>
      </c>
    </row>
    <row r="2117" spans="1:36" x14ac:dyDescent="0.2">
      <c r="A2117" t="s">
        <v>22</v>
      </c>
      <c r="B2117" t="s">
        <v>54</v>
      </c>
      <c r="C2117">
        <v>9014</v>
      </c>
      <c r="D2117" t="s">
        <v>22</v>
      </c>
      <c r="E2117" t="s">
        <v>14</v>
      </c>
      <c r="F2117" t="s">
        <v>20</v>
      </c>
      <c r="AJ2117">
        <f>SUM(Post[[#This Row],[47]:[75]])</f>
        <v>0</v>
      </c>
    </row>
    <row r="2118" spans="1:36" x14ac:dyDescent="0.2">
      <c r="A2118" t="s">
        <v>22</v>
      </c>
      <c r="B2118" t="s">
        <v>54</v>
      </c>
      <c r="C2118">
        <v>9046</v>
      </c>
      <c r="D2118" t="s">
        <v>22</v>
      </c>
      <c r="E2118" t="s">
        <v>10</v>
      </c>
      <c r="F2118" t="s">
        <v>16</v>
      </c>
      <c r="I2118">
        <v>1</v>
      </c>
      <c r="V2118">
        <v>1</v>
      </c>
      <c r="AJ2118">
        <f>SUM(Post[[#This Row],[47]:[75]])</f>
        <v>2</v>
      </c>
    </row>
    <row r="2119" spans="1:36" x14ac:dyDescent="0.2">
      <c r="A2119" t="s">
        <v>22</v>
      </c>
      <c r="B2119" t="s">
        <v>54</v>
      </c>
      <c r="C2119">
        <v>9046</v>
      </c>
      <c r="D2119" t="s">
        <v>22</v>
      </c>
      <c r="E2119" t="s">
        <v>8</v>
      </c>
      <c r="F2119" t="s">
        <v>9</v>
      </c>
      <c r="I2119">
        <v>1</v>
      </c>
      <c r="V2119">
        <v>1</v>
      </c>
      <c r="AJ2119">
        <f>SUM(Post[[#This Row],[47]:[75]])</f>
        <v>2</v>
      </c>
    </row>
    <row r="2120" spans="1:36" x14ac:dyDescent="0.2">
      <c r="A2120" t="s">
        <v>22</v>
      </c>
      <c r="B2120" t="s">
        <v>54</v>
      </c>
      <c r="C2120">
        <v>9874</v>
      </c>
      <c r="D2120" t="s">
        <v>22</v>
      </c>
      <c r="E2120" t="s">
        <v>14</v>
      </c>
      <c r="F2120" t="s">
        <v>20</v>
      </c>
      <c r="W2120">
        <v>1</v>
      </c>
      <c r="AJ2120">
        <f>SUM(Post[[#This Row],[47]:[75]])</f>
        <v>1</v>
      </c>
    </row>
    <row r="2121" spans="1:36" x14ac:dyDescent="0.2">
      <c r="A2121" t="s">
        <v>22</v>
      </c>
      <c r="B2121" t="s">
        <v>54</v>
      </c>
      <c r="C2121">
        <v>10782</v>
      </c>
      <c r="D2121" t="s">
        <v>22</v>
      </c>
      <c r="E2121" t="s">
        <v>14</v>
      </c>
      <c r="F2121" t="s">
        <v>19</v>
      </c>
      <c r="AB2121">
        <v>2</v>
      </c>
      <c r="AJ2121">
        <f>SUM(Post[[#This Row],[47]:[75]])</f>
        <v>2</v>
      </c>
    </row>
    <row r="2122" spans="1:36" x14ac:dyDescent="0.2">
      <c r="A2122" t="s">
        <v>22</v>
      </c>
      <c r="B2122" t="s">
        <v>54</v>
      </c>
      <c r="C2122">
        <v>10969</v>
      </c>
      <c r="D2122" t="s">
        <v>22</v>
      </c>
      <c r="E2122" t="s">
        <v>8</v>
      </c>
      <c r="F2122" t="s">
        <v>23</v>
      </c>
      <c r="G2122">
        <v>1</v>
      </c>
      <c r="I2122">
        <v>1</v>
      </c>
      <c r="K2122">
        <v>1</v>
      </c>
      <c r="N2122">
        <v>1</v>
      </c>
      <c r="P2122">
        <v>1</v>
      </c>
      <c r="R2122">
        <v>1</v>
      </c>
      <c r="T2122">
        <v>1</v>
      </c>
      <c r="V2122">
        <v>1</v>
      </c>
      <c r="X2122">
        <v>1</v>
      </c>
      <c r="Z2122">
        <v>1</v>
      </c>
      <c r="AB2122">
        <v>1</v>
      </c>
      <c r="AD2122">
        <v>1</v>
      </c>
      <c r="AF2122">
        <v>1</v>
      </c>
      <c r="AH2122">
        <v>1</v>
      </c>
      <c r="AJ2122">
        <f>SUM(Post[[#This Row],[47]:[75]])</f>
        <v>14</v>
      </c>
    </row>
    <row r="2123" spans="1:36" x14ac:dyDescent="0.2">
      <c r="A2123" t="s">
        <v>22</v>
      </c>
      <c r="B2123" t="s">
        <v>54</v>
      </c>
      <c r="C2123">
        <v>10969</v>
      </c>
      <c r="D2123" t="s">
        <v>22</v>
      </c>
      <c r="E2123" t="s">
        <v>14</v>
      </c>
      <c r="F2123" t="s">
        <v>20</v>
      </c>
      <c r="G2123">
        <v>1</v>
      </c>
      <c r="I2123">
        <v>1</v>
      </c>
      <c r="K2123">
        <v>1</v>
      </c>
      <c r="N2123">
        <v>1</v>
      </c>
      <c r="P2123">
        <v>1</v>
      </c>
      <c r="R2123">
        <v>1</v>
      </c>
      <c r="T2123">
        <v>1</v>
      </c>
      <c r="V2123">
        <v>1</v>
      </c>
      <c r="X2123">
        <v>1</v>
      </c>
      <c r="Z2123">
        <v>1</v>
      </c>
      <c r="AB2123">
        <v>1</v>
      </c>
      <c r="AD2123">
        <v>1</v>
      </c>
      <c r="AF2123">
        <v>1</v>
      </c>
      <c r="AH2123">
        <v>1</v>
      </c>
      <c r="AJ2123">
        <f>SUM(Post[[#This Row],[47]:[75]])</f>
        <v>14</v>
      </c>
    </row>
    <row r="2124" spans="1:36" x14ac:dyDescent="0.2">
      <c r="A2124" t="s">
        <v>22</v>
      </c>
      <c r="B2124" t="s">
        <v>54</v>
      </c>
      <c r="C2124">
        <v>11158</v>
      </c>
      <c r="D2124" t="s">
        <v>22</v>
      </c>
      <c r="E2124" t="s">
        <v>14</v>
      </c>
      <c r="F2124" t="s">
        <v>35</v>
      </c>
      <c r="H2124">
        <v>1</v>
      </c>
      <c r="T2124">
        <v>1</v>
      </c>
      <c r="AJ2124">
        <f>SUM(Post[[#This Row],[47]:[75]])</f>
        <v>2</v>
      </c>
    </row>
    <row r="2125" spans="1:36" x14ac:dyDescent="0.2">
      <c r="A2125" t="s">
        <v>22</v>
      </c>
      <c r="B2125" t="s">
        <v>54</v>
      </c>
      <c r="C2125">
        <v>11158</v>
      </c>
      <c r="D2125" t="s">
        <v>22</v>
      </c>
      <c r="E2125" t="s">
        <v>14</v>
      </c>
      <c r="F2125" t="s">
        <v>19</v>
      </c>
      <c r="Q2125">
        <v>1</v>
      </c>
      <c r="AE2125">
        <v>1</v>
      </c>
      <c r="AJ2125">
        <f>SUM(Post[[#This Row],[47]:[75]])</f>
        <v>2</v>
      </c>
    </row>
    <row r="2126" spans="1:36" x14ac:dyDescent="0.2">
      <c r="A2126" t="s">
        <v>22</v>
      </c>
      <c r="B2126" t="s">
        <v>54</v>
      </c>
      <c r="C2126">
        <v>11348</v>
      </c>
      <c r="D2126" t="s">
        <v>22</v>
      </c>
      <c r="E2126" t="s">
        <v>14</v>
      </c>
      <c r="F2126" t="s">
        <v>35</v>
      </c>
      <c r="G2126">
        <v>3</v>
      </c>
      <c r="L2126">
        <v>1</v>
      </c>
      <c r="P2126">
        <v>1</v>
      </c>
      <c r="Q2126">
        <v>1</v>
      </c>
      <c r="U2126">
        <v>1</v>
      </c>
      <c r="Y2126">
        <v>1</v>
      </c>
      <c r="AB2126">
        <v>1</v>
      </c>
      <c r="AG2126">
        <v>1</v>
      </c>
      <c r="AJ2126">
        <f>SUM(Post[[#This Row],[47]:[75]])</f>
        <v>10</v>
      </c>
    </row>
    <row r="2127" spans="1:36" x14ac:dyDescent="0.2">
      <c r="A2127" t="s">
        <v>22</v>
      </c>
      <c r="B2127" t="s">
        <v>54</v>
      </c>
      <c r="C2127">
        <v>11377</v>
      </c>
      <c r="D2127" t="s">
        <v>22</v>
      </c>
      <c r="E2127" t="s">
        <v>14</v>
      </c>
      <c r="F2127" t="s">
        <v>20</v>
      </c>
      <c r="J2127">
        <v>1</v>
      </c>
      <c r="P2127">
        <v>1</v>
      </c>
      <c r="V2127">
        <v>1</v>
      </c>
      <c r="AC2127">
        <v>1</v>
      </c>
      <c r="AJ2127">
        <f>SUM(Post[[#This Row],[47]:[75]])</f>
        <v>4</v>
      </c>
    </row>
    <row r="2128" spans="1:36" x14ac:dyDescent="0.2">
      <c r="A2128" t="s">
        <v>22</v>
      </c>
      <c r="B2128" t="s">
        <v>54</v>
      </c>
      <c r="C2128">
        <v>11807</v>
      </c>
      <c r="D2128" t="s">
        <v>22</v>
      </c>
      <c r="E2128" t="s">
        <v>14</v>
      </c>
      <c r="F2128" t="s">
        <v>20</v>
      </c>
      <c r="K2128">
        <v>1</v>
      </c>
      <c r="U2128">
        <v>1</v>
      </c>
      <c r="AC2128">
        <v>1</v>
      </c>
      <c r="AH2128">
        <v>1</v>
      </c>
      <c r="AJ2128">
        <f>SUM(Post[[#This Row],[47]:[75]])</f>
        <v>4</v>
      </c>
    </row>
    <row r="2129" spans="1:36" x14ac:dyDescent="0.2">
      <c r="A2129" t="s">
        <v>22</v>
      </c>
      <c r="B2129" t="s">
        <v>54</v>
      </c>
      <c r="C2129">
        <v>11852</v>
      </c>
      <c r="D2129" t="s">
        <v>22</v>
      </c>
      <c r="E2129" t="s">
        <v>14</v>
      </c>
      <c r="F2129" t="s">
        <v>20</v>
      </c>
      <c r="O2129">
        <v>1</v>
      </c>
      <c r="AB2129">
        <v>1</v>
      </c>
      <c r="AJ2129">
        <f>SUM(Post[[#This Row],[47]:[75]])</f>
        <v>2</v>
      </c>
    </row>
    <row r="2130" spans="1:36" x14ac:dyDescent="0.2">
      <c r="A2130" t="s">
        <v>22</v>
      </c>
      <c r="B2130" t="s">
        <v>54</v>
      </c>
      <c r="C2130">
        <v>12100</v>
      </c>
      <c r="D2130" t="s">
        <v>22</v>
      </c>
      <c r="E2130" t="s">
        <v>10</v>
      </c>
      <c r="F2130" t="s">
        <v>11</v>
      </c>
      <c r="O2130">
        <v>1</v>
      </c>
      <c r="AA2130">
        <v>1</v>
      </c>
      <c r="AJ2130">
        <f>SUM(Post[[#This Row],[47]:[75]])</f>
        <v>2</v>
      </c>
    </row>
    <row r="2131" spans="1:36" x14ac:dyDescent="0.2">
      <c r="A2131" t="s">
        <v>22</v>
      </c>
      <c r="B2131" t="s">
        <v>54</v>
      </c>
      <c r="C2131">
        <v>12100</v>
      </c>
      <c r="D2131" t="s">
        <v>22</v>
      </c>
      <c r="E2131" t="s">
        <v>8</v>
      </c>
      <c r="F2131" t="s">
        <v>29</v>
      </c>
      <c r="O2131">
        <v>1</v>
      </c>
      <c r="AA2131">
        <v>1</v>
      </c>
      <c r="AJ2131">
        <f>SUM(Post[[#This Row],[47]:[75]])</f>
        <v>2</v>
      </c>
    </row>
    <row r="2132" spans="1:36" x14ac:dyDescent="0.2">
      <c r="A2132" t="s">
        <v>22</v>
      </c>
      <c r="B2132" t="s">
        <v>54</v>
      </c>
      <c r="C2132">
        <v>12102</v>
      </c>
      <c r="D2132" t="s">
        <v>22</v>
      </c>
      <c r="E2132" t="s">
        <v>14</v>
      </c>
      <c r="F2132" t="s">
        <v>20</v>
      </c>
      <c r="G2132">
        <v>1</v>
      </c>
      <c r="R2132">
        <v>1</v>
      </c>
      <c r="Y2132">
        <v>1</v>
      </c>
      <c r="AJ2132">
        <f>SUM(Post[[#This Row],[47]:[75]])</f>
        <v>3</v>
      </c>
    </row>
    <row r="2133" spans="1:36" x14ac:dyDescent="0.2">
      <c r="A2133" t="s">
        <v>22</v>
      </c>
      <c r="B2133" t="s">
        <v>54</v>
      </c>
      <c r="C2133">
        <v>13000</v>
      </c>
      <c r="D2133" t="s">
        <v>22</v>
      </c>
      <c r="E2133" t="s">
        <v>14</v>
      </c>
      <c r="F2133" t="s">
        <v>35</v>
      </c>
      <c r="AJ2133">
        <f>SUM(Post[[#This Row],[47]:[75]])</f>
        <v>0</v>
      </c>
    </row>
    <row r="2134" spans="1:36" x14ac:dyDescent="0.2">
      <c r="A2134" t="s">
        <v>22</v>
      </c>
      <c r="B2134" t="s">
        <v>54</v>
      </c>
      <c r="C2134">
        <v>13194</v>
      </c>
      <c r="D2134" t="s">
        <v>22</v>
      </c>
      <c r="E2134" t="s">
        <v>14</v>
      </c>
      <c r="F2134" t="s">
        <v>19</v>
      </c>
      <c r="L2134">
        <v>1</v>
      </c>
      <c r="O2134">
        <v>1</v>
      </c>
      <c r="P2134">
        <v>1</v>
      </c>
      <c r="S2134">
        <v>1</v>
      </c>
      <c r="T2134">
        <v>1</v>
      </c>
      <c r="Y2134">
        <v>1</v>
      </c>
      <c r="AA2134">
        <v>1</v>
      </c>
      <c r="AJ2134">
        <f>SUM(Post[[#This Row],[47]:[75]])</f>
        <v>7</v>
      </c>
    </row>
    <row r="2135" spans="1:36" x14ac:dyDescent="0.2">
      <c r="A2135" t="s">
        <v>22</v>
      </c>
      <c r="B2135" t="s">
        <v>54</v>
      </c>
      <c r="C2135">
        <v>13194</v>
      </c>
      <c r="D2135" t="s">
        <v>22</v>
      </c>
      <c r="E2135" t="s">
        <v>14</v>
      </c>
      <c r="F2135" t="s">
        <v>20</v>
      </c>
      <c r="AJ2135">
        <f>SUM(Post[[#This Row],[47]:[75]])</f>
        <v>0</v>
      </c>
    </row>
    <row r="2136" spans="1:36" x14ac:dyDescent="0.2">
      <c r="A2136" t="s">
        <v>22</v>
      </c>
      <c r="B2136" t="s">
        <v>54</v>
      </c>
      <c r="C2136">
        <v>13652</v>
      </c>
      <c r="D2136" t="s">
        <v>22</v>
      </c>
      <c r="E2136" t="s">
        <v>8</v>
      </c>
      <c r="F2136" t="s">
        <v>23</v>
      </c>
      <c r="AJ2136">
        <f>SUM(Post[[#This Row],[47]:[75]])</f>
        <v>0</v>
      </c>
    </row>
    <row r="2137" spans="1:36" x14ac:dyDescent="0.2">
      <c r="A2137" t="s">
        <v>22</v>
      </c>
      <c r="B2137" t="s">
        <v>54</v>
      </c>
      <c r="C2137">
        <v>13652</v>
      </c>
      <c r="D2137" t="s">
        <v>22</v>
      </c>
      <c r="E2137" t="s">
        <v>8</v>
      </c>
      <c r="F2137" t="s">
        <v>9</v>
      </c>
      <c r="U2137">
        <v>1</v>
      </c>
      <c r="AB2137">
        <v>1</v>
      </c>
      <c r="AJ2137">
        <f>SUM(Post[[#This Row],[47]:[75]])</f>
        <v>2</v>
      </c>
    </row>
    <row r="2138" spans="1:36" x14ac:dyDescent="0.2">
      <c r="A2138" t="s">
        <v>22</v>
      </c>
      <c r="B2138" t="s">
        <v>54</v>
      </c>
      <c r="C2138">
        <v>14198</v>
      </c>
      <c r="D2138" t="s">
        <v>22</v>
      </c>
      <c r="E2138" t="s">
        <v>14</v>
      </c>
      <c r="F2138" t="s">
        <v>20</v>
      </c>
      <c r="J2138">
        <v>1</v>
      </c>
      <c r="Z2138">
        <v>1</v>
      </c>
      <c r="AJ2138">
        <f>SUM(Post[[#This Row],[47]:[75]])</f>
        <v>2</v>
      </c>
    </row>
    <row r="2139" spans="1:36" x14ac:dyDescent="0.2">
      <c r="A2139" t="s">
        <v>22</v>
      </c>
      <c r="B2139" t="s">
        <v>54</v>
      </c>
      <c r="C2139">
        <v>14210</v>
      </c>
      <c r="D2139" t="s">
        <v>22</v>
      </c>
      <c r="E2139" t="s">
        <v>14</v>
      </c>
      <c r="F2139" t="s">
        <v>35</v>
      </c>
      <c r="AJ2139">
        <f>SUM(Post[[#This Row],[47]:[75]])</f>
        <v>0</v>
      </c>
    </row>
    <row r="2140" spans="1:36" x14ac:dyDescent="0.2">
      <c r="A2140" t="s">
        <v>22</v>
      </c>
      <c r="B2140" t="s">
        <v>54</v>
      </c>
      <c r="C2140">
        <v>14210</v>
      </c>
      <c r="D2140" t="s">
        <v>22</v>
      </c>
      <c r="E2140" t="s">
        <v>14</v>
      </c>
      <c r="F2140" t="s">
        <v>19</v>
      </c>
      <c r="AE2140">
        <v>2</v>
      </c>
      <c r="AJ2140">
        <f>SUM(Post[[#This Row],[47]:[75]])</f>
        <v>2</v>
      </c>
    </row>
    <row r="2141" spans="1:36" x14ac:dyDescent="0.2">
      <c r="A2141" t="s">
        <v>22</v>
      </c>
      <c r="B2141" t="s">
        <v>54</v>
      </c>
      <c r="C2141">
        <v>14416</v>
      </c>
      <c r="D2141" t="s">
        <v>22</v>
      </c>
      <c r="E2141" t="s">
        <v>14</v>
      </c>
      <c r="F2141" t="s">
        <v>20</v>
      </c>
      <c r="I2141">
        <v>1</v>
      </c>
      <c r="X2141">
        <v>1</v>
      </c>
      <c r="AE2141">
        <v>1</v>
      </c>
      <c r="AJ2141">
        <f>SUM(Post[[#This Row],[47]:[75]])</f>
        <v>3</v>
      </c>
    </row>
    <row r="2142" spans="1:36" x14ac:dyDescent="0.2">
      <c r="A2142" t="s">
        <v>22</v>
      </c>
      <c r="B2142" t="s">
        <v>54</v>
      </c>
      <c r="C2142">
        <v>14420</v>
      </c>
      <c r="D2142" t="s">
        <v>22</v>
      </c>
      <c r="E2142" t="s">
        <v>14</v>
      </c>
      <c r="F2142" t="s">
        <v>35</v>
      </c>
      <c r="G2142">
        <v>1</v>
      </c>
      <c r="N2142">
        <v>1</v>
      </c>
      <c r="S2142">
        <v>1</v>
      </c>
      <c r="W2142">
        <v>1</v>
      </c>
      <c r="AJ2142">
        <f>SUM(Post[[#This Row],[47]:[75]])</f>
        <v>4</v>
      </c>
    </row>
    <row r="2143" spans="1:36" x14ac:dyDescent="0.2">
      <c r="A2143" t="s">
        <v>22</v>
      </c>
      <c r="B2143" t="s">
        <v>54</v>
      </c>
      <c r="C2143">
        <v>14756</v>
      </c>
      <c r="D2143" t="s">
        <v>22</v>
      </c>
      <c r="E2143" t="s">
        <v>8</v>
      </c>
      <c r="F2143" t="s">
        <v>9</v>
      </c>
      <c r="X2143">
        <v>1</v>
      </c>
      <c r="AJ2143">
        <f>SUM(Post[[#This Row],[47]:[75]])</f>
        <v>1</v>
      </c>
    </row>
    <row r="2144" spans="1:36" x14ac:dyDescent="0.2">
      <c r="A2144" t="s">
        <v>22</v>
      </c>
      <c r="B2144" t="s">
        <v>54</v>
      </c>
      <c r="C2144">
        <v>15561</v>
      </c>
      <c r="D2144" t="s">
        <v>22</v>
      </c>
      <c r="E2144" t="s">
        <v>14</v>
      </c>
      <c r="F2144" t="s">
        <v>21</v>
      </c>
      <c r="AF2144">
        <v>1</v>
      </c>
      <c r="AJ2144">
        <f>SUM(Post[[#This Row],[47]:[75]])</f>
        <v>1</v>
      </c>
    </row>
    <row r="2145" spans="1:36" x14ac:dyDescent="0.2">
      <c r="A2145" t="s">
        <v>22</v>
      </c>
      <c r="B2145" t="s">
        <v>54</v>
      </c>
      <c r="C2145">
        <v>15561</v>
      </c>
      <c r="D2145" t="s">
        <v>22</v>
      </c>
      <c r="E2145" t="s">
        <v>14</v>
      </c>
      <c r="F2145" t="s">
        <v>20</v>
      </c>
      <c r="Q2145">
        <v>1</v>
      </c>
      <c r="AJ2145">
        <f>SUM(Post[[#This Row],[47]:[75]])</f>
        <v>1</v>
      </c>
    </row>
    <row r="2146" spans="1:36" x14ac:dyDescent="0.2">
      <c r="A2146" t="s">
        <v>22</v>
      </c>
      <c r="B2146" t="s">
        <v>54</v>
      </c>
      <c r="C2146">
        <v>15676</v>
      </c>
      <c r="D2146" t="s">
        <v>22</v>
      </c>
      <c r="E2146" t="s">
        <v>14</v>
      </c>
      <c r="F2146" t="s">
        <v>20</v>
      </c>
      <c r="AJ2146">
        <f>SUM(Post[[#This Row],[47]:[75]])</f>
        <v>0</v>
      </c>
    </row>
    <row r="2147" spans="1:36" x14ac:dyDescent="0.2">
      <c r="A2147" t="s">
        <v>22</v>
      </c>
      <c r="B2147" t="s">
        <v>54</v>
      </c>
      <c r="C2147">
        <v>16127</v>
      </c>
      <c r="D2147" t="s">
        <v>22</v>
      </c>
      <c r="E2147" t="s">
        <v>8</v>
      </c>
      <c r="F2147" t="s">
        <v>30</v>
      </c>
      <c r="K2147">
        <v>1</v>
      </c>
      <c r="P2147">
        <v>1</v>
      </c>
      <c r="T2147">
        <v>1</v>
      </c>
      <c r="X2147">
        <v>1</v>
      </c>
      <c r="AC2147">
        <v>1</v>
      </c>
      <c r="AF2147">
        <v>1</v>
      </c>
      <c r="AJ2147">
        <f>SUM(Post[[#This Row],[47]:[75]])</f>
        <v>6</v>
      </c>
    </row>
    <row r="2148" spans="1:36" x14ac:dyDescent="0.2">
      <c r="A2148" t="s">
        <v>22</v>
      </c>
      <c r="B2148" t="s">
        <v>54</v>
      </c>
      <c r="C2148">
        <v>16420</v>
      </c>
      <c r="D2148" t="s">
        <v>22</v>
      </c>
      <c r="E2148" t="s">
        <v>14</v>
      </c>
      <c r="F2148" t="s">
        <v>15</v>
      </c>
      <c r="Z2148">
        <v>1</v>
      </c>
      <c r="AJ2148">
        <f>SUM(Post[[#This Row],[47]:[75]])</f>
        <v>1</v>
      </c>
    </row>
    <row r="2149" spans="1:36" x14ac:dyDescent="0.2">
      <c r="A2149" t="s">
        <v>22</v>
      </c>
      <c r="B2149" t="s">
        <v>54</v>
      </c>
      <c r="C2149">
        <v>18805</v>
      </c>
      <c r="D2149" t="s">
        <v>22</v>
      </c>
      <c r="E2149" t="s">
        <v>8</v>
      </c>
      <c r="F2149" t="s">
        <v>9</v>
      </c>
      <c r="I2149">
        <v>1</v>
      </c>
      <c r="N2149">
        <v>1</v>
      </c>
      <c r="Q2149">
        <v>1</v>
      </c>
      <c r="V2149">
        <v>1</v>
      </c>
      <c r="Z2149">
        <v>1</v>
      </c>
      <c r="AD2149">
        <v>1</v>
      </c>
      <c r="AH2149">
        <v>1</v>
      </c>
      <c r="AJ2149">
        <f>SUM(Post[[#This Row],[47]:[75]])</f>
        <v>7</v>
      </c>
    </row>
    <row r="2150" spans="1:36" x14ac:dyDescent="0.2">
      <c r="A2150" t="s">
        <v>22</v>
      </c>
      <c r="B2150" t="s">
        <v>54</v>
      </c>
      <c r="C2150">
        <v>18958</v>
      </c>
      <c r="D2150" t="s">
        <v>22</v>
      </c>
      <c r="E2150" t="s">
        <v>14</v>
      </c>
      <c r="F2150" t="s">
        <v>19</v>
      </c>
      <c r="AJ2150">
        <f>SUM(Post[[#This Row],[47]:[75]])</f>
        <v>0</v>
      </c>
    </row>
    <row r="2151" spans="1:36" x14ac:dyDescent="0.2">
      <c r="A2151" t="s">
        <v>22</v>
      </c>
      <c r="B2151" t="s">
        <v>54</v>
      </c>
      <c r="C2151">
        <v>18958</v>
      </c>
      <c r="D2151" t="s">
        <v>22</v>
      </c>
      <c r="E2151" t="s">
        <v>14</v>
      </c>
      <c r="F2151" t="s">
        <v>21</v>
      </c>
      <c r="P2151">
        <v>1</v>
      </c>
      <c r="AH2151">
        <v>1</v>
      </c>
      <c r="AJ2151">
        <f>SUM(Post[[#This Row],[47]:[75]])</f>
        <v>2</v>
      </c>
    </row>
    <row r="2152" spans="1:36" x14ac:dyDescent="0.2">
      <c r="A2152" t="s">
        <v>22</v>
      </c>
      <c r="B2152" t="s">
        <v>54</v>
      </c>
      <c r="C2152">
        <v>19703</v>
      </c>
      <c r="D2152" t="s">
        <v>22</v>
      </c>
      <c r="E2152" t="s">
        <v>14</v>
      </c>
      <c r="F2152" t="s">
        <v>20</v>
      </c>
      <c r="AJ2152">
        <f>SUM(Post[[#This Row],[47]:[75]])</f>
        <v>0</v>
      </c>
    </row>
    <row r="2153" spans="1:36" x14ac:dyDescent="0.2">
      <c r="A2153" t="s">
        <v>22</v>
      </c>
      <c r="B2153" t="s">
        <v>54</v>
      </c>
      <c r="C2153">
        <v>20377</v>
      </c>
      <c r="D2153" t="s">
        <v>22</v>
      </c>
      <c r="E2153" t="s">
        <v>14</v>
      </c>
      <c r="F2153" t="s">
        <v>20</v>
      </c>
      <c r="H2153">
        <v>1</v>
      </c>
      <c r="S2153">
        <v>1</v>
      </c>
      <c r="Y2153">
        <v>1</v>
      </c>
      <c r="AJ2153">
        <f>SUM(Post[[#This Row],[47]:[75]])</f>
        <v>3</v>
      </c>
    </row>
    <row r="2154" spans="1:36" x14ac:dyDescent="0.2">
      <c r="A2154" t="s">
        <v>22</v>
      </c>
      <c r="B2154" t="s">
        <v>54</v>
      </c>
      <c r="C2154">
        <v>23501</v>
      </c>
      <c r="D2154" t="s">
        <v>22</v>
      </c>
      <c r="E2154" t="s">
        <v>14</v>
      </c>
      <c r="F2154" t="s">
        <v>20</v>
      </c>
      <c r="AJ2154">
        <f>SUM(Post[[#This Row],[47]:[75]])</f>
        <v>0</v>
      </c>
    </row>
    <row r="2155" spans="1:36" x14ac:dyDescent="0.2">
      <c r="A2155" t="s">
        <v>22</v>
      </c>
      <c r="B2155" t="s">
        <v>54</v>
      </c>
      <c r="C2155">
        <v>24838</v>
      </c>
      <c r="D2155" t="s">
        <v>22</v>
      </c>
      <c r="E2155" t="s">
        <v>14</v>
      </c>
      <c r="F2155" t="s">
        <v>35</v>
      </c>
      <c r="T2155">
        <v>3</v>
      </c>
      <c r="AJ2155">
        <f>SUM(Post[[#This Row],[47]:[75]])</f>
        <v>3</v>
      </c>
    </row>
    <row r="2156" spans="1:36" x14ac:dyDescent="0.2">
      <c r="A2156" t="s">
        <v>22</v>
      </c>
      <c r="B2156" t="s">
        <v>54</v>
      </c>
      <c r="C2156">
        <v>12003</v>
      </c>
      <c r="D2156" t="s">
        <v>7</v>
      </c>
      <c r="E2156" t="s">
        <v>14</v>
      </c>
      <c r="F2156" t="s">
        <v>20</v>
      </c>
      <c r="N2156">
        <v>2</v>
      </c>
      <c r="AC2156">
        <v>1</v>
      </c>
      <c r="AJ2156">
        <f>SUM(Post[[#This Row],[47]:[75]])</f>
        <v>3</v>
      </c>
    </row>
    <row r="2157" spans="1:36" x14ac:dyDescent="0.2">
      <c r="A2157" t="s">
        <v>22</v>
      </c>
      <c r="B2157" t="s">
        <v>54</v>
      </c>
      <c r="C2157">
        <v>12194</v>
      </c>
      <c r="D2157" t="s">
        <v>22</v>
      </c>
      <c r="E2157" t="s">
        <v>14</v>
      </c>
      <c r="F2157" t="s">
        <v>20</v>
      </c>
      <c r="N2157">
        <v>2</v>
      </c>
      <c r="AJ2157">
        <f>SUM(Post[[#This Row],[47]:[75]])</f>
        <v>2</v>
      </c>
    </row>
    <row r="2158" spans="1:36" x14ac:dyDescent="0.2">
      <c r="A2158" t="s">
        <v>22</v>
      </c>
      <c r="B2158" t="s">
        <v>54</v>
      </c>
      <c r="C2158">
        <v>2774</v>
      </c>
      <c r="D2158" t="s">
        <v>7</v>
      </c>
      <c r="E2158" t="s">
        <v>10</v>
      </c>
      <c r="F2158" t="s">
        <v>11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O2158">
        <v>1</v>
      </c>
      <c r="P2158">
        <v>2</v>
      </c>
      <c r="Q2158">
        <v>1</v>
      </c>
      <c r="S2158">
        <v>2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B2158">
        <v>2</v>
      </c>
      <c r="AD2158">
        <v>2</v>
      </c>
      <c r="AE2158">
        <v>1</v>
      </c>
      <c r="AF2158">
        <v>1</v>
      </c>
      <c r="AG2158">
        <v>3</v>
      </c>
      <c r="AH2158">
        <v>1</v>
      </c>
      <c r="AJ2158">
        <f>SUM(Post[[#This Row],[47]:[75]])</f>
        <v>29</v>
      </c>
    </row>
    <row r="2159" spans="1:36" x14ac:dyDescent="0.2">
      <c r="A2159" t="s">
        <v>22</v>
      </c>
      <c r="B2159" t="s">
        <v>54</v>
      </c>
      <c r="C2159">
        <v>7625</v>
      </c>
      <c r="D2159" t="s">
        <v>7</v>
      </c>
      <c r="E2159" t="s">
        <v>14</v>
      </c>
      <c r="F2159" t="s">
        <v>20</v>
      </c>
      <c r="AJ2159">
        <f>SUM(Post[[#This Row],[47]:[75]])</f>
        <v>0</v>
      </c>
    </row>
    <row r="2160" spans="1:36" x14ac:dyDescent="0.2">
      <c r="A2160" t="s">
        <v>22</v>
      </c>
      <c r="B2160" t="s">
        <v>54</v>
      </c>
      <c r="C2160">
        <v>7915</v>
      </c>
      <c r="D2160" t="s">
        <v>7</v>
      </c>
      <c r="E2160" t="s">
        <v>14</v>
      </c>
      <c r="F2160" t="s">
        <v>35</v>
      </c>
      <c r="T2160">
        <v>1</v>
      </c>
      <c r="AD2160">
        <v>1</v>
      </c>
      <c r="AG2160">
        <v>1</v>
      </c>
      <c r="AJ2160">
        <f>SUM(Post[[#This Row],[47]:[75]])</f>
        <v>3</v>
      </c>
    </row>
    <row r="2161" spans="1:36" x14ac:dyDescent="0.2">
      <c r="A2161" t="s">
        <v>22</v>
      </c>
      <c r="B2161" t="s">
        <v>54</v>
      </c>
      <c r="C2161">
        <v>8010</v>
      </c>
      <c r="D2161" t="s">
        <v>7</v>
      </c>
      <c r="E2161" t="s">
        <v>14</v>
      </c>
      <c r="F2161" t="s">
        <v>35</v>
      </c>
      <c r="AJ2161">
        <f>SUM(Post[[#This Row],[47]:[75]])</f>
        <v>0</v>
      </c>
    </row>
    <row r="2162" spans="1:36" x14ac:dyDescent="0.2">
      <c r="A2162" t="s">
        <v>22</v>
      </c>
      <c r="B2162" t="s">
        <v>54</v>
      </c>
      <c r="C2162">
        <v>8010</v>
      </c>
      <c r="D2162" t="s">
        <v>7</v>
      </c>
      <c r="E2162" t="s">
        <v>14</v>
      </c>
      <c r="F2162" t="s">
        <v>20</v>
      </c>
      <c r="S2162">
        <v>2</v>
      </c>
      <c r="AH2162">
        <v>1</v>
      </c>
      <c r="AJ2162">
        <f>SUM(Post[[#This Row],[47]:[75]])</f>
        <v>3</v>
      </c>
    </row>
    <row r="2163" spans="1:36" x14ac:dyDescent="0.2">
      <c r="A2163" t="s">
        <v>22</v>
      </c>
      <c r="B2163" t="s">
        <v>54</v>
      </c>
      <c r="C2163">
        <v>11098</v>
      </c>
      <c r="D2163" t="s">
        <v>7</v>
      </c>
      <c r="E2163" t="s">
        <v>10</v>
      </c>
      <c r="F2163" t="s">
        <v>16</v>
      </c>
      <c r="Z2163">
        <v>1</v>
      </c>
      <c r="AJ2163">
        <f>SUM(Post[[#This Row],[47]:[75]])</f>
        <v>1</v>
      </c>
    </row>
    <row r="2164" spans="1:36" x14ac:dyDescent="0.2">
      <c r="A2164" t="s">
        <v>22</v>
      </c>
      <c r="B2164" t="s">
        <v>54</v>
      </c>
      <c r="C2164">
        <v>5</v>
      </c>
      <c r="D2164" t="s">
        <v>22</v>
      </c>
      <c r="E2164" t="s">
        <v>10</v>
      </c>
      <c r="F2164" t="s">
        <v>11</v>
      </c>
      <c r="AC2164">
        <v>1</v>
      </c>
      <c r="AJ2164">
        <f>SUM(Post[[#This Row],[47]:[75]])</f>
        <v>1</v>
      </c>
    </row>
    <row r="2165" spans="1:36" x14ac:dyDescent="0.2">
      <c r="A2165" t="s">
        <v>22</v>
      </c>
      <c r="B2165" t="s">
        <v>54</v>
      </c>
      <c r="C2165">
        <v>16842</v>
      </c>
      <c r="D2165" t="s">
        <v>22</v>
      </c>
      <c r="E2165" t="s">
        <v>14</v>
      </c>
      <c r="F2165" t="s">
        <v>20</v>
      </c>
      <c r="AG2165">
        <v>1</v>
      </c>
      <c r="AJ2165">
        <f>SUM(Post[[#This Row],[47]:[75]])</f>
        <v>1</v>
      </c>
    </row>
    <row r="2166" spans="1:36" x14ac:dyDescent="0.2">
      <c r="A2166" t="s">
        <v>22</v>
      </c>
      <c r="B2166" t="s">
        <v>54</v>
      </c>
      <c r="C2166">
        <v>3969</v>
      </c>
      <c r="D2166" t="s">
        <v>7</v>
      </c>
      <c r="E2166" t="s">
        <v>14</v>
      </c>
      <c r="F2166" t="s">
        <v>35</v>
      </c>
      <c r="O2166">
        <v>1</v>
      </c>
      <c r="AJ2166">
        <f>SUM(Post[[#This Row],[47]:[75]])</f>
        <v>1</v>
      </c>
    </row>
    <row r="2167" spans="1:36" x14ac:dyDescent="0.2">
      <c r="A2167" t="s">
        <v>22</v>
      </c>
      <c r="B2167" t="s">
        <v>54</v>
      </c>
      <c r="C2167">
        <v>8810</v>
      </c>
      <c r="D2167" t="s">
        <v>7</v>
      </c>
      <c r="E2167" t="s">
        <v>14</v>
      </c>
      <c r="F2167" t="s">
        <v>35</v>
      </c>
      <c r="K2167">
        <v>1</v>
      </c>
      <c r="AB2167">
        <v>1</v>
      </c>
      <c r="AJ2167">
        <f>SUM(Post[[#This Row],[47]:[75]])</f>
        <v>2</v>
      </c>
    </row>
    <row r="2168" spans="1:36" x14ac:dyDescent="0.2">
      <c r="A2168" t="s">
        <v>22</v>
      </c>
      <c r="B2168" t="s">
        <v>54</v>
      </c>
      <c r="C2168">
        <v>19347</v>
      </c>
      <c r="D2168" t="s">
        <v>7</v>
      </c>
      <c r="E2168" t="s">
        <v>14</v>
      </c>
      <c r="F2168" t="s">
        <v>35</v>
      </c>
      <c r="J2168">
        <v>1</v>
      </c>
      <c r="AJ2168">
        <f>SUM(Post[[#This Row],[47]:[75]])</f>
        <v>1</v>
      </c>
    </row>
    <row r="2169" spans="1:36" x14ac:dyDescent="0.2">
      <c r="A2169" t="s">
        <v>22</v>
      </c>
      <c r="B2169" t="s">
        <v>54</v>
      </c>
      <c r="C2169">
        <v>20072</v>
      </c>
      <c r="D2169" t="s">
        <v>7</v>
      </c>
      <c r="E2169" t="s">
        <v>14</v>
      </c>
      <c r="F2169" t="s">
        <v>35</v>
      </c>
      <c r="AJ2169">
        <f>SUM(Post[[#This Row],[47]:[75]])</f>
        <v>0</v>
      </c>
    </row>
    <row r="2170" spans="1:36" x14ac:dyDescent="0.2">
      <c r="A2170" t="s">
        <v>22</v>
      </c>
      <c r="B2170" t="s">
        <v>54</v>
      </c>
      <c r="C2170">
        <v>8145</v>
      </c>
      <c r="D2170" t="s">
        <v>22</v>
      </c>
      <c r="E2170" t="s">
        <v>10</v>
      </c>
      <c r="F2170" t="s">
        <v>11</v>
      </c>
      <c r="G2170">
        <v>1</v>
      </c>
      <c r="H2170">
        <v>1</v>
      </c>
      <c r="J2170">
        <v>1</v>
      </c>
      <c r="K2170">
        <v>1</v>
      </c>
      <c r="N2170">
        <v>1</v>
      </c>
      <c r="O2170">
        <v>1</v>
      </c>
      <c r="R2170">
        <v>1</v>
      </c>
      <c r="AJ2170">
        <f>SUM(Post[[#This Row],[47]:[75]])</f>
        <v>7</v>
      </c>
    </row>
    <row r="2171" spans="1:36" x14ac:dyDescent="0.2">
      <c r="A2171" t="s">
        <v>22</v>
      </c>
      <c r="B2171" t="s">
        <v>54</v>
      </c>
      <c r="C2171">
        <v>13652</v>
      </c>
      <c r="D2171" t="s">
        <v>22</v>
      </c>
      <c r="E2171" t="s">
        <v>14</v>
      </c>
      <c r="F2171" t="s">
        <v>21</v>
      </c>
      <c r="K2171">
        <v>1</v>
      </c>
      <c r="AB2171">
        <v>1</v>
      </c>
      <c r="AJ2171">
        <f>SUM(Post[[#This Row],[47]:[75]])</f>
        <v>2</v>
      </c>
    </row>
    <row r="2172" spans="1:36" x14ac:dyDescent="0.2">
      <c r="A2172" t="s">
        <v>22</v>
      </c>
      <c r="B2172" t="s">
        <v>54</v>
      </c>
      <c r="C2172">
        <v>4886</v>
      </c>
      <c r="D2172" t="s">
        <v>7</v>
      </c>
      <c r="E2172" t="s">
        <v>14</v>
      </c>
      <c r="F2172" t="s">
        <v>20</v>
      </c>
      <c r="AJ2172">
        <f>SUM(Post[[#This Row],[47]:[75]])</f>
        <v>0</v>
      </c>
    </row>
    <row r="2173" spans="1:36" x14ac:dyDescent="0.2">
      <c r="A2173" t="s">
        <v>22</v>
      </c>
      <c r="B2173" t="s">
        <v>54</v>
      </c>
      <c r="C2173">
        <v>7947</v>
      </c>
      <c r="D2173" t="s">
        <v>7</v>
      </c>
      <c r="E2173" t="s">
        <v>14</v>
      </c>
      <c r="F2173" t="s">
        <v>35</v>
      </c>
      <c r="T2173">
        <v>1</v>
      </c>
      <c r="AH2173">
        <v>1</v>
      </c>
      <c r="AJ2173">
        <f>SUM(Post[[#This Row],[47]:[75]])</f>
        <v>2</v>
      </c>
    </row>
    <row r="2174" spans="1:36" x14ac:dyDescent="0.2">
      <c r="A2174" t="s">
        <v>22</v>
      </c>
      <c r="B2174" t="s">
        <v>54</v>
      </c>
      <c r="C2174">
        <v>14595</v>
      </c>
      <c r="D2174" t="s">
        <v>7</v>
      </c>
      <c r="E2174" t="s">
        <v>14</v>
      </c>
      <c r="F2174" t="s">
        <v>20</v>
      </c>
      <c r="I2174">
        <v>1</v>
      </c>
      <c r="L2174">
        <v>1</v>
      </c>
      <c r="AB2174">
        <v>1</v>
      </c>
      <c r="AJ2174">
        <f>SUM(Post[[#This Row],[47]:[75]])</f>
        <v>3</v>
      </c>
    </row>
    <row r="2175" spans="1:36" x14ac:dyDescent="0.2">
      <c r="A2175" t="s">
        <v>22</v>
      </c>
      <c r="B2175" t="s">
        <v>54</v>
      </c>
      <c r="C2175">
        <v>2775</v>
      </c>
      <c r="D2175" t="s">
        <v>22</v>
      </c>
      <c r="E2175" t="s">
        <v>10</v>
      </c>
      <c r="F2175" t="s">
        <v>11</v>
      </c>
      <c r="G2175">
        <v>1</v>
      </c>
      <c r="I2175">
        <v>1</v>
      </c>
      <c r="AA2175">
        <v>2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J2175">
        <f>SUM(Post[[#This Row],[47]:[75]])</f>
        <v>11</v>
      </c>
    </row>
    <row r="2176" spans="1:36" x14ac:dyDescent="0.2">
      <c r="A2176" t="s">
        <v>22</v>
      </c>
      <c r="B2176" t="s">
        <v>54</v>
      </c>
      <c r="C2176">
        <v>4308</v>
      </c>
      <c r="D2176" t="s">
        <v>22</v>
      </c>
      <c r="E2176" t="s">
        <v>14</v>
      </c>
      <c r="F2176" t="s">
        <v>20</v>
      </c>
      <c r="G2176">
        <v>1</v>
      </c>
      <c r="V2176">
        <v>1</v>
      </c>
      <c r="AJ2176">
        <f>SUM(Post[[#This Row],[47]:[75]])</f>
        <v>2</v>
      </c>
    </row>
    <row r="2177" spans="1:36" x14ac:dyDescent="0.2">
      <c r="A2177" t="s">
        <v>22</v>
      </c>
      <c r="B2177" t="s">
        <v>54</v>
      </c>
      <c r="C2177">
        <v>449</v>
      </c>
      <c r="D2177" t="s">
        <v>7</v>
      </c>
      <c r="E2177" t="s">
        <v>8</v>
      </c>
      <c r="F2177" t="s">
        <v>34</v>
      </c>
      <c r="AJ2177">
        <f>SUM(Post[[#This Row],[47]:[75]])</f>
        <v>0</v>
      </c>
    </row>
    <row r="2178" spans="1:36" x14ac:dyDescent="0.2">
      <c r="A2178" t="s">
        <v>22</v>
      </c>
      <c r="B2178" t="s">
        <v>54</v>
      </c>
      <c r="C2178">
        <v>682</v>
      </c>
      <c r="D2178" t="s">
        <v>7</v>
      </c>
      <c r="E2178" t="s">
        <v>8</v>
      </c>
      <c r="F2178" t="s">
        <v>23</v>
      </c>
      <c r="AD2178">
        <v>1</v>
      </c>
      <c r="AJ2178">
        <f>SUM(Post[[#This Row],[47]:[75]])</f>
        <v>1</v>
      </c>
    </row>
    <row r="2179" spans="1:36" x14ac:dyDescent="0.2">
      <c r="A2179" t="s">
        <v>22</v>
      </c>
      <c r="B2179" t="s">
        <v>54</v>
      </c>
      <c r="C2179">
        <v>1655</v>
      </c>
      <c r="D2179" t="s">
        <v>7</v>
      </c>
      <c r="E2179" t="s">
        <v>8</v>
      </c>
      <c r="F2179" t="s">
        <v>9</v>
      </c>
      <c r="G2179">
        <v>2</v>
      </c>
      <c r="O2179">
        <v>1</v>
      </c>
      <c r="T2179">
        <v>1</v>
      </c>
      <c r="AB2179">
        <v>2</v>
      </c>
      <c r="AJ2179">
        <f>SUM(Post[[#This Row],[47]:[75]])</f>
        <v>6</v>
      </c>
    </row>
    <row r="2180" spans="1:36" x14ac:dyDescent="0.2">
      <c r="A2180" t="s">
        <v>22</v>
      </c>
      <c r="B2180" t="s">
        <v>54</v>
      </c>
      <c r="C2180">
        <v>2622</v>
      </c>
      <c r="D2180" t="s">
        <v>7</v>
      </c>
      <c r="E2180" t="s">
        <v>8</v>
      </c>
      <c r="F2180" t="s">
        <v>9</v>
      </c>
      <c r="J2180">
        <v>1</v>
      </c>
      <c r="AB2180">
        <v>1</v>
      </c>
      <c r="AH2180">
        <v>1</v>
      </c>
      <c r="AJ2180">
        <f>SUM(Post[[#This Row],[47]:[75]])</f>
        <v>3</v>
      </c>
    </row>
    <row r="2181" spans="1:36" x14ac:dyDescent="0.2">
      <c r="A2181" t="s">
        <v>22</v>
      </c>
      <c r="B2181" t="s">
        <v>54</v>
      </c>
      <c r="C2181">
        <v>3722</v>
      </c>
      <c r="D2181" t="s">
        <v>7</v>
      </c>
      <c r="E2181" t="s">
        <v>8</v>
      </c>
      <c r="F2181" t="s">
        <v>9</v>
      </c>
      <c r="H2181">
        <v>1</v>
      </c>
      <c r="X2181">
        <v>1</v>
      </c>
      <c r="AC2181">
        <v>1</v>
      </c>
      <c r="AJ2181">
        <f>SUM(Post[[#This Row],[47]:[75]])</f>
        <v>3</v>
      </c>
    </row>
    <row r="2182" spans="1:36" x14ac:dyDescent="0.2">
      <c r="A2182" t="s">
        <v>22</v>
      </c>
      <c r="B2182" t="s">
        <v>54</v>
      </c>
      <c r="C2182">
        <v>3789</v>
      </c>
      <c r="D2182" t="s">
        <v>7</v>
      </c>
      <c r="E2182" t="s">
        <v>8</v>
      </c>
      <c r="F2182" t="s">
        <v>9</v>
      </c>
      <c r="T2182">
        <v>1</v>
      </c>
      <c r="AG2182">
        <v>1</v>
      </c>
      <c r="AJ2182">
        <f>SUM(Post[[#This Row],[47]:[75]])</f>
        <v>2</v>
      </c>
    </row>
    <row r="2183" spans="1:36" x14ac:dyDescent="0.2">
      <c r="A2183" t="s">
        <v>22</v>
      </c>
      <c r="B2183" t="s">
        <v>54</v>
      </c>
      <c r="C2183">
        <v>3827</v>
      </c>
      <c r="D2183" t="s">
        <v>7</v>
      </c>
      <c r="E2183" t="s">
        <v>8</v>
      </c>
      <c r="F2183" t="s">
        <v>23</v>
      </c>
      <c r="O2183">
        <v>1</v>
      </c>
      <c r="AB2183">
        <v>1</v>
      </c>
      <c r="AJ2183">
        <f>SUM(Post[[#This Row],[47]:[75]])</f>
        <v>2</v>
      </c>
    </row>
    <row r="2184" spans="1:36" x14ac:dyDescent="0.2">
      <c r="A2184" t="s">
        <v>22</v>
      </c>
      <c r="B2184" t="s">
        <v>54</v>
      </c>
      <c r="C2184">
        <v>5500</v>
      </c>
      <c r="D2184" t="s">
        <v>7</v>
      </c>
      <c r="E2184" t="s">
        <v>8</v>
      </c>
      <c r="F2184" t="s">
        <v>9</v>
      </c>
      <c r="H2184">
        <v>1</v>
      </c>
      <c r="J2184">
        <v>1</v>
      </c>
      <c r="L2184">
        <v>1</v>
      </c>
      <c r="O2184">
        <v>1</v>
      </c>
      <c r="Q2184">
        <v>1</v>
      </c>
      <c r="S2184">
        <v>1</v>
      </c>
      <c r="U2184">
        <v>1</v>
      </c>
      <c r="X2184">
        <v>1</v>
      </c>
      <c r="Z2184">
        <v>1</v>
      </c>
      <c r="AB2184">
        <v>1</v>
      </c>
      <c r="AD2184">
        <v>1</v>
      </c>
      <c r="AF2184">
        <v>1</v>
      </c>
      <c r="AH2184">
        <v>1</v>
      </c>
      <c r="AJ2184">
        <f>SUM(Post[[#This Row],[47]:[75]])</f>
        <v>13</v>
      </c>
    </row>
    <row r="2185" spans="1:36" x14ac:dyDescent="0.2">
      <c r="A2185" t="s">
        <v>22</v>
      </c>
      <c r="B2185" t="s">
        <v>54</v>
      </c>
      <c r="C2185">
        <v>5876</v>
      </c>
      <c r="D2185" t="s">
        <v>7</v>
      </c>
      <c r="E2185" t="s">
        <v>8</v>
      </c>
      <c r="F2185" t="s">
        <v>9</v>
      </c>
      <c r="W2185">
        <v>1</v>
      </c>
      <c r="AJ2185">
        <f>SUM(Post[[#This Row],[47]:[75]])</f>
        <v>1</v>
      </c>
    </row>
    <row r="2186" spans="1:36" x14ac:dyDescent="0.2">
      <c r="A2186" t="s">
        <v>22</v>
      </c>
      <c r="B2186" t="s">
        <v>54</v>
      </c>
      <c r="C2186">
        <v>6413</v>
      </c>
      <c r="D2186" t="s">
        <v>7</v>
      </c>
      <c r="E2186" t="s">
        <v>8</v>
      </c>
      <c r="F2186" t="s">
        <v>23</v>
      </c>
      <c r="T2186">
        <v>1</v>
      </c>
      <c r="AD2186">
        <v>1</v>
      </c>
      <c r="AJ2186">
        <f>SUM(Post[[#This Row],[47]:[75]])</f>
        <v>2</v>
      </c>
    </row>
    <row r="2187" spans="1:36" x14ac:dyDescent="0.2">
      <c r="A2187" t="s">
        <v>22</v>
      </c>
      <c r="B2187" t="s">
        <v>54</v>
      </c>
      <c r="C2187">
        <v>7307</v>
      </c>
      <c r="D2187" t="s">
        <v>7</v>
      </c>
      <c r="E2187" t="s">
        <v>8</v>
      </c>
      <c r="F2187" t="s">
        <v>9</v>
      </c>
      <c r="O2187">
        <v>1</v>
      </c>
      <c r="AF2187">
        <v>2</v>
      </c>
      <c r="AJ2187">
        <f>SUM(Post[[#This Row],[47]:[75]])</f>
        <v>3</v>
      </c>
    </row>
    <row r="2188" spans="1:36" x14ac:dyDescent="0.2">
      <c r="A2188" t="s">
        <v>22</v>
      </c>
      <c r="B2188" t="s">
        <v>54</v>
      </c>
      <c r="C2188">
        <v>8677</v>
      </c>
      <c r="D2188" t="s">
        <v>7</v>
      </c>
      <c r="E2188" t="s">
        <v>8</v>
      </c>
      <c r="F2188" t="s">
        <v>9</v>
      </c>
      <c r="AJ2188">
        <f>SUM(Post[[#This Row],[47]:[75]])</f>
        <v>0</v>
      </c>
    </row>
    <row r="2189" spans="1:36" x14ac:dyDescent="0.2">
      <c r="A2189" t="s">
        <v>22</v>
      </c>
      <c r="B2189" t="s">
        <v>54</v>
      </c>
      <c r="C2189">
        <v>9382</v>
      </c>
      <c r="D2189" t="s">
        <v>7</v>
      </c>
      <c r="E2189" t="s">
        <v>8</v>
      </c>
      <c r="F2189" t="s">
        <v>29</v>
      </c>
      <c r="Q2189">
        <v>1</v>
      </c>
      <c r="AD2189">
        <v>1</v>
      </c>
      <c r="AJ2189">
        <f>SUM(Post[[#This Row],[47]:[75]])</f>
        <v>2</v>
      </c>
    </row>
    <row r="2190" spans="1:36" x14ac:dyDescent="0.2">
      <c r="A2190" t="s">
        <v>22</v>
      </c>
      <c r="B2190" t="s">
        <v>54</v>
      </c>
      <c r="C2190">
        <v>11282</v>
      </c>
      <c r="D2190" t="s">
        <v>7</v>
      </c>
      <c r="E2190" t="s">
        <v>8</v>
      </c>
      <c r="F2190" t="s">
        <v>9</v>
      </c>
      <c r="O2190">
        <v>1</v>
      </c>
      <c r="AB2190">
        <v>1</v>
      </c>
      <c r="AJ2190">
        <f>SUM(Post[[#This Row],[47]:[75]])</f>
        <v>2</v>
      </c>
    </row>
    <row r="2191" spans="1:36" x14ac:dyDescent="0.2">
      <c r="A2191" t="s">
        <v>22</v>
      </c>
      <c r="B2191" t="s">
        <v>54</v>
      </c>
      <c r="C2191">
        <v>11716</v>
      </c>
      <c r="D2191" t="s">
        <v>7</v>
      </c>
      <c r="E2191" t="s">
        <v>8</v>
      </c>
      <c r="F2191" t="s">
        <v>9</v>
      </c>
      <c r="G2191">
        <v>1</v>
      </c>
      <c r="AA2191">
        <v>1</v>
      </c>
      <c r="AJ2191">
        <f>SUM(Post[[#This Row],[47]:[75]])</f>
        <v>2</v>
      </c>
    </row>
    <row r="2192" spans="1:36" x14ac:dyDescent="0.2">
      <c r="A2192" t="s">
        <v>22</v>
      </c>
      <c r="B2192" t="s">
        <v>54</v>
      </c>
      <c r="C2192">
        <v>12214</v>
      </c>
      <c r="D2192" t="s">
        <v>7</v>
      </c>
      <c r="E2192" t="s">
        <v>8</v>
      </c>
      <c r="F2192" t="s">
        <v>9</v>
      </c>
      <c r="H2192">
        <v>1</v>
      </c>
      <c r="W2192">
        <v>1</v>
      </c>
      <c r="AJ2192">
        <f>SUM(Post[[#This Row],[47]:[75]])</f>
        <v>2</v>
      </c>
    </row>
    <row r="2193" spans="1:36" x14ac:dyDescent="0.2">
      <c r="A2193" t="s">
        <v>22</v>
      </c>
      <c r="B2193" t="s">
        <v>54</v>
      </c>
      <c r="C2193">
        <v>12678</v>
      </c>
      <c r="D2193" t="s">
        <v>7</v>
      </c>
      <c r="E2193" t="s">
        <v>8</v>
      </c>
      <c r="F2193" t="s">
        <v>9</v>
      </c>
      <c r="N2193">
        <v>1</v>
      </c>
      <c r="AH2193">
        <v>1</v>
      </c>
      <c r="AJ2193">
        <f>SUM(Post[[#This Row],[47]:[75]])</f>
        <v>2</v>
      </c>
    </row>
    <row r="2194" spans="1:36" x14ac:dyDescent="0.2">
      <c r="A2194" t="s">
        <v>22</v>
      </c>
      <c r="B2194" t="s">
        <v>54</v>
      </c>
      <c r="C2194">
        <v>12926</v>
      </c>
      <c r="D2194" t="s">
        <v>7</v>
      </c>
      <c r="E2194" t="s">
        <v>8</v>
      </c>
      <c r="F2194" t="s">
        <v>23</v>
      </c>
      <c r="I2194">
        <v>1</v>
      </c>
      <c r="W2194">
        <v>1</v>
      </c>
      <c r="AJ2194">
        <f>SUM(Post[[#This Row],[47]:[75]])</f>
        <v>2</v>
      </c>
    </row>
    <row r="2195" spans="1:36" x14ac:dyDescent="0.2">
      <c r="A2195" t="s">
        <v>22</v>
      </c>
      <c r="B2195" t="s">
        <v>54</v>
      </c>
      <c r="C2195">
        <v>13145</v>
      </c>
      <c r="D2195" t="s">
        <v>7</v>
      </c>
      <c r="E2195" t="s">
        <v>8</v>
      </c>
      <c r="F2195" t="s">
        <v>9</v>
      </c>
      <c r="K2195">
        <v>1</v>
      </c>
      <c r="AA2195">
        <v>1</v>
      </c>
      <c r="AJ2195">
        <f>SUM(Post[[#This Row],[47]:[75]])</f>
        <v>2</v>
      </c>
    </row>
    <row r="2196" spans="1:36" x14ac:dyDescent="0.2">
      <c r="A2196" t="s">
        <v>22</v>
      </c>
      <c r="B2196" t="s">
        <v>54</v>
      </c>
      <c r="C2196">
        <v>13964</v>
      </c>
      <c r="D2196" t="s">
        <v>7</v>
      </c>
      <c r="E2196" t="s">
        <v>8</v>
      </c>
      <c r="F2196" t="s">
        <v>34</v>
      </c>
      <c r="AJ2196">
        <f>SUM(Post[[#This Row],[47]:[75]])</f>
        <v>0</v>
      </c>
    </row>
    <row r="2197" spans="1:36" x14ac:dyDescent="0.2">
      <c r="A2197" t="s">
        <v>22</v>
      </c>
      <c r="B2197" t="s">
        <v>54</v>
      </c>
      <c r="C2197">
        <v>30418</v>
      </c>
      <c r="D2197" t="s">
        <v>7</v>
      </c>
      <c r="E2197" t="s">
        <v>8</v>
      </c>
      <c r="F2197" t="s">
        <v>29</v>
      </c>
      <c r="AC2197">
        <v>1</v>
      </c>
      <c r="AJ2197">
        <f>SUM(Post[[#This Row],[47]:[75]])</f>
        <v>1</v>
      </c>
    </row>
    <row r="2198" spans="1:36" x14ac:dyDescent="0.2">
      <c r="A2198" t="s">
        <v>22</v>
      </c>
      <c r="B2198" t="s">
        <v>54</v>
      </c>
      <c r="C2198">
        <v>666</v>
      </c>
      <c r="D2198" t="s">
        <v>22</v>
      </c>
      <c r="E2198" t="s">
        <v>8</v>
      </c>
      <c r="F2198" t="s">
        <v>9</v>
      </c>
      <c r="U2198">
        <v>1</v>
      </c>
      <c r="AG2198">
        <v>1</v>
      </c>
      <c r="AJ2198">
        <f>SUM(Post[[#This Row],[47]:[75]])</f>
        <v>2</v>
      </c>
    </row>
    <row r="2199" spans="1:36" x14ac:dyDescent="0.2">
      <c r="A2199" t="s">
        <v>22</v>
      </c>
      <c r="B2199" t="s">
        <v>54</v>
      </c>
      <c r="C2199">
        <v>3399</v>
      </c>
      <c r="D2199" t="s">
        <v>22</v>
      </c>
      <c r="E2199" t="s">
        <v>8</v>
      </c>
      <c r="F2199" t="s">
        <v>9</v>
      </c>
      <c r="N2199">
        <v>1</v>
      </c>
      <c r="AB2199">
        <v>2</v>
      </c>
      <c r="AJ2199">
        <f>SUM(Post[[#This Row],[47]:[75]])</f>
        <v>3</v>
      </c>
    </row>
    <row r="2200" spans="1:36" x14ac:dyDescent="0.2">
      <c r="A2200" t="s">
        <v>22</v>
      </c>
      <c r="B2200" t="s">
        <v>54</v>
      </c>
      <c r="C2200">
        <v>3551</v>
      </c>
      <c r="D2200" t="s">
        <v>22</v>
      </c>
      <c r="E2200" t="s">
        <v>8</v>
      </c>
      <c r="F2200" t="s">
        <v>23</v>
      </c>
      <c r="K2200">
        <v>1</v>
      </c>
      <c r="AJ2200">
        <f>SUM(Post[[#This Row],[47]:[75]])</f>
        <v>1</v>
      </c>
    </row>
    <row r="2201" spans="1:36" x14ac:dyDescent="0.2">
      <c r="A2201" t="s">
        <v>22</v>
      </c>
      <c r="B2201" t="s">
        <v>54</v>
      </c>
      <c r="C2201">
        <v>7958</v>
      </c>
      <c r="D2201" t="s">
        <v>22</v>
      </c>
      <c r="E2201" t="s">
        <v>8</v>
      </c>
      <c r="F2201" t="s">
        <v>23</v>
      </c>
      <c r="K2201">
        <v>2</v>
      </c>
      <c r="U2201">
        <v>1</v>
      </c>
      <c r="AB2201">
        <v>1</v>
      </c>
      <c r="AJ2201">
        <f>SUM(Post[[#This Row],[47]:[75]])</f>
        <v>4</v>
      </c>
    </row>
    <row r="2202" spans="1:36" x14ac:dyDescent="0.2">
      <c r="A2202" t="s">
        <v>22</v>
      </c>
      <c r="B2202" t="s">
        <v>54</v>
      </c>
      <c r="C2202">
        <v>9153</v>
      </c>
      <c r="D2202" t="s">
        <v>22</v>
      </c>
      <c r="E2202" t="s">
        <v>8</v>
      </c>
      <c r="F2202" t="s">
        <v>9</v>
      </c>
      <c r="R2202">
        <v>1</v>
      </c>
      <c r="AC2202">
        <v>1</v>
      </c>
      <c r="AJ2202">
        <f>SUM(Post[[#This Row],[47]:[75]])</f>
        <v>2</v>
      </c>
    </row>
    <row r="2203" spans="1:36" x14ac:dyDescent="0.2">
      <c r="A2203" t="s">
        <v>22</v>
      </c>
      <c r="B2203" t="s">
        <v>54</v>
      </c>
      <c r="C2203">
        <v>10237</v>
      </c>
      <c r="D2203" t="s">
        <v>22</v>
      </c>
      <c r="E2203" t="s">
        <v>8</v>
      </c>
      <c r="F2203" t="s">
        <v>9</v>
      </c>
      <c r="U2203">
        <v>1</v>
      </c>
      <c r="AJ2203">
        <f>SUM(Post[[#This Row],[47]:[75]])</f>
        <v>1</v>
      </c>
    </row>
    <row r="2204" spans="1:36" x14ac:dyDescent="0.2">
      <c r="A2204" t="s">
        <v>22</v>
      </c>
      <c r="B2204" t="s">
        <v>54</v>
      </c>
      <c r="C2204">
        <v>12677</v>
      </c>
      <c r="D2204" t="s">
        <v>22</v>
      </c>
      <c r="E2204" t="s">
        <v>8</v>
      </c>
      <c r="F2204" t="s">
        <v>9</v>
      </c>
      <c r="K2204">
        <v>1</v>
      </c>
      <c r="AB2204">
        <v>2</v>
      </c>
      <c r="AJ2204">
        <f>SUM(Post[[#This Row],[47]:[75]])</f>
        <v>3</v>
      </c>
    </row>
    <row r="2205" spans="1:36" x14ac:dyDescent="0.2">
      <c r="A2205" t="s">
        <v>22</v>
      </c>
      <c r="B2205" t="s">
        <v>54</v>
      </c>
      <c r="C2205">
        <v>13186</v>
      </c>
      <c r="D2205" t="s">
        <v>22</v>
      </c>
      <c r="E2205" t="s">
        <v>8</v>
      </c>
      <c r="F2205" t="s">
        <v>9</v>
      </c>
      <c r="G2205">
        <v>1</v>
      </c>
      <c r="AJ2205">
        <f>SUM(Post[[#This Row],[47]:[75]])</f>
        <v>1</v>
      </c>
    </row>
    <row r="2206" spans="1:36" x14ac:dyDescent="0.2">
      <c r="A2206" t="s">
        <v>22</v>
      </c>
      <c r="B2206" t="s">
        <v>54</v>
      </c>
      <c r="C2206">
        <v>13416</v>
      </c>
      <c r="D2206" t="s">
        <v>22</v>
      </c>
      <c r="E2206" t="s">
        <v>26</v>
      </c>
      <c r="F2206" t="s">
        <v>27</v>
      </c>
      <c r="H2206">
        <v>1</v>
      </c>
      <c r="V2206">
        <v>1</v>
      </c>
      <c r="AJ2206">
        <f>SUM(Post[[#This Row],[47]:[75]])</f>
        <v>2</v>
      </c>
    </row>
    <row r="2207" spans="1:36" x14ac:dyDescent="0.2">
      <c r="A2207" t="s">
        <v>22</v>
      </c>
      <c r="B2207" t="s">
        <v>54</v>
      </c>
      <c r="C2207">
        <v>15016</v>
      </c>
      <c r="D2207" t="s">
        <v>22</v>
      </c>
      <c r="E2207" t="s">
        <v>8</v>
      </c>
      <c r="F2207" t="s">
        <v>9</v>
      </c>
      <c r="U2207">
        <v>1</v>
      </c>
      <c r="AJ2207">
        <f>SUM(Post[[#This Row],[47]:[75]])</f>
        <v>1</v>
      </c>
    </row>
    <row r="2208" spans="1:36" x14ac:dyDescent="0.2">
      <c r="A2208" t="s">
        <v>22</v>
      </c>
      <c r="B2208" t="s">
        <v>54</v>
      </c>
      <c r="C2208">
        <v>15324</v>
      </c>
      <c r="D2208" t="s">
        <v>22</v>
      </c>
      <c r="E2208" t="s">
        <v>8</v>
      </c>
      <c r="F2208" t="s">
        <v>23</v>
      </c>
      <c r="I2208">
        <v>1</v>
      </c>
      <c r="N2208">
        <v>1</v>
      </c>
      <c r="R2208">
        <v>1</v>
      </c>
      <c r="V2208">
        <v>1</v>
      </c>
      <c r="Z2208">
        <v>1</v>
      </c>
      <c r="AD2208">
        <v>1</v>
      </c>
      <c r="AI2208">
        <v>1</v>
      </c>
      <c r="AJ2208">
        <f>SUM(Post[[#This Row],[47]:[75]])</f>
        <v>7</v>
      </c>
    </row>
    <row r="2209" spans="1:36" x14ac:dyDescent="0.2">
      <c r="A2209" t="s">
        <v>22</v>
      </c>
      <c r="B2209" t="s">
        <v>54</v>
      </c>
      <c r="C2209">
        <v>15910</v>
      </c>
      <c r="D2209" t="s">
        <v>22</v>
      </c>
      <c r="E2209" t="s">
        <v>8</v>
      </c>
      <c r="F2209" t="s">
        <v>9</v>
      </c>
      <c r="K2209">
        <v>1</v>
      </c>
      <c r="P2209">
        <v>1</v>
      </c>
      <c r="U2209">
        <v>1</v>
      </c>
      <c r="Z2209">
        <v>1</v>
      </c>
      <c r="AE2209">
        <v>1</v>
      </c>
      <c r="AJ2209">
        <f>SUM(Post[[#This Row],[47]:[75]])</f>
        <v>5</v>
      </c>
    </row>
    <row r="2210" spans="1:36" x14ac:dyDescent="0.2">
      <c r="A2210" t="s">
        <v>22</v>
      </c>
      <c r="B2210" t="s">
        <v>54</v>
      </c>
      <c r="C2210">
        <v>17099</v>
      </c>
      <c r="D2210" t="s">
        <v>22</v>
      </c>
      <c r="E2210" t="s">
        <v>8</v>
      </c>
      <c r="F2210" t="s">
        <v>9</v>
      </c>
      <c r="AH2210">
        <v>1</v>
      </c>
      <c r="AJ2210">
        <f>SUM(Post[[#This Row],[47]:[75]])</f>
        <v>1</v>
      </c>
    </row>
    <row r="2211" spans="1:36" x14ac:dyDescent="0.2">
      <c r="A2211" t="s">
        <v>22</v>
      </c>
      <c r="B2211" t="s">
        <v>54</v>
      </c>
      <c r="C2211">
        <v>19277</v>
      </c>
      <c r="D2211" t="s">
        <v>22</v>
      </c>
      <c r="E2211" t="s">
        <v>8</v>
      </c>
      <c r="F2211" t="s">
        <v>9</v>
      </c>
      <c r="P2211">
        <v>2</v>
      </c>
      <c r="AJ2211">
        <f>SUM(Post[[#This Row],[47]:[75]])</f>
        <v>2</v>
      </c>
    </row>
    <row r="2212" spans="1:36" x14ac:dyDescent="0.2">
      <c r="A2212" t="s">
        <v>22</v>
      </c>
      <c r="B2212" t="s">
        <v>54</v>
      </c>
      <c r="C2212">
        <v>20808</v>
      </c>
      <c r="D2212" t="s">
        <v>22</v>
      </c>
      <c r="E2212" t="s">
        <v>8</v>
      </c>
      <c r="F2212" t="s">
        <v>9</v>
      </c>
      <c r="H2212">
        <v>1</v>
      </c>
      <c r="L2212">
        <v>2</v>
      </c>
      <c r="R2212">
        <v>1</v>
      </c>
      <c r="V2212">
        <v>1</v>
      </c>
      <c r="AA2212">
        <v>1</v>
      </c>
      <c r="AF2212">
        <v>3</v>
      </c>
      <c r="AI2212">
        <v>1</v>
      </c>
      <c r="AJ2212">
        <f>SUM(Post[[#This Row],[47]:[75]])</f>
        <v>10</v>
      </c>
    </row>
    <row r="2213" spans="1:36" x14ac:dyDescent="0.2">
      <c r="A2213" t="s">
        <v>22</v>
      </c>
      <c r="B2213" t="s">
        <v>54</v>
      </c>
      <c r="C2213">
        <v>30522</v>
      </c>
      <c r="D2213" t="s">
        <v>22</v>
      </c>
      <c r="E2213" t="s">
        <v>8</v>
      </c>
      <c r="F2213" t="s">
        <v>23</v>
      </c>
      <c r="T2213">
        <v>1</v>
      </c>
      <c r="AJ2213">
        <f>SUM(Post[[#This Row],[47]:[75]])</f>
        <v>1</v>
      </c>
    </row>
    <row r="2214" spans="1:36" x14ac:dyDescent="0.2">
      <c r="A2214" t="s">
        <v>22</v>
      </c>
      <c r="B2214" t="s">
        <v>54</v>
      </c>
      <c r="C2214">
        <v>33432</v>
      </c>
      <c r="D2214" t="s">
        <v>22</v>
      </c>
      <c r="E2214" t="s">
        <v>8</v>
      </c>
      <c r="F2214" t="s">
        <v>30</v>
      </c>
      <c r="K2214">
        <v>1</v>
      </c>
      <c r="AJ2214">
        <f>SUM(Post[[#This Row],[47]:[75]])</f>
        <v>1</v>
      </c>
    </row>
    <row r="2215" spans="1:36" x14ac:dyDescent="0.2">
      <c r="A2215" t="s">
        <v>22</v>
      </c>
      <c r="B2215" t="s">
        <v>54</v>
      </c>
      <c r="C2215">
        <v>33432</v>
      </c>
      <c r="D2215" t="s">
        <v>22</v>
      </c>
      <c r="E2215" t="s">
        <v>8</v>
      </c>
      <c r="F2215" t="s">
        <v>29</v>
      </c>
      <c r="T2215">
        <v>1</v>
      </c>
      <c r="AD2215">
        <v>1</v>
      </c>
      <c r="AJ2215">
        <f>SUM(Post[[#This Row],[47]:[75]])</f>
        <v>2</v>
      </c>
    </row>
    <row r="2216" spans="1:36" x14ac:dyDescent="0.2">
      <c r="A2216" t="s">
        <v>22</v>
      </c>
      <c r="B2216" t="s">
        <v>54</v>
      </c>
      <c r="C2216">
        <v>1680</v>
      </c>
      <c r="D2216" t="s">
        <v>7</v>
      </c>
      <c r="E2216" t="s">
        <v>8</v>
      </c>
      <c r="F2216" t="s">
        <v>9</v>
      </c>
      <c r="O2216">
        <v>1</v>
      </c>
      <c r="AB2216">
        <v>1</v>
      </c>
      <c r="AG2216">
        <v>1</v>
      </c>
      <c r="AJ2216">
        <f>SUM(Post[[#This Row],[47]:[75]])</f>
        <v>3</v>
      </c>
    </row>
    <row r="2217" spans="1:36" x14ac:dyDescent="0.2">
      <c r="A2217" t="s">
        <v>22</v>
      </c>
      <c r="B2217" t="s">
        <v>54</v>
      </c>
      <c r="C2217">
        <v>2774</v>
      </c>
      <c r="D2217" t="s">
        <v>7</v>
      </c>
      <c r="E2217" t="s">
        <v>8</v>
      </c>
      <c r="F2217" t="s">
        <v>29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O2217">
        <v>1</v>
      </c>
      <c r="P2217">
        <v>2</v>
      </c>
      <c r="Q2217">
        <v>1</v>
      </c>
      <c r="S2217">
        <v>2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B2217">
        <v>2</v>
      </c>
      <c r="AD2217">
        <v>2</v>
      </c>
      <c r="AE2217">
        <v>1</v>
      </c>
      <c r="AF2217">
        <v>1</v>
      </c>
      <c r="AG2217">
        <v>2</v>
      </c>
      <c r="AH2217">
        <v>1</v>
      </c>
      <c r="AJ2217">
        <f>SUM(Post[[#This Row],[47]:[75]])</f>
        <v>28</v>
      </c>
    </row>
    <row r="2218" spans="1:36" x14ac:dyDescent="0.2">
      <c r="A2218" t="s">
        <v>22</v>
      </c>
      <c r="B2218" t="s">
        <v>54</v>
      </c>
      <c r="C2218">
        <v>7915</v>
      </c>
      <c r="D2218" t="s">
        <v>7</v>
      </c>
      <c r="E2218" t="s">
        <v>8</v>
      </c>
      <c r="F2218" t="s">
        <v>9</v>
      </c>
      <c r="T2218">
        <v>1</v>
      </c>
      <c r="AG2218">
        <v>1</v>
      </c>
      <c r="AJ2218">
        <f>SUM(Post[[#This Row],[47]:[75]])</f>
        <v>2</v>
      </c>
    </row>
    <row r="2219" spans="1:36" x14ac:dyDescent="0.2">
      <c r="A2219" t="s">
        <v>22</v>
      </c>
      <c r="B2219" t="s">
        <v>54</v>
      </c>
      <c r="C2219">
        <v>10238</v>
      </c>
      <c r="D2219" t="s">
        <v>7</v>
      </c>
      <c r="E2219" t="s">
        <v>8</v>
      </c>
      <c r="F2219" t="s">
        <v>9</v>
      </c>
      <c r="H2219">
        <v>1</v>
      </c>
      <c r="U2219">
        <v>1</v>
      </c>
      <c r="AF2219">
        <v>2</v>
      </c>
      <c r="AJ2219">
        <f>SUM(Post[[#This Row],[47]:[75]])</f>
        <v>4</v>
      </c>
    </row>
    <row r="2220" spans="1:36" x14ac:dyDescent="0.2">
      <c r="A2220" t="s">
        <v>22</v>
      </c>
      <c r="B2220" t="s">
        <v>54</v>
      </c>
      <c r="C2220">
        <v>10736</v>
      </c>
      <c r="D2220" t="s">
        <v>7</v>
      </c>
      <c r="E2220" t="s">
        <v>8</v>
      </c>
      <c r="F2220" t="s">
        <v>9</v>
      </c>
      <c r="H2220">
        <v>1</v>
      </c>
      <c r="W2220">
        <v>1</v>
      </c>
      <c r="AI2220">
        <v>1</v>
      </c>
      <c r="AJ2220">
        <f>SUM(Post[[#This Row],[47]:[75]])</f>
        <v>3</v>
      </c>
    </row>
    <row r="2221" spans="1:36" x14ac:dyDescent="0.2">
      <c r="A2221" t="s">
        <v>22</v>
      </c>
      <c r="B2221" t="s">
        <v>54</v>
      </c>
      <c r="C2221">
        <v>11718</v>
      </c>
      <c r="D2221" t="s">
        <v>7</v>
      </c>
      <c r="E2221" t="s">
        <v>8</v>
      </c>
      <c r="F2221" t="s">
        <v>9</v>
      </c>
      <c r="L2221">
        <v>1</v>
      </c>
      <c r="AJ2221">
        <f>SUM(Post[[#This Row],[47]:[75]])</f>
        <v>1</v>
      </c>
    </row>
    <row r="2222" spans="1:36" x14ac:dyDescent="0.2">
      <c r="A2222" t="s">
        <v>22</v>
      </c>
      <c r="B2222" t="s">
        <v>54</v>
      </c>
      <c r="C2222">
        <v>11750</v>
      </c>
      <c r="D2222" t="s">
        <v>7</v>
      </c>
      <c r="E2222" t="s">
        <v>8</v>
      </c>
      <c r="F2222" t="s">
        <v>9</v>
      </c>
      <c r="N2222">
        <v>1</v>
      </c>
      <c r="AD2222">
        <v>1</v>
      </c>
      <c r="AJ2222">
        <f>SUM(Post[[#This Row],[47]:[75]])</f>
        <v>2</v>
      </c>
    </row>
    <row r="2223" spans="1:36" x14ac:dyDescent="0.2">
      <c r="A2223" t="s">
        <v>22</v>
      </c>
      <c r="B2223" t="s">
        <v>54</v>
      </c>
      <c r="C2223">
        <v>12131</v>
      </c>
      <c r="D2223" t="s">
        <v>7</v>
      </c>
      <c r="E2223" t="s">
        <v>8</v>
      </c>
      <c r="F2223" t="s">
        <v>9</v>
      </c>
      <c r="Q2223">
        <v>1</v>
      </c>
      <c r="AE2223">
        <v>1</v>
      </c>
      <c r="AJ2223">
        <f>SUM(Post[[#This Row],[47]:[75]])</f>
        <v>2</v>
      </c>
    </row>
    <row r="2224" spans="1:36" x14ac:dyDescent="0.2">
      <c r="A2224" t="s">
        <v>22</v>
      </c>
      <c r="B2224" t="s">
        <v>54</v>
      </c>
      <c r="C2224">
        <v>12703</v>
      </c>
      <c r="D2224" t="s">
        <v>7</v>
      </c>
      <c r="E2224" t="s">
        <v>8</v>
      </c>
      <c r="F2224" t="s">
        <v>9</v>
      </c>
      <c r="N2224">
        <v>1</v>
      </c>
      <c r="S2224">
        <v>1</v>
      </c>
      <c r="W2224">
        <v>1</v>
      </c>
      <c r="AA2224">
        <v>1</v>
      </c>
      <c r="AF2224">
        <v>1</v>
      </c>
      <c r="AJ2224">
        <f>SUM(Post[[#This Row],[47]:[75]])</f>
        <v>5</v>
      </c>
    </row>
    <row r="2225" spans="1:36" x14ac:dyDescent="0.2">
      <c r="A2225" t="s">
        <v>22</v>
      </c>
      <c r="B2225" t="s">
        <v>54</v>
      </c>
      <c r="C2225">
        <v>14810</v>
      </c>
      <c r="D2225" t="s">
        <v>7</v>
      </c>
      <c r="E2225" t="s">
        <v>8</v>
      </c>
      <c r="F2225" t="s">
        <v>9</v>
      </c>
      <c r="G2225">
        <v>1</v>
      </c>
      <c r="I2225">
        <v>1</v>
      </c>
      <c r="K2225">
        <v>1</v>
      </c>
      <c r="N2225">
        <v>1</v>
      </c>
      <c r="Q2225">
        <v>1</v>
      </c>
      <c r="R2225">
        <v>1</v>
      </c>
      <c r="U2225">
        <v>1</v>
      </c>
      <c r="W2225">
        <v>1</v>
      </c>
      <c r="X2225">
        <v>1</v>
      </c>
      <c r="Z2225">
        <v>1</v>
      </c>
      <c r="AB2225">
        <v>1</v>
      </c>
      <c r="AE2225">
        <v>3</v>
      </c>
      <c r="AF2225">
        <v>1</v>
      </c>
      <c r="AI2225">
        <v>1</v>
      </c>
      <c r="AJ2225">
        <f>SUM(Post[[#This Row],[47]:[75]])</f>
        <v>16</v>
      </c>
    </row>
    <row r="2226" spans="1:36" x14ac:dyDescent="0.2">
      <c r="A2226" t="s">
        <v>22</v>
      </c>
      <c r="B2226" t="s">
        <v>54</v>
      </c>
      <c r="C2226">
        <v>20827</v>
      </c>
      <c r="D2226" t="s">
        <v>7</v>
      </c>
      <c r="E2226" t="s">
        <v>8</v>
      </c>
      <c r="F2226" t="s">
        <v>9</v>
      </c>
      <c r="R2226">
        <v>1</v>
      </c>
      <c r="AF2226">
        <v>2</v>
      </c>
      <c r="AJ2226">
        <f>SUM(Post[[#This Row],[47]:[75]])</f>
        <v>3</v>
      </c>
    </row>
    <row r="2227" spans="1:36" x14ac:dyDescent="0.2">
      <c r="A2227" t="s">
        <v>22</v>
      </c>
      <c r="B2227" t="s">
        <v>54</v>
      </c>
      <c r="C2227">
        <v>293</v>
      </c>
      <c r="D2227" t="s">
        <v>22</v>
      </c>
      <c r="E2227" t="s">
        <v>8</v>
      </c>
      <c r="F2227" t="s">
        <v>23</v>
      </c>
      <c r="H2227">
        <v>1</v>
      </c>
      <c r="X2227">
        <v>1</v>
      </c>
      <c r="AJ2227">
        <f>SUM(Post[[#This Row],[47]:[75]])</f>
        <v>2</v>
      </c>
    </row>
    <row r="2228" spans="1:36" x14ac:dyDescent="0.2">
      <c r="A2228" t="s">
        <v>22</v>
      </c>
      <c r="B2228" t="s">
        <v>54</v>
      </c>
      <c r="C2228">
        <v>1679</v>
      </c>
      <c r="D2228" t="s">
        <v>22</v>
      </c>
      <c r="E2228" t="s">
        <v>8</v>
      </c>
      <c r="F2228" t="s">
        <v>29</v>
      </c>
      <c r="T2228">
        <v>1</v>
      </c>
      <c r="AG2228">
        <v>1</v>
      </c>
      <c r="AJ2228">
        <f>SUM(Post[[#This Row],[47]:[75]])</f>
        <v>2</v>
      </c>
    </row>
    <row r="2229" spans="1:36" x14ac:dyDescent="0.2">
      <c r="A2229" t="s">
        <v>22</v>
      </c>
      <c r="B2229" t="s">
        <v>54</v>
      </c>
      <c r="C2229">
        <v>3644</v>
      </c>
      <c r="D2229" t="s">
        <v>22</v>
      </c>
      <c r="E2229" t="s">
        <v>8</v>
      </c>
      <c r="F2229" t="s">
        <v>9</v>
      </c>
      <c r="AJ2229">
        <f>SUM(Post[[#This Row],[47]:[75]])</f>
        <v>0</v>
      </c>
    </row>
    <row r="2230" spans="1:36" x14ac:dyDescent="0.2">
      <c r="A2230" t="s">
        <v>22</v>
      </c>
      <c r="B2230" t="s">
        <v>54</v>
      </c>
      <c r="C2230">
        <v>3908</v>
      </c>
      <c r="D2230" t="s">
        <v>22</v>
      </c>
      <c r="E2230" t="s">
        <v>8</v>
      </c>
      <c r="F2230" t="s">
        <v>9</v>
      </c>
      <c r="L2230">
        <v>1</v>
      </c>
      <c r="AC2230">
        <v>1</v>
      </c>
      <c r="AJ2230">
        <f>SUM(Post[[#This Row],[47]:[75]])</f>
        <v>2</v>
      </c>
    </row>
    <row r="2231" spans="1:36" x14ac:dyDescent="0.2">
      <c r="A2231" t="s">
        <v>22</v>
      </c>
      <c r="B2231" t="s">
        <v>54</v>
      </c>
      <c r="C2231">
        <v>6409</v>
      </c>
      <c r="D2231" t="s">
        <v>22</v>
      </c>
      <c r="E2231" t="s">
        <v>8</v>
      </c>
      <c r="F2231" t="s">
        <v>23</v>
      </c>
      <c r="G2231">
        <v>2</v>
      </c>
      <c r="U2231">
        <v>1</v>
      </c>
      <c r="AI2231">
        <v>2</v>
      </c>
      <c r="AJ2231">
        <f>SUM(Post[[#This Row],[47]:[75]])</f>
        <v>5</v>
      </c>
    </row>
    <row r="2232" spans="1:36" x14ac:dyDescent="0.2">
      <c r="A2232" t="s">
        <v>22</v>
      </c>
      <c r="B2232" t="s">
        <v>54</v>
      </c>
      <c r="C2232">
        <v>6777</v>
      </c>
      <c r="D2232" t="s">
        <v>22</v>
      </c>
      <c r="E2232" t="s">
        <v>8</v>
      </c>
      <c r="F2232" t="s">
        <v>23</v>
      </c>
      <c r="K2232">
        <v>1</v>
      </c>
      <c r="Z2232">
        <v>2</v>
      </c>
      <c r="AJ2232">
        <f>SUM(Post[[#This Row],[47]:[75]])</f>
        <v>3</v>
      </c>
    </row>
    <row r="2233" spans="1:36" x14ac:dyDescent="0.2">
      <c r="A2233" t="s">
        <v>22</v>
      </c>
      <c r="B2233" t="s">
        <v>54</v>
      </c>
      <c r="C2233">
        <v>7398</v>
      </c>
      <c r="D2233" t="s">
        <v>22</v>
      </c>
      <c r="E2233" t="s">
        <v>8</v>
      </c>
      <c r="F2233" t="s">
        <v>23</v>
      </c>
      <c r="U2233">
        <v>1</v>
      </c>
      <c r="AJ2233">
        <f>SUM(Post[[#This Row],[47]:[75]])</f>
        <v>1</v>
      </c>
    </row>
    <row r="2234" spans="1:36" x14ac:dyDescent="0.2">
      <c r="A2234" t="s">
        <v>22</v>
      </c>
      <c r="B2234" t="s">
        <v>54</v>
      </c>
      <c r="C2234">
        <v>7691</v>
      </c>
      <c r="D2234" t="s">
        <v>22</v>
      </c>
      <c r="E2234" t="s">
        <v>8</v>
      </c>
      <c r="F2234" t="s">
        <v>9</v>
      </c>
      <c r="G2234">
        <v>1</v>
      </c>
      <c r="X2234">
        <v>1</v>
      </c>
      <c r="AJ2234">
        <f>SUM(Post[[#This Row],[47]:[75]])</f>
        <v>2</v>
      </c>
    </row>
    <row r="2235" spans="1:36" x14ac:dyDescent="0.2">
      <c r="A2235" t="s">
        <v>22</v>
      </c>
      <c r="B2235" t="s">
        <v>54</v>
      </c>
      <c r="C2235">
        <v>7946</v>
      </c>
      <c r="D2235" t="s">
        <v>22</v>
      </c>
      <c r="E2235" t="s">
        <v>8</v>
      </c>
      <c r="F2235" t="s">
        <v>23</v>
      </c>
      <c r="J2235">
        <v>1</v>
      </c>
      <c r="T2235">
        <v>1</v>
      </c>
      <c r="AA2235">
        <v>2</v>
      </c>
      <c r="AJ2235">
        <f>SUM(Post[[#This Row],[47]:[75]])</f>
        <v>4</v>
      </c>
    </row>
    <row r="2236" spans="1:36" x14ac:dyDescent="0.2">
      <c r="A2236" t="s">
        <v>22</v>
      </c>
      <c r="B2236" t="s">
        <v>54</v>
      </c>
      <c r="C2236">
        <v>11673</v>
      </c>
      <c r="D2236" t="s">
        <v>22</v>
      </c>
      <c r="E2236" t="s">
        <v>8</v>
      </c>
      <c r="F2236" t="s">
        <v>9</v>
      </c>
      <c r="U2236">
        <v>2</v>
      </c>
      <c r="AJ2236">
        <f>SUM(Post[[#This Row],[47]:[75]])</f>
        <v>2</v>
      </c>
    </row>
    <row r="2237" spans="1:36" x14ac:dyDescent="0.2">
      <c r="A2237" t="s">
        <v>22</v>
      </c>
      <c r="B2237" t="s">
        <v>54</v>
      </c>
      <c r="C2237">
        <v>11717</v>
      </c>
      <c r="D2237" t="s">
        <v>22</v>
      </c>
      <c r="E2237" t="s">
        <v>8</v>
      </c>
      <c r="F2237" t="s">
        <v>9</v>
      </c>
      <c r="AJ2237">
        <f>SUM(Post[[#This Row],[47]:[75]])</f>
        <v>0</v>
      </c>
    </row>
    <row r="2238" spans="1:36" x14ac:dyDescent="0.2">
      <c r="A2238" t="s">
        <v>22</v>
      </c>
      <c r="B2238" t="s">
        <v>54</v>
      </c>
      <c r="C2238">
        <v>11731</v>
      </c>
      <c r="D2238" t="s">
        <v>22</v>
      </c>
      <c r="E2238" t="s">
        <v>8</v>
      </c>
      <c r="F2238" t="s">
        <v>23</v>
      </c>
      <c r="K2238">
        <v>1</v>
      </c>
      <c r="AJ2238">
        <f>SUM(Post[[#This Row],[47]:[75]])</f>
        <v>1</v>
      </c>
    </row>
    <row r="2239" spans="1:36" x14ac:dyDescent="0.2">
      <c r="A2239" t="s">
        <v>22</v>
      </c>
      <c r="B2239" t="s">
        <v>54</v>
      </c>
      <c r="C2239">
        <v>11731</v>
      </c>
      <c r="D2239" t="s">
        <v>22</v>
      </c>
      <c r="E2239" t="s">
        <v>8</v>
      </c>
      <c r="F2239" t="s">
        <v>34</v>
      </c>
      <c r="AJ2239">
        <f>SUM(Post[[#This Row],[47]:[75]])</f>
        <v>0</v>
      </c>
    </row>
    <row r="2240" spans="1:36" x14ac:dyDescent="0.2">
      <c r="A2240" t="s">
        <v>22</v>
      </c>
      <c r="B2240" t="s">
        <v>54</v>
      </c>
      <c r="C2240">
        <v>11731</v>
      </c>
      <c r="D2240" t="s">
        <v>22</v>
      </c>
      <c r="E2240" t="s">
        <v>26</v>
      </c>
      <c r="F2240" t="s">
        <v>27</v>
      </c>
      <c r="P2240">
        <v>2</v>
      </c>
      <c r="X2240">
        <v>1</v>
      </c>
      <c r="AG2240">
        <v>1</v>
      </c>
      <c r="AJ2240">
        <f>SUM(Post[[#This Row],[47]:[75]])</f>
        <v>4</v>
      </c>
    </row>
    <row r="2241" spans="1:36" x14ac:dyDescent="0.2">
      <c r="A2241" t="s">
        <v>22</v>
      </c>
      <c r="B2241" t="s">
        <v>54</v>
      </c>
      <c r="C2241">
        <v>11749</v>
      </c>
      <c r="D2241" t="s">
        <v>22</v>
      </c>
      <c r="E2241" t="s">
        <v>8</v>
      </c>
      <c r="F2241" t="s">
        <v>9</v>
      </c>
      <c r="W2241">
        <v>1</v>
      </c>
      <c r="AG2241">
        <v>1</v>
      </c>
      <c r="AJ2241">
        <f>SUM(Post[[#This Row],[47]:[75]])</f>
        <v>2</v>
      </c>
    </row>
    <row r="2242" spans="1:36" x14ac:dyDescent="0.2">
      <c r="A2242" t="s">
        <v>22</v>
      </c>
      <c r="B2242" t="s">
        <v>54</v>
      </c>
      <c r="C2242">
        <v>11852</v>
      </c>
      <c r="D2242" t="s">
        <v>22</v>
      </c>
      <c r="E2242" t="s">
        <v>8</v>
      </c>
      <c r="F2242" t="s">
        <v>9</v>
      </c>
      <c r="O2242">
        <v>1</v>
      </c>
      <c r="AD2242">
        <v>2</v>
      </c>
      <c r="AJ2242">
        <f>SUM(Post[[#This Row],[47]:[75]])</f>
        <v>3</v>
      </c>
    </row>
    <row r="2243" spans="1:36" x14ac:dyDescent="0.2">
      <c r="A2243" t="s">
        <v>22</v>
      </c>
      <c r="B2243" t="s">
        <v>54</v>
      </c>
      <c r="C2243">
        <v>13194</v>
      </c>
      <c r="D2243" t="s">
        <v>22</v>
      </c>
      <c r="E2243" t="s">
        <v>8</v>
      </c>
      <c r="F2243" t="s">
        <v>23</v>
      </c>
      <c r="AJ2243">
        <f>SUM(Post[[#This Row],[47]:[75]])</f>
        <v>0</v>
      </c>
    </row>
    <row r="2244" spans="1:36" x14ac:dyDescent="0.2">
      <c r="A2244" t="s">
        <v>22</v>
      </c>
      <c r="B2244" t="s">
        <v>54</v>
      </c>
      <c r="C2244">
        <v>13194</v>
      </c>
      <c r="D2244" t="s">
        <v>22</v>
      </c>
      <c r="E2244" t="s">
        <v>8</v>
      </c>
      <c r="F2244" t="s">
        <v>29</v>
      </c>
      <c r="AJ2244">
        <f>SUM(Post[[#This Row],[47]:[75]])</f>
        <v>0</v>
      </c>
    </row>
    <row r="2245" spans="1:36" x14ac:dyDescent="0.2">
      <c r="A2245" t="s">
        <v>22</v>
      </c>
      <c r="B2245" t="s">
        <v>54</v>
      </c>
      <c r="C2245">
        <v>13500</v>
      </c>
      <c r="D2245" t="s">
        <v>22</v>
      </c>
      <c r="E2245" t="s">
        <v>8</v>
      </c>
      <c r="F2245" t="s">
        <v>9</v>
      </c>
      <c r="O2245">
        <v>1</v>
      </c>
      <c r="AJ2245">
        <f>SUM(Post[[#This Row],[47]:[75]])</f>
        <v>1</v>
      </c>
    </row>
    <row r="2246" spans="1:36" x14ac:dyDescent="0.2">
      <c r="A2246" t="s">
        <v>22</v>
      </c>
      <c r="B2246" t="s">
        <v>54</v>
      </c>
      <c r="C2246">
        <v>14198</v>
      </c>
      <c r="D2246" t="s">
        <v>22</v>
      </c>
      <c r="E2246" t="s">
        <v>8</v>
      </c>
      <c r="F2246" t="s">
        <v>9</v>
      </c>
      <c r="J2246">
        <v>1</v>
      </c>
      <c r="W2246">
        <v>1</v>
      </c>
      <c r="AJ2246">
        <f>SUM(Post[[#This Row],[47]:[75]])</f>
        <v>2</v>
      </c>
    </row>
    <row r="2247" spans="1:36" x14ac:dyDescent="0.2">
      <c r="A2247" t="s">
        <v>22</v>
      </c>
      <c r="B2247" t="s">
        <v>54</v>
      </c>
      <c r="C2247">
        <v>14198</v>
      </c>
      <c r="D2247" t="s">
        <v>22</v>
      </c>
      <c r="E2247" t="s">
        <v>26</v>
      </c>
      <c r="F2247" t="s">
        <v>27</v>
      </c>
      <c r="G2247">
        <v>1</v>
      </c>
      <c r="T2247">
        <v>1</v>
      </c>
      <c r="AG2247">
        <v>1</v>
      </c>
      <c r="AJ2247">
        <f>SUM(Post[[#This Row],[47]:[75]])</f>
        <v>3</v>
      </c>
    </row>
    <row r="2248" spans="1:36" x14ac:dyDescent="0.2">
      <c r="A2248" t="s">
        <v>22</v>
      </c>
      <c r="B2248" t="s">
        <v>54</v>
      </c>
      <c r="C2248">
        <v>14210</v>
      </c>
      <c r="D2248" t="s">
        <v>22</v>
      </c>
      <c r="E2248" t="s">
        <v>8</v>
      </c>
      <c r="F2248" t="s">
        <v>9</v>
      </c>
      <c r="Z2248">
        <v>1</v>
      </c>
      <c r="AJ2248">
        <f>SUM(Post[[#This Row],[47]:[75]])</f>
        <v>1</v>
      </c>
    </row>
    <row r="2249" spans="1:36" x14ac:dyDescent="0.2">
      <c r="A2249" t="s">
        <v>22</v>
      </c>
      <c r="B2249" t="s">
        <v>54</v>
      </c>
      <c r="C2249">
        <v>14469</v>
      </c>
      <c r="D2249" t="s">
        <v>22</v>
      </c>
      <c r="E2249" t="s">
        <v>8</v>
      </c>
      <c r="F2249" t="s">
        <v>23</v>
      </c>
      <c r="S2249">
        <v>1</v>
      </c>
      <c r="AF2249">
        <v>1</v>
      </c>
      <c r="AJ2249">
        <f>SUM(Post[[#This Row],[47]:[75]])</f>
        <v>2</v>
      </c>
    </row>
    <row r="2250" spans="1:36" x14ac:dyDescent="0.2">
      <c r="A2250" t="s">
        <v>22</v>
      </c>
      <c r="B2250" t="s">
        <v>54</v>
      </c>
      <c r="C2250">
        <v>14469</v>
      </c>
      <c r="D2250" t="s">
        <v>22</v>
      </c>
      <c r="E2250" t="s">
        <v>26</v>
      </c>
      <c r="F2250" t="s">
        <v>27</v>
      </c>
      <c r="S2250">
        <v>1</v>
      </c>
      <c r="AF2250">
        <v>1</v>
      </c>
      <c r="AJ2250">
        <f>SUM(Post[[#This Row],[47]:[75]])</f>
        <v>2</v>
      </c>
    </row>
    <row r="2251" spans="1:36" x14ac:dyDescent="0.2">
      <c r="A2251" t="s">
        <v>22</v>
      </c>
      <c r="B2251" t="s">
        <v>54</v>
      </c>
      <c r="C2251">
        <v>15676</v>
      </c>
      <c r="D2251" t="s">
        <v>22</v>
      </c>
      <c r="E2251" t="s">
        <v>8</v>
      </c>
      <c r="F2251" t="s">
        <v>9</v>
      </c>
      <c r="AA2251">
        <v>1</v>
      </c>
      <c r="AJ2251">
        <f>SUM(Post[[#This Row],[47]:[75]])</f>
        <v>1</v>
      </c>
    </row>
    <row r="2252" spans="1:36" x14ac:dyDescent="0.2">
      <c r="A2252" t="s">
        <v>22</v>
      </c>
      <c r="B2252" t="s">
        <v>54</v>
      </c>
      <c r="C2252">
        <v>16420</v>
      </c>
      <c r="D2252" t="s">
        <v>22</v>
      </c>
      <c r="E2252" t="s">
        <v>8</v>
      </c>
      <c r="F2252" t="s">
        <v>23</v>
      </c>
      <c r="AE2252">
        <v>1</v>
      </c>
      <c r="AJ2252">
        <f>SUM(Post[[#This Row],[47]:[75]])</f>
        <v>1</v>
      </c>
    </row>
    <row r="2253" spans="1:36" x14ac:dyDescent="0.2">
      <c r="A2253" t="s">
        <v>22</v>
      </c>
      <c r="B2253" t="s">
        <v>54</v>
      </c>
      <c r="C2253">
        <v>16420</v>
      </c>
      <c r="D2253" t="s">
        <v>22</v>
      </c>
      <c r="E2253" t="s">
        <v>8</v>
      </c>
      <c r="F2253" t="s">
        <v>9</v>
      </c>
      <c r="AJ2253">
        <f>SUM(Post[[#This Row],[47]:[75]])</f>
        <v>0</v>
      </c>
    </row>
    <row r="2254" spans="1:36" x14ac:dyDescent="0.2">
      <c r="A2254" t="s">
        <v>22</v>
      </c>
      <c r="B2254" t="s">
        <v>54</v>
      </c>
      <c r="C2254">
        <v>23021</v>
      </c>
      <c r="D2254" t="s">
        <v>22</v>
      </c>
      <c r="E2254" t="s">
        <v>8</v>
      </c>
      <c r="F2254" t="s">
        <v>9</v>
      </c>
      <c r="J2254">
        <v>1</v>
      </c>
      <c r="W2254">
        <v>1</v>
      </c>
      <c r="AJ2254">
        <f>SUM(Post[[#This Row],[47]:[75]])</f>
        <v>2</v>
      </c>
    </row>
    <row r="2255" spans="1:36" x14ac:dyDescent="0.2">
      <c r="A2255" t="s">
        <v>22</v>
      </c>
      <c r="B2255" t="s">
        <v>54</v>
      </c>
      <c r="C2255">
        <v>30955</v>
      </c>
      <c r="D2255" t="s">
        <v>22</v>
      </c>
      <c r="E2255" t="s">
        <v>8</v>
      </c>
      <c r="F2255" t="s">
        <v>9</v>
      </c>
      <c r="AJ2255">
        <f>SUM(Post[[#This Row],[47]:[75]])</f>
        <v>0</v>
      </c>
    </row>
    <row r="2256" spans="1:36" x14ac:dyDescent="0.2">
      <c r="A2256" t="s">
        <v>59</v>
      </c>
      <c r="B2256" t="s">
        <v>54</v>
      </c>
      <c r="C2256">
        <v>1444</v>
      </c>
      <c r="D2256" t="s">
        <v>7</v>
      </c>
      <c r="E2256" t="s">
        <v>8</v>
      </c>
      <c r="F2256" t="s">
        <v>23</v>
      </c>
      <c r="Q2256">
        <v>1</v>
      </c>
      <c r="AF2256">
        <v>1</v>
      </c>
      <c r="AJ2256">
        <f>SUM(Post[[#This Row],[47]:[75]])</f>
        <v>2</v>
      </c>
    </row>
    <row r="2257" spans="1:36" x14ac:dyDescent="0.2">
      <c r="A2257" t="s">
        <v>59</v>
      </c>
      <c r="B2257" t="s">
        <v>54</v>
      </c>
      <c r="C2257">
        <v>1534</v>
      </c>
      <c r="D2257" t="s">
        <v>7</v>
      </c>
      <c r="E2257" t="s">
        <v>14</v>
      </c>
      <c r="F2257" t="s">
        <v>19</v>
      </c>
      <c r="AJ2257">
        <f>SUM(Post[[#This Row],[47]:[75]])</f>
        <v>0</v>
      </c>
    </row>
    <row r="2258" spans="1:36" x14ac:dyDescent="0.2">
      <c r="A2258" t="s">
        <v>59</v>
      </c>
      <c r="B2258" t="s">
        <v>54</v>
      </c>
      <c r="C2258">
        <v>6023</v>
      </c>
      <c r="D2258" t="s">
        <v>7</v>
      </c>
      <c r="E2258" t="s">
        <v>14</v>
      </c>
      <c r="F2258" t="s">
        <v>35</v>
      </c>
      <c r="AJ2258">
        <f>SUM(Post[[#This Row],[47]:[75]])</f>
        <v>0</v>
      </c>
    </row>
    <row r="2259" spans="1:36" x14ac:dyDescent="0.2">
      <c r="A2259" t="s">
        <v>59</v>
      </c>
      <c r="B2259" t="s">
        <v>54</v>
      </c>
      <c r="C2259">
        <v>6217</v>
      </c>
      <c r="D2259" t="s">
        <v>7</v>
      </c>
      <c r="E2259" t="s">
        <v>8</v>
      </c>
      <c r="F2259" t="s">
        <v>23</v>
      </c>
      <c r="AG2259">
        <v>2</v>
      </c>
      <c r="AJ2259">
        <f>SUM(Post[[#This Row],[47]:[75]])</f>
        <v>2</v>
      </c>
    </row>
    <row r="2260" spans="1:36" x14ac:dyDescent="0.2">
      <c r="A2260" t="s">
        <v>59</v>
      </c>
      <c r="B2260" t="s">
        <v>54</v>
      </c>
      <c r="C2260">
        <v>8134</v>
      </c>
      <c r="D2260" t="s">
        <v>7</v>
      </c>
      <c r="E2260" t="s">
        <v>8</v>
      </c>
      <c r="F2260" t="s">
        <v>9</v>
      </c>
      <c r="O2260">
        <v>1</v>
      </c>
      <c r="AB2260">
        <v>2</v>
      </c>
      <c r="AJ2260">
        <f>SUM(Post[[#This Row],[47]:[75]])</f>
        <v>3</v>
      </c>
    </row>
    <row r="2261" spans="1:36" x14ac:dyDescent="0.2">
      <c r="A2261" t="s">
        <v>59</v>
      </c>
      <c r="B2261" t="s">
        <v>54</v>
      </c>
      <c r="C2261">
        <v>11328</v>
      </c>
      <c r="D2261" t="s">
        <v>7</v>
      </c>
      <c r="E2261" t="s">
        <v>8</v>
      </c>
      <c r="F2261" t="s">
        <v>9</v>
      </c>
      <c r="V2261">
        <v>1</v>
      </c>
      <c r="W2261">
        <v>2</v>
      </c>
      <c r="AB2261">
        <v>4</v>
      </c>
      <c r="AJ2261">
        <f>SUM(Post[[#This Row],[47]:[75]])</f>
        <v>7</v>
      </c>
    </row>
    <row r="2262" spans="1:36" x14ac:dyDescent="0.2">
      <c r="A2262" t="s">
        <v>59</v>
      </c>
      <c r="B2262" t="s">
        <v>54</v>
      </c>
      <c r="C2262">
        <v>11328</v>
      </c>
      <c r="D2262" t="s">
        <v>7</v>
      </c>
      <c r="E2262" t="s">
        <v>14</v>
      </c>
      <c r="F2262" t="s">
        <v>20</v>
      </c>
      <c r="T2262">
        <v>1</v>
      </c>
      <c r="AJ2262">
        <f>SUM(Post[[#This Row],[47]:[75]])</f>
        <v>1</v>
      </c>
    </row>
    <row r="2263" spans="1:36" x14ac:dyDescent="0.2">
      <c r="A2263" t="s">
        <v>59</v>
      </c>
      <c r="B2263" t="s">
        <v>54</v>
      </c>
      <c r="C2263">
        <v>11953</v>
      </c>
      <c r="D2263" t="s">
        <v>7</v>
      </c>
      <c r="E2263" t="s">
        <v>10</v>
      </c>
      <c r="F2263" t="s">
        <v>11</v>
      </c>
      <c r="I2263">
        <v>1</v>
      </c>
      <c r="AJ2263">
        <f>SUM(Post[[#This Row],[47]:[75]])</f>
        <v>1</v>
      </c>
    </row>
    <row r="2264" spans="1:36" x14ac:dyDescent="0.2">
      <c r="A2264" t="s">
        <v>59</v>
      </c>
      <c r="B2264" t="s">
        <v>54</v>
      </c>
      <c r="C2264">
        <v>12014</v>
      </c>
      <c r="D2264" t="s">
        <v>7</v>
      </c>
      <c r="E2264" t="s">
        <v>8</v>
      </c>
      <c r="F2264" t="s">
        <v>9</v>
      </c>
      <c r="H2264">
        <v>1</v>
      </c>
      <c r="V2264">
        <v>2</v>
      </c>
      <c r="AE2264">
        <v>2</v>
      </c>
      <c r="AJ2264">
        <f>SUM(Post[[#This Row],[47]:[75]])</f>
        <v>5</v>
      </c>
    </row>
    <row r="2265" spans="1:36" x14ac:dyDescent="0.2">
      <c r="A2265" t="s">
        <v>59</v>
      </c>
      <c r="B2265" t="s">
        <v>54</v>
      </c>
      <c r="C2265">
        <v>13538</v>
      </c>
      <c r="D2265" t="s">
        <v>7</v>
      </c>
      <c r="E2265" t="s">
        <v>8</v>
      </c>
      <c r="F2265" t="s">
        <v>9</v>
      </c>
      <c r="V2265">
        <v>1</v>
      </c>
      <c r="AC2265">
        <v>1</v>
      </c>
      <c r="AI2265">
        <v>3</v>
      </c>
      <c r="AJ2265">
        <f>SUM(Post[[#This Row],[47]:[75]])</f>
        <v>5</v>
      </c>
    </row>
    <row r="2266" spans="1:36" x14ac:dyDescent="0.2">
      <c r="A2266" t="s">
        <v>59</v>
      </c>
      <c r="B2266" t="s">
        <v>54</v>
      </c>
      <c r="C2266">
        <v>14045</v>
      </c>
      <c r="D2266" t="s">
        <v>7</v>
      </c>
      <c r="E2266" t="s">
        <v>10</v>
      </c>
      <c r="F2266" t="s">
        <v>16</v>
      </c>
      <c r="AJ2266">
        <f>SUM(Post[[#This Row],[47]:[75]])</f>
        <v>0</v>
      </c>
    </row>
    <row r="2267" spans="1:36" x14ac:dyDescent="0.2">
      <c r="A2267" t="s">
        <v>59</v>
      </c>
      <c r="B2267" t="s">
        <v>54</v>
      </c>
      <c r="C2267">
        <v>16788</v>
      </c>
      <c r="D2267" t="s">
        <v>7</v>
      </c>
      <c r="E2267" t="s">
        <v>10</v>
      </c>
      <c r="F2267" t="s">
        <v>11</v>
      </c>
      <c r="AJ2267">
        <f>SUM(Post[[#This Row],[47]:[75]])</f>
        <v>0</v>
      </c>
    </row>
    <row r="2268" spans="1:36" x14ac:dyDescent="0.2">
      <c r="A2268" t="s">
        <v>59</v>
      </c>
      <c r="B2268" t="s">
        <v>54</v>
      </c>
      <c r="C2268">
        <v>29236</v>
      </c>
      <c r="D2268" t="s">
        <v>7</v>
      </c>
      <c r="E2268" t="s">
        <v>8</v>
      </c>
      <c r="F2268" t="s">
        <v>45</v>
      </c>
      <c r="P2268">
        <v>1</v>
      </c>
      <c r="AD2268">
        <v>1</v>
      </c>
      <c r="AJ2268">
        <f>SUM(Post[[#This Row],[47]:[75]])</f>
        <v>2</v>
      </c>
    </row>
    <row r="2269" spans="1:36" x14ac:dyDescent="0.2">
      <c r="A2269" t="s">
        <v>59</v>
      </c>
      <c r="B2269" t="s">
        <v>54</v>
      </c>
      <c r="C2269">
        <v>825</v>
      </c>
      <c r="D2269" t="s">
        <v>22</v>
      </c>
      <c r="E2269" t="s">
        <v>14</v>
      </c>
      <c r="F2269" t="s">
        <v>20</v>
      </c>
      <c r="G2269">
        <v>1</v>
      </c>
      <c r="H2269">
        <v>1</v>
      </c>
      <c r="K2269">
        <v>1</v>
      </c>
      <c r="P2269">
        <v>1</v>
      </c>
      <c r="T2269">
        <v>1</v>
      </c>
      <c r="X2269">
        <v>1</v>
      </c>
      <c r="AB2269">
        <v>1</v>
      </c>
      <c r="AF2269">
        <v>1</v>
      </c>
      <c r="AJ2269">
        <f>SUM(Post[[#This Row],[47]:[75]])</f>
        <v>8</v>
      </c>
    </row>
    <row r="2270" spans="1:36" x14ac:dyDescent="0.2">
      <c r="A2270" t="s">
        <v>59</v>
      </c>
      <c r="B2270" t="s">
        <v>54</v>
      </c>
      <c r="C2270">
        <v>4816</v>
      </c>
      <c r="D2270" t="s">
        <v>22</v>
      </c>
      <c r="E2270" t="s">
        <v>8</v>
      </c>
      <c r="F2270" t="s">
        <v>29</v>
      </c>
      <c r="J2270">
        <v>1</v>
      </c>
      <c r="L2270">
        <v>1</v>
      </c>
      <c r="V2270">
        <v>2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J2270">
        <f>SUM(Post[[#This Row],[47]:[75]])</f>
        <v>15</v>
      </c>
    </row>
    <row r="2271" spans="1:36" x14ac:dyDescent="0.2">
      <c r="A2271" t="s">
        <v>59</v>
      </c>
      <c r="B2271" t="s">
        <v>54</v>
      </c>
      <c r="C2271">
        <v>5361</v>
      </c>
      <c r="D2271" t="s">
        <v>22</v>
      </c>
      <c r="E2271" t="s">
        <v>8</v>
      </c>
      <c r="F2271" t="s">
        <v>9</v>
      </c>
      <c r="L2271">
        <v>1</v>
      </c>
      <c r="AA2271">
        <v>1</v>
      </c>
      <c r="AJ2271">
        <f>SUM(Post[[#This Row],[47]:[75]])</f>
        <v>2</v>
      </c>
    </row>
    <row r="2272" spans="1:36" x14ac:dyDescent="0.2">
      <c r="A2272" t="s">
        <v>59</v>
      </c>
      <c r="B2272" t="s">
        <v>54</v>
      </c>
      <c r="C2272">
        <v>5361</v>
      </c>
      <c r="D2272" t="s">
        <v>22</v>
      </c>
      <c r="E2272" t="s">
        <v>8</v>
      </c>
      <c r="F2272" t="s">
        <v>29</v>
      </c>
      <c r="AJ2272">
        <f>SUM(Post[[#This Row],[47]:[75]])</f>
        <v>0</v>
      </c>
    </row>
    <row r="2273" spans="1:36" x14ac:dyDescent="0.2">
      <c r="A2273" t="s">
        <v>59</v>
      </c>
      <c r="B2273" t="s">
        <v>54</v>
      </c>
      <c r="C2273">
        <v>5564</v>
      </c>
      <c r="D2273" t="s">
        <v>22</v>
      </c>
      <c r="E2273" t="s">
        <v>8</v>
      </c>
      <c r="F2273" t="s">
        <v>23</v>
      </c>
      <c r="Q2273">
        <v>1</v>
      </c>
      <c r="AJ2273">
        <f>SUM(Post[[#This Row],[47]:[75]])</f>
        <v>1</v>
      </c>
    </row>
    <row r="2274" spans="1:36" x14ac:dyDescent="0.2">
      <c r="A2274" t="s">
        <v>59</v>
      </c>
      <c r="B2274" t="s">
        <v>54</v>
      </c>
      <c r="C2274">
        <v>6321</v>
      </c>
      <c r="D2274" t="s">
        <v>22</v>
      </c>
      <c r="E2274" t="s">
        <v>8</v>
      </c>
      <c r="F2274" t="s">
        <v>29</v>
      </c>
      <c r="AE2274">
        <v>1</v>
      </c>
      <c r="AG2274">
        <v>1</v>
      </c>
      <c r="AJ2274">
        <f>SUM(Post[[#This Row],[47]:[75]])</f>
        <v>2</v>
      </c>
    </row>
    <row r="2275" spans="1:36" x14ac:dyDescent="0.2">
      <c r="A2275" t="s">
        <v>59</v>
      </c>
      <c r="B2275" t="s">
        <v>54</v>
      </c>
      <c r="C2275">
        <v>6359</v>
      </c>
      <c r="D2275" t="s">
        <v>22</v>
      </c>
      <c r="E2275" t="s">
        <v>8</v>
      </c>
      <c r="F2275" t="s">
        <v>23</v>
      </c>
      <c r="O2275">
        <v>1</v>
      </c>
      <c r="AJ2275">
        <f>SUM(Post[[#This Row],[47]:[75]])</f>
        <v>1</v>
      </c>
    </row>
    <row r="2276" spans="1:36" x14ac:dyDescent="0.2">
      <c r="A2276" t="s">
        <v>59</v>
      </c>
      <c r="B2276" t="s">
        <v>54</v>
      </c>
      <c r="C2276">
        <v>6525</v>
      </c>
      <c r="D2276" t="s">
        <v>22</v>
      </c>
      <c r="E2276" t="s">
        <v>8</v>
      </c>
      <c r="F2276" t="s">
        <v>9</v>
      </c>
      <c r="L2276">
        <v>1</v>
      </c>
      <c r="AE2276">
        <v>1</v>
      </c>
      <c r="AJ2276">
        <f>SUM(Post[[#This Row],[47]:[75]])</f>
        <v>2</v>
      </c>
    </row>
    <row r="2277" spans="1:36" x14ac:dyDescent="0.2">
      <c r="A2277" t="s">
        <v>59</v>
      </c>
      <c r="B2277" t="s">
        <v>54</v>
      </c>
      <c r="C2277">
        <v>7516</v>
      </c>
      <c r="D2277" t="s">
        <v>22</v>
      </c>
      <c r="E2277" t="s">
        <v>8</v>
      </c>
      <c r="F2277" t="s">
        <v>23</v>
      </c>
      <c r="I2277">
        <v>1</v>
      </c>
      <c r="V2277">
        <v>1</v>
      </c>
      <c r="AA2277">
        <v>1</v>
      </c>
      <c r="AE2277">
        <v>1</v>
      </c>
      <c r="AJ2277">
        <f>SUM(Post[[#This Row],[47]:[75]])</f>
        <v>4</v>
      </c>
    </row>
    <row r="2278" spans="1:36" x14ac:dyDescent="0.2">
      <c r="A2278" t="s">
        <v>59</v>
      </c>
      <c r="B2278" t="s">
        <v>54</v>
      </c>
      <c r="C2278">
        <v>7696</v>
      </c>
      <c r="D2278" t="s">
        <v>22</v>
      </c>
      <c r="E2278" t="s">
        <v>8</v>
      </c>
      <c r="F2278" t="s">
        <v>9</v>
      </c>
      <c r="J2278">
        <v>1</v>
      </c>
      <c r="V2278">
        <v>1</v>
      </c>
      <c r="AJ2278">
        <f>SUM(Post[[#This Row],[47]:[75]])</f>
        <v>2</v>
      </c>
    </row>
    <row r="2279" spans="1:36" x14ac:dyDescent="0.2">
      <c r="A2279" t="s">
        <v>59</v>
      </c>
      <c r="B2279" t="s">
        <v>54</v>
      </c>
      <c r="C2279">
        <v>7696</v>
      </c>
      <c r="D2279" t="s">
        <v>22</v>
      </c>
      <c r="E2279" t="s">
        <v>26</v>
      </c>
      <c r="F2279" t="s">
        <v>27</v>
      </c>
      <c r="X2279">
        <v>1</v>
      </c>
      <c r="AJ2279">
        <f>SUM(Post[[#This Row],[47]:[75]])</f>
        <v>1</v>
      </c>
    </row>
    <row r="2280" spans="1:36" x14ac:dyDescent="0.2">
      <c r="A2280" t="s">
        <v>59</v>
      </c>
      <c r="B2280" t="s">
        <v>54</v>
      </c>
      <c r="C2280">
        <v>8029</v>
      </c>
      <c r="D2280" t="s">
        <v>22</v>
      </c>
      <c r="E2280" t="s">
        <v>14</v>
      </c>
      <c r="F2280" t="s">
        <v>19</v>
      </c>
      <c r="AF2280">
        <v>2</v>
      </c>
      <c r="AJ2280">
        <f>SUM(Post[[#This Row],[47]:[75]])</f>
        <v>2</v>
      </c>
    </row>
    <row r="2281" spans="1:36" x14ac:dyDescent="0.2">
      <c r="A2281" t="s">
        <v>59</v>
      </c>
      <c r="B2281" t="s">
        <v>54</v>
      </c>
      <c r="C2281">
        <v>8029</v>
      </c>
      <c r="D2281" t="s">
        <v>22</v>
      </c>
      <c r="E2281" t="s">
        <v>14</v>
      </c>
      <c r="F2281" t="s">
        <v>21</v>
      </c>
      <c r="AF2281">
        <v>1</v>
      </c>
      <c r="AJ2281">
        <f>SUM(Post[[#This Row],[47]:[75]])</f>
        <v>1</v>
      </c>
    </row>
    <row r="2282" spans="1:36" x14ac:dyDescent="0.2">
      <c r="A2282" t="s">
        <v>59</v>
      </c>
      <c r="B2282" t="s">
        <v>54</v>
      </c>
      <c r="C2282">
        <v>8029</v>
      </c>
      <c r="D2282" t="s">
        <v>22</v>
      </c>
      <c r="E2282" t="s">
        <v>14</v>
      </c>
      <c r="F2282" t="s">
        <v>20</v>
      </c>
      <c r="P2282">
        <v>1</v>
      </c>
      <c r="AJ2282">
        <f>SUM(Post[[#This Row],[47]:[75]])</f>
        <v>1</v>
      </c>
    </row>
    <row r="2283" spans="1:36" x14ac:dyDescent="0.2">
      <c r="A2283" t="s">
        <v>59</v>
      </c>
      <c r="B2283" t="s">
        <v>54</v>
      </c>
      <c r="C2283">
        <v>8199</v>
      </c>
      <c r="D2283" t="s">
        <v>22</v>
      </c>
      <c r="E2283" t="s">
        <v>8</v>
      </c>
      <c r="F2283" t="s">
        <v>9</v>
      </c>
      <c r="G2283">
        <v>1</v>
      </c>
      <c r="AA2283">
        <v>1</v>
      </c>
      <c r="AJ2283">
        <f>SUM(Post[[#This Row],[47]:[75]])</f>
        <v>2</v>
      </c>
    </row>
    <row r="2284" spans="1:36" x14ac:dyDescent="0.2">
      <c r="A2284" t="s">
        <v>59</v>
      </c>
      <c r="B2284" t="s">
        <v>54</v>
      </c>
      <c r="C2284">
        <v>8669</v>
      </c>
      <c r="D2284" t="s">
        <v>22</v>
      </c>
      <c r="E2284" t="s">
        <v>8</v>
      </c>
      <c r="F2284" t="s">
        <v>9</v>
      </c>
      <c r="Z2284">
        <v>1</v>
      </c>
      <c r="AJ2284">
        <f>SUM(Post[[#This Row],[47]:[75]])</f>
        <v>1</v>
      </c>
    </row>
    <row r="2285" spans="1:36" x14ac:dyDescent="0.2">
      <c r="A2285" t="s">
        <v>59</v>
      </c>
      <c r="B2285" t="s">
        <v>54</v>
      </c>
      <c r="C2285">
        <v>8863</v>
      </c>
      <c r="D2285" t="s">
        <v>22</v>
      </c>
      <c r="E2285" t="s">
        <v>8</v>
      </c>
      <c r="F2285" t="s">
        <v>9</v>
      </c>
      <c r="K2285">
        <v>1</v>
      </c>
      <c r="O2285">
        <v>1</v>
      </c>
      <c r="R2285">
        <v>1</v>
      </c>
      <c r="U2285">
        <v>1</v>
      </c>
      <c r="AB2285">
        <v>1</v>
      </c>
      <c r="AJ2285">
        <f>SUM(Post[[#This Row],[47]:[75]])</f>
        <v>5</v>
      </c>
    </row>
    <row r="2286" spans="1:36" x14ac:dyDescent="0.2">
      <c r="A2286" t="s">
        <v>59</v>
      </c>
      <c r="B2286" t="s">
        <v>54</v>
      </c>
      <c r="C2286">
        <v>10235</v>
      </c>
      <c r="D2286" t="s">
        <v>22</v>
      </c>
      <c r="E2286" t="s">
        <v>8</v>
      </c>
      <c r="F2286" t="s">
        <v>9</v>
      </c>
      <c r="S2286">
        <v>1</v>
      </c>
      <c r="AJ2286">
        <f>SUM(Post[[#This Row],[47]:[75]])</f>
        <v>1</v>
      </c>
    </row>
    <row r="2287" spans="1:36" x14ac:dyDescent="0.2">
      <c r="A2287" t="s">
        <v>59</v>
      </c>
      <c r="B2287" t="s">
        <v>54</v>
      </c>
      <c r="C2287">
        <v>10915</v>
      </c>
      <c r="D2287" t="s">
        <v>22</v>
      </c>
      <c r="E2287" t="s">
        <v>8</v>
      </c>
      <c r="F2287" t="s">
        <v>23</v>
      </c>
      <c r="AJ2287">
        <f>SUM(Post[[#This Row],[47]:[75]])</f>
        <v>0</v>
      </c>
    </row>
    <row r="2288" spans="1:36" x14ac:dyDescent="0.2">
      <c r="A2288" t="s">
        <v>59</v>
      </c>
      <c r="B2288" t="s">
        <v>54</v>
      </c>
      <c r="C2288">
        <v>11542</v>
      </c>
      <c r="D2288" t="s">
        <v>22</v>
      </c>
      <c r="E2288" t="s">
        <v>8</v>
      </c>
      <c r="F2288" t="s">
        <v>23</v>
      </c>
      <c r="J2288">
        <v>1</v>
      </c>
      <c r="W2288">
        <v>1</v>
      </c>
      <c r="AJ2288">
        <f>SUM(Post[[#This Row],[47]:[75]])</f>
        <v>2</v>
      </c>
    </row>
    <row r="2289" spans="1:36" x14ac:dyDescent="0.2">
      <c r="A2289" t="s">
        <v>59</v>
      </c>
      <c r="B2289" t="s">
        <v>54</v>
      </c>
      <c r="C2289">
        <v>13167</v>
      </c>
      <c r="D2289" t="s">
        <v>22</v>
      </c>
      <c r="E2289" t="s">
        <v>8</v>
      </c>
      <c r="F2289" t="s">
        <v>9</v>
      </c>
      <c r="T2289">
        <v>1</v>
      </c>
      <c r="AJ2289">
        <f>SUM(Post[[#This Row],[47]:[75]])</f>
        <v>1</v>
      </c>
    </row>
    <row r="2290" spans="1:36" x14ac:dyDescent="0.2">
      <c r="A2290" t="s">
        <v>59</v>
      </c>
      <c r="B2290" t="s">
        <v>54</v>
      </c>
      <c r="C2290">
        <v>13789</v>
      </c>
      <c r="D2290" t="s">
        <v>22</v>
      </c>
      <c r="E2290" t="s">
        <v>14</v>
      </c>
      <c r="F2290" t="s">
        <v>20</v>
      </c>
      <c r="H2290">
        <v>1</v>
      </c>
      <c r="T2290">
        <v>1</v>
      </c>
      <c r="AJ2290">
        <f>SUM(Post[[#This Row],[47]:[75]])</f>
        <v>2</v>
      </c>
    </row>
    <row r="2291" spans="1:36" x14ac:dyDescent="0.2">
      <c r="A2291" t="s">
        <v>59</v>
      </c>
      <c r="B2291" t="s">
        <v>54</v>
      </c>
      <c r="C2291">
        <v>14139</v>
      </c>
      <c r="D2291" t="s">
        <v>22</v>
      </c>
      <c r="E2291" t="s">
        <v>14</v>
      </c>
      <c r="F2291" t="s">
        <v>35</v>
      </c>
      <c r="AB2291">
        <v>1</v>
      </c>
      <c r="AJ2291">
        <f>SUM(Post[[#This Row],[47]:[75]])</f>
        <v>1</v>
      </c>
    </row>
    <row r="2292" spans="1:36" x14ac:dyDescent="0.2">
      <c r="A2292" t="s">
        <v>59</v>
      </c>
      <c r="B2292" t="s">
        <v>54</v>
      </c>
      <c r="C2292">
        <v>15488</v>
      </c>
      <c r="D2292" t="s">
        <v>22</v>
      </c>
      <c r="E2292" t="s">
        <v>8</v>
      </c>
      <c r="F2292" t="s">
        <v>23</v>
      </c>
      <c r="L2292">
        <v>1</v>
      </c>
      <c r="AB2292">
        <v>1</v>
      </c>
      <c r="AJ2292">
        <f>SUM(Post[[#This Row],[47]:[75]])</f>
        <v>2</v>
      </c>
    </row>
    <row r="2293" spans="1:36" x14ac:dyDescent="0.2">
      <c r="A2293" t="s">
        <v>59</v>
      </c>
      <c r="B2293" t="s">
        <v>54</v>
      </c>
      <c r="C2293">
        <v>16269</v>
      </c>
      <c r="D2293" t="s">
        <v>22</v>
      </c>
      <c r="E2293" t="s">
        <v>8</v>
      </c>
      <c r="F2293" t="s">
        <v>23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f>SUM(Post[[#This Row],[47]:[75]])</f>
        <v>28</v>
      </c>
    </row>
    <row r="2294" spans="1:36" x14ac:dyDescent="0.2">
      <c r="A2294" t="s">
        <v>59</v>
      </c>
      <c r="B2294" t="s">
        <v>54</v>
      </c>
      <c r="C2294">
        <v>22897</v>
      </c>
      <c r="D2294" t="s">
        <v>22</v>
      </c>
      <c r="E2294" t="s">
        <v>8</v>
      </c>
      <c r="F2294" t="s">
        <v>9</v>
      </c>
      <c r="AG2294">
        <v>1</v>
      </c>
      <c r="AJ2294">
        <f>SUM(Post[[#This Row],[47]:[75]])</f>
        <v>1</v>
      </c>
    </row>
    <row r="2295" spans="1:36" x14ac:dyDescent="0.2">
      <c r="A2295" t="s">
        <v>59</v>
      </c>
      <c r="B2295" t="s">
        <v>54</v>
      </c>
      <c r="C2295">
        <v>23517</v>
      </c>
      <c r="D2295" t="s">
        <v>22</v>
      </c>
      <c r="E2295" t="s">
        <v>10</v>
      </c>
      <c r="F2295" t="s">
        <v>11</v>
      </c>
      <c r="AJ2295">
        <f>SUM(Post[[#This Row],[47]:[75]])</f>
        <v>0</v>
      </c>
    </row>
    <row r="2296" spans="1:36" x14ac:dyDescent="0.2">
      <c r="A2296" t="s">
        <v>59</v>
      </c>
      <c r="B2296" t="s">
        <v>54</v>
      </c>
      <c r="C2296">
        <v>30866</v>
      </c>
      <c r="D2296" t="s">
        <v>22</v>
      </c>
      <c r="E2296" t="s">
        <v>10</v>
      </c>
      <c r="F2296" t="s">
        <v>11</v>
      </c>
      <c r="I2296">
        <v>1</v>
      </c>
      <c r="AJ2296">
        <f>SUM(Post[[#This Row],[47]:[75]])</f>
        <v>1</v>
      </c>
    </row>
    <row r="2297" spans="1:36" x14ac:dyDescent="0.2">
      <c r="A2297" t="s">
        <v>59</v>
      </c>
      <c r="B2297" t="s">
        <v>54</v>
      </c>
      <c r="C2297">
        <v>32664</v>
      </c>
      <c r="D2297" t="s">
        <v>22</v>
      </c>
      <c r="E2297" t="s">
        <v>40</v>
      </c>
      <c r="F2297" t="s">
        <v>41</v>
      </c>
      <c r="AJ2297">
        <f>SUM(Post[[#This Row],[47]:[75]])</f>
        <v>0</v>
      </c>
    </row>
    <row r="2298" spans="1:36" x14ac:dyDescent="0.2">
      <c r="A2298" t="s">
        <v>59</v>
      </c>
      <c r="B2298" t="s">
        <v>54</v>
      </c>
      <c r="C2298">
        <v>32664</v>
      </c>
      <c r="D2298" t="s">
        <v>22</v>
      </c>
      <c r="E2298" t="s">
        <v>32</v>
      </c>
      <c r="F2298" t="s">
        <v>33</v>
      </c>
      <c r="N2298">
        <v>1</v>
      </c>
      <c r="X2298">
        <v>1</v>
      </c>
      <c r="AE2298">
        <v>1</v>
      </c>
      <c r="AJ2298">
        <f>SUM(Post[[#This Row],[47]:[75]])</f>
        <v>3</v>
      </c>
    </row>
    <row r="2299" spans="1:36" x14ac:dyDescent="0.2">
      <c r="A2299" t="s">
        <v>59</v>
      </c>
      <c r="B2299" t="s">
        <v>54</v>
      </c>
      <c r="C2299">
        <v>100</v>
      </c>
      <c r="D2299" t="s">
        <v>7</v>
      </c>
      <c r="E2299" t="s">
        <v>10</v>
      </c>
      <c r="F2299" t="s">
        <v>11</v>
      </c>
      <c r="H2299">
        <v>1</v>
      </c>
      <c r="K2299">
        <v>1</v>
      </c>
      <c r="Q2299">
        <v>1</v>
      </c>
      <c r="U2299">
        <v>2</v>
      </c>
      <c r="Y2299">
        <v>1</v>
      </c>
      <c r="AC2299">
        <v>1</v>
      </c>
      <c r="AD2299">
        <v>1</v>
      </c>
      <c r="AG2299">
        <v>1</v>
      </c>
      <c r="AJ2299">
        <f>SUM(Post[[#This Row],[47]:[75]])</f>
        <v>9</v>
      </c>
    </row>
    <row r="2300" spans="1:36" x14ac:dyDescent="0.2">
      <c r="A2300" t="s">
        <v>59</v>
      </c>
      <c r="B2300" t="s">
        <v>54</v>
      </c>
      <c r="C2300">
        <v>123</v>
      </c>
      <c r="D2300" t="s">
        <v>7</v>
      </c>
      <c r="E2300" t="s">
        <v>8</v>
      </c>
      <c r="F2300" t="s">
        <v>9</v>
      </c>
      <c r="L2300">
        <v>1</v>
      </c>
      <c r="AJ2300">
        <f>SUM(Post[[#This Row],[47]:[75]])</f>
        <v>1</v>
      </c>
    </row>
    <row r="2301" spans="1:36" x14ac:dyDescent="0.2">
      <c r="A2301" t="s">
        <v>59</v>
      </c>
      <c r="B2301" t="s">
        <v>54</v>
      </c>
      <c r="C2301">
        <v>348</v>
      </c>
      <c r="D2301" t="s">
        <v>7</v>
      </c>
      <c r="E2301" t="s">
        <v>8</v>
      </c>
      <c r="F2301" t="s">
        <v>9</v>
      </c>
      <c r="I2301">
        <v>2</v>
      </c>
      <c r="AB2301">
        <v>1</v>
      </c>
      <c r="AJ2301">
        <f>SUM(Post[[#This Row],[47]:[75]])</f>
        <v>3</v>
      </c>
    </row>
    <row r="2302" spans="1:36" x14ac:dyDescent="0.2">
      <c r="A2302" t="s">
        <v>59</v>
      </c>
      <c r="B2302" t="s">
        <v>54</v>
      </c>
      <c r="C2302">
        <v>777</v>
      </c>
      <c r="D2302" t="s">
        <v>7</v>
      </c>
      <c r="E2302" t="s">
        <v>14</v>
      </c>
      <c r="F2302" t="s">
        <v>35</v>
      </c>
      <c r="AC2302">
        <v>1</v>
      </c>
      <c r="AJ2302">
        <f>SUM(Post[[#This Row],[47]:[75]])</f>
        <v>1</v>
      </c>
    </row>
    <row r="2303" spans="1:36" x14ac:dyDescent="0.2">
      <c r="A2303" t="s">
        <v>59</v>
      </c>
      <c r="B2303" t="s">
        <v>54</v>
      </c>
      <c r="C2303">
        <v>1880</v>
      </c>
      <c r="D2303" t="s">
        <v>7</v>
      </c>
      <c r="E2303" t="s">
        <v>14</v>
      </c>
      <c r="F2303" t="s">
        <v>20</v>
      </c>
      <c r="R2303">
        <v>1</v>
      </c>
      <c r="AF2303">
        <v>1</v>
      </c>
      <c r="AJ2303">
        <f>SUM(Post[[#This Row],[47]:[75]])</f>
        <v>2</v>
      </c>
    </row>
    <row r="2304" spans="1:36" x14ac:dyDescent="0.2">
      <c r="A2304" t="s">
        <v>59</v>
      </c>
      <c r="B2304" t="s">
        <v>54</v>
      </c>
      <c r="C2304">
        <v>1896</v>
      </c>
      <c r="D2304" t="s">
        <v>7</v>
      </c>
      <c r="E2304" t="s">
        <v>40</v>
      </c>
      <c r="F2304" t="s">
        <v>41</v>
      </c>
      <c r="AI2304">
        <v>1</v>
      </c>
      <c r="AJ2304">
        <f>SUM(Post[[#This Row],[47]:[75]])</f>
        <v>1</v>
      </c>
    </row>
    <row r="2305" spans="1:36" x14ac:dyDescent="0.2">
      <c r="A2305" t="s">
        <v>59</v>
      </c>
      <c r="B2305" t="s">
        <v>54</v>
      </c>
      <c r="C2305">
        <v>1896</v>
      </c>
      <c r="D2305" t="s">
        <v>7</v>
      </c>
      <c r="E2305" t="s">
        <v>8</v>
      </c>
      <c r="F2305" t="s">
        <v>29</v>
      </c>
      <c r="H2305">
        <v>1</v>
      </c>
      <c r="J2305">
        <v>1</v>
      </c>
      <c r="O2305">
        <v>1</v>
      </c>
      <c r="Q2305">
        <v>1</v>
      </c>
      <c r="R2305">
        <v>1</v>
      </c>
      <c r="U2305">
        <v>1</v>
      </c>
      <c r="X2305">
        <v>1</v>
      </c>
      <c r="AE2305">
        <v>1</v>
      </c>
      <c r="AI2305">
        <v>1</v>
      </c>
      <c r="AJ2305">
        <f>SUM(Post[[#This Row],[47]:[75]])</f>
        <v>9</v>
      </c>
    </row>
    <row r="2306" spans="1:36" x14ac:dyDescent="0.2">
      <c r="A2306" t="s">
        <v>59</v>
      </c>
      <c r="B2306" t="s">
        <v>54</v>
      </c>
      <c r="C2306">
        <v>3449</v>
      </c>
      <c r="D2306" t="s">
        <v>7</v>
      </c>
      <c r="E2306" t="s">
        <v>14</v>
      </c>
      <c r="F2306" t="s">
        <v>35</v>
      </c>
      <c r="I2306">
        <v>1</v>
      </c>
      <c r="N2306">
        <v>1</v>
      </c>
      <c r="AA2306">
        <v>1</v>
      </c>
      <c r="AG2306">
        <v>1</v>
      </c>
      <c r="AJ2306">
        <f>SUM(Post[[#This Row],[47]:[75]])</f>
        <v>4</v>
      </c>
    </row>
    <row r="2307" spans="1:36" x14ac:dyDescent="0.2">
      <c r="A2307" t="s">
        <v>59</v>
      </c>
      <c r="B2307" t="s">
        <v>54</v>
      </c>
      <c r="C2307">
        <v>4566</v>
      </c>
      <c r="D2307" t="s">
        <v>7</v>
      </c>
      <c r="E2307" t="s">
        <v>32</v>
      </c>
      <c r="F2307" t="s">
        <v>33</v>
      </c>
      <c r="AJ2307">
        <f>SUM(Post[[#This Row],[47]:[75]])</f>
        <v>0</v>
      </c>
    </row>
    <row r="2308" spans="1:36" x14ac:dyDescent="0.2">
      <c r="A2308" t="s">
        <v>59</v>
      </c>
      <c r="B2308" t="s">
        <v>54</v>
      </c>
      <c r="C2308">
        <v>4566</v>
      </c>
      <c r="D2308" t="s">
        <v>7</v>
      </c>
      <c r="E2308" t="s">
        <v>17</v>
      </c>
      <c r="F2308" t="s">
        <v>18</v>
      </c>
      <c r="AJ2308">
        <f>SUM(Post[[#This Row],[47]:[75]])</f>
        <v>0</v>
      </c>
    </row>
    <row r="2309" spans="1:36" x14ac:dyDescent="0.2">
      <c r="A2309" t="s">
        <v>59</v>
      </c>
      <c r="B2309" t="s">
        <v>54</v>
      </c>
      <c r="C2309">
        <v>4566</v>
      </c>
      <c r="D2309" t="s">
        <v>7</v>
      </c>
      <c r="E2309" t="s">
        <v>14</v>
      </c>
      <c r="F2309" t="s">
        <v>35</v>
      </c>
      <c r="P2309">
        <v>1</v>
      </c>
      <c r="AJ2309">
        <f>SUM(Post[[#This Row],[47]:[75]])</f>
        <v>1</v>
      </c>
    </row>
    <row r="2310" spans="1:36" x14ac:dyDescent="0.2">
      <c r="A2310" t="s">
        <v>59</v>
      </c>
      <c r="B2310" t="s">
        <v>54</v>
      </c>
      <c r="C2310">
        <v>5513</v>
      </c>
      <c r="D2310" t="s">
        <v>7</v>
      </c>
      <c r="E2310" t="s">
        <v>8</v>
      </c>
      <c r="F2310" t="s">
        <v>9</v>
      </c>
      <c r="G2310">
        <v>3</v>
      </c>
      <c r="H2310">
        <v>3</v>
      </c>
      <c r="I2310">
        <v>3</v>
      </c>
      <c r="J2310">
        <v>3</v>
      </c>
      <c r="K2310">
        <v>3</v>
      </c>
      <c r="L2310">
        <v>3</v>
      </c>
      <c r="N2310">
        <v>3</v>
      </c>
      <c r="O2310">
        <v>3</v>
      </c>
      <c r="P2310">
        <v>3</v>
      </c>
      <c r="Q2310">
        <v>3</v>
      </c>
      <c r="R2310">
        <v>3</v>
      </c>
      <c r="S2310">
        <v>3</v>
      </c>
      <c r="T2310">
        <v>3</v>
      </c>
      <c r="U2310">
        <v>3</v>
      </c>
      <c r="V2310">
        <v>3</v>
      </c>
      <c r="W2310">
        <v>3</v>
      </c>
      <c r="X2310">
        <v>3</v>
      </c>
      <c r="Y2310">
        <v>3</v>
      </c>
      <c r="Z2310">
        <v>3</v>
      </c>
      <c r="AA2310">
        <v>3</v>
      </c>
      <c r="AB2310">
        <v>3</v>
      </c>
      <c r="AC2310">
        <v>3</v>
      </c>
      <c r="AD2310">
        <v>3</v>
      </c>
      <c r="AE2310">
        <v>3</v>
      </c>
      <c r="AF2310">
        <v>4</v>
      </c>
      <c r="AG2310">
        <v>5</v>
      </c>
      <c r="AH2310">
        <v>3</v>
      </c>
      <c r="AJ2310">
        <f>SUM(Post[[#This Row],[47]:[75]])</f>
        <v>84</v>
      </c>
    </row>
    <row r="2311" spans="1:36" x14ac:dyDescent="0.2">
      <c r="A2311" t="s">
        <v>59</v>
      </c>
      <c r="B2311" t="s">
        <v>54</v>
      </c>
      <c r="C2311">
        <v>5854</v>
      </c>
      <c r="D2311" t="s">
        <v>7</v>
      </c>
      <c r="E2311" t="s">
        <v>8</v>
      </c>
      <c r="F2311" t="s">
        <v>23</v>
      </c>
      <c r="G2311">
        <v>1</v>
      </c>
      <c r="I2311">
        <v>2</v>
      </c>
      <c r="N2311">
        <v>1</v>
      </c>
      <c r="P2311">
        <v>1</v>
      </c>
      <c r="R2311">
        <v>1</v>
      </c>
      <c r="T2311">
        <v>1</v>
      </c>
      <c r="U2311">
        <v>1</v>
      </c>
      <c r="X2311">
        <v>1</v>
      </c>
      <c r="Z2311">
        <v>1</v>
      </c>
      <c r="AB2311">
        <v>1</v>
      </c>
      <c r="AD2311">
        <v>2</v>
      </c>
      <c r="AI2311">
        <v>1</v>
      </c>
      <c r="AJ2311">
        <f>SUM(Post[[#This Row],[47]:[75]])</f>
        <v>14</v>
      </c>
    </row>
    <row r="2312" spans="1:36" x14ac:dyDescent="0.2">
      <c r="A2312" t="s">
        <v>59</v>
      </c>
      <c r="B2312" t="s">
        <v>54</v>
      </c>
      <c r="C2312">
        <v>5856</v>
      </c>
      <c r="D2312" t="s">
        <v>7</v>
      </c>
      <c r="E2312" t="s">
        <v>8</v>
      </c>
      <c r="F2312" t="s">
        <v>9</v>
      </c>
      <c r="G2312">
        <v>1</v>
      </c>
      <c r="U2312">
        <v>1</v>
      </c>
      <c r="V2312">
        <v>1</v>
      </c>
      <c r="AH2312">
        <v>1</v>
      </c>
      <c r="AJ2312">
        <f>SUM(Post[[#This Row],[47]:[75]])</f>
        <v>4</v>
      </c>
    </row>
    <row r="2313" spans="1:36" x14ac:dyDescent="0.2">
      <c r="A2313" t="s">
        <v>59</v>
      </c>
      <c r="B2313" t="s">
        <v>54</v>
      </c>
      <c r="C2313">
        <v>7370</v>
      </c>
      <c r="D2313" t="s">
        <v>7</v>
      </c>
      <c r="E2313" t="s">
        <v>8</v>
      </c>
      <c r="F2313" t="s">
        <v>9</v>
      </c>
      <c r="AJ2313">
        <f>SUM(Post[[#This Row],[47]:[75]])</f>
        <v>0</v>
      </c>
    </row>
    <row r="2314" spans="1:36" x14ac:dyDescent="0.2">
      <c r="A2314" t="s">
        <v>59</v>
      </c>
      <c r="B2314" t="s">
        <v>54</v>
      </c>
      <c r="C2314">
        <v>7461</v>
      </c>
      <c r="D2314" t="s">
        <v>7</v>
      </c>
      <c r="E2314" t="s">
        <v>8</v>
      </c>
      <c r="F2314" t="s">
        <v>9</v>
      </c>
      <c r="Q2314">
        <v>1</v>
      </c>
      <c r="AD2314">
        <v>1</v>
      </c>
      <c r="AJ2314">
        <f>SUM(Post[[#This Row],[47]:[75]])</f>
        <v>2</v>
      </c>
    </row>
    <row r="2315" spans="1:36" x14ac:dyDescent="0.2">
      <c r="A2315" t="s">
        <v>59</v>
      </c>
      <c r="B2315" t="s">
        <v>54</v>
      </c>
      <c r="C2315">
        <v>7684</v>
      </c>
      <c r="D2315" t="s">
        <v>7</v>
      </c>
      <c r="E2315" t="s">
        <v>8</v>
      </c>
      <c r="F2315" t="s">
        <v>23</v>
      </c>
      <c r="I2315">
        <v>1</v>
      </c>
      <c r="K2315">
        <v>1</v>
      </c>
      <c r="O2315">
        <v>1</v>
      </c>
      <c r="R2315">
        <v>1</v>
      </c>
      <c r="U2315">
        <v>1</v>
      </c>
      <c r="X2315">
        <v>1</v>
      </c>
      <c r="AB2315">
        <v>1</v>
      </c>
      <c r="AE2315">
        <v>1</v>
      </c>
      <c r="AJ2315">
        <f>SUM(Post[[#This Row],[47]:[75]])</f>
        <v>8</v>
      </c>
    </row>
    <row r="2316" spans="1:36" x14ac:dyDescent="0.2">
      <c r="A2316" t="s">
        <v>59</v>
      </c>
      <c r="B2316" t="s">
        <v>54</v>
      </c>
      <c r="C2316">
        <v>7811</v>
      </c>
      <c r="D2316" t="s">
        <v>7</v>
      </c>
      <c r="E2316" t="s">
        <v>8</v>
      </c>
      <c r="F2316" t="s">
        <v>9</v>
      </c>
      <c r="P2316">
        <v>1</v>
      </c>
      <c r="AG2316">
        <v>1</v>
      </c>
      <c r="AJ2316">
        <f>SUM(Post[[#This Row],[47]:[75]])</f>
        <v>2</v>
      </c>
    </row>
    <row r="2317" spans="1:36" x14ac:dyDescent="0.2">
      <c r="A2317" t="s">
        <v>59</v>
      </c>
      <c r="B2317" t="s">
        <v>54</v>
      </c>
      <c r="C2317">
        <v>8554</v>
      </c>
      <c r="D2317" t="s">
        <v>7</v>
      </c>
      <c r="E2317" t="s">
        <v>14</v>
      </c>
      <c r="F2317" t="s">
        <v>20</v>
      </c>
      <c r="J2317">
        <v>1</v>
      </c>
      <c r="O2317">
        <v>1</v>
      </c>
      <c r="S2317">
        <v>1</v>
      </c>
      <c r="W2317">
        <v>1</v>
      </c>
      <c r="Z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2</v>
      </c>
      <c r="AJ2317">
        <f>SUM(Post[[#This Row],[47]:[75]])</f>
        <v>12</v>
      </c>
    </row>
    <row r="2318" spans="1:36" x14ac:dyDescent="0.2">
      <c r="A2318" t="s">
        <v>59</v>
      </c>
      <c r="B2318" t="s">
        <v>54</v>
      </c>
      <c r="C2318">
        <v>8973</v>
      </c>
      <c r="D2318" t="s">
        <v>7</v>
      </c>
      <c r="E2318" t="s">
        <v>8</v>
      </c>
      <c r="F2318" t="s">
        <v>9</v>
      </c>
      <c r="AC2318">
        <v>1</v>
      </c>
      <c r="AD2318">
        <v>1</v>
      </c>
      <c r="AJ2318">
        <f>SUM(Post[[#This Row],[47]:[75]])</f>
        <v>2</v>
      </c>
    </row>
    <row r="2319" spans="1:36" x14ac:dyDescent="0.2">
      <c r="A2319" t="s">
        <v>59</v>
      </c>
      <c r="B2319" t="s">
        <v>54</v>
      </c>
      <c r="C2319">
        <v>10294</v>
      </c>
      <c r="D2319" t="s">
        <v>7</v>
      </c>
      <c r="E2319" t="s">
        <v>8</v>
      </c>
      <c r="F2319" t="s">
        <v>9</v>
      </c>
      <c r="T2319">
        <v>2</v>
      </c>
      <c r="AJ2319">
        <f>SUM(Post[[#This Row],[47]:[75]])</f>
        <v>2</v>
      </c>
    </row>
    <row r="2320" spans="1:36" x14ac:dyDescent="0.2">
      <c r="A2320" t="s">
        <v>59</v>
      </c>
      <c r="B2320" t="s">
        <v>54</v>
      </c>
      <c r="C2320">
        <v>11156</v>
      </c>
      <c r="D2320" t="s">
        <v>7</v>
      </c>
      <c r="E2320" t="s">
        <v>14</v>
      </c>
      <c r="F2320" t="s">
        <v>20</v>
      </c>
      <c r="R2320">
        <v>1</v>
      </c>
      <c r="AG2320">
        <v>1</v>
      </c>
      <c r="AJ2320">
        <f>SUM(Post[[#This Row],[47]:[75]])</f>
        <v>2</v>
      </c>
    </row>
    <row r="2321" spans="1:36" x14ac:dyDescent="0.2">
      <c r="A2321" t="s">
        <v>59</v>
      </c>
      <c r="B2321" t="s">
        <v>54</v>
      </c>
      <c r="C2321">
        <v>11897</v>
      </c>
      <c r="D2321" t="s">
        <v>7</v>
      </c>
      <c r="E2321" t="s">
        <v>14</v>
      </c>
      <c r="F2321" t="s">
        <v>35</v>
      </c>
      <c r="AJ2321">
        <f>SUM(Post[[#This Row],[47]:[75]])</f>
        <v>0</v>
      </c>
    </row>
    <row r="2322" spans="1:36" x14ac:dyDescent="0.2">
      <c r="A2322" t="s">
        <v>59</v>
      </c>
      <c r="B2322" t="s">
        <v>54</v>
      </c>
      <c r="C2322">
        <v>12254</v>
      </c>
      <c r="D2322" t="s">
        <v>7</v>
      </c>
      <c r="E2322" t="s">
        <v>14</v>
      </c>
      <c r="F2322" t="s">
        <v>19</v>
      </c>
      <c r="AJ2322">
        <f>SUM(Post[[#This Row],[47]:[75]])</f>
        <v>0</v>
      </c>
    </row>
    <row r="2323" spans="1:36" x14ac:dyDescent="0.2">
      <c r="A2323" t="s">
        <v>59</v>
      </c>
      <c r="B2323" t="s">
        <v>54</v>
      </c>
      <c r="C2323">
        <v>12448</v>
      </c>
      <c r="D2323" t="s">
        <v>7</v>
      </c>
      <c r="E2323" t="s">
        <v>40</v>
      </c>
      <c r="F2323" t="s">
        <v>41</v>
      </c>
      <c r="AJ2323">
        <f>SUM(Post[[#This Row],[47]:[75]])</f>
        <v>0</v>
      </c>
    </row>
    <row r="2324" spans="1:36" x14ac:dyDescent="0.2">
      <c r="A2324" t="s">
        <v>59</v>
      </c>
      <c r="B2324" t="s">
        <v>54</v>
      </c>
      <c r="C2324">
        <v>12540</v>
      </c>
      <c r="D2324" t="s">
        <v>7</v>
      </c>
      <c r="E2324" t="s">
        <v>14</v>
      </c>
      <c r="F2324" t="s">
        <v>35</v>
      </c>
      <c r="AJ2324">
        <f>SUM(Post[[#This Row],[47]:[75]])</f>
        <v>0</v>
      </c>
    </row>
    <row r="2325" spans="1:36" x14ac:dyDescent="0.2">
      <c r="A2325" t="s">
        <v>59</v>
      </c>
      <c r="B2325" t="s">
        <v>54</v>
      </c>
      <c r="C2325">
        <v>12578</v>
      </c>
      <c r="D2325" t="s">
        <v>7</v>
      </c>
      <c r="E2325" t="s">
        <v>14</v>
      </c>
      <c r="F2325" t="s">
        <v>20</v>
      </c>
      <c r="G2325">
        <v>1</v>
      </c>
      <c r="P2325">
        <v>1</v>
      </c>
      <c r="AD2325">
        <v>1</v>
      </c>
      <c r="AJ2325">
        <f>SUM(Post[[#This Row],[47]:[75]])</f>
        <v>3</v>
      </c>
    </row>
    <row r="2326" spans="1:36" x14ac:dyDescent="0.2">
      <c r="A2326" t="s">
        <v>59</v>
      </c>
      <c r="B2326" t="s">
        <v>54</v>
      </c>
      <c r="C2326">
        <v>13008</v>
      </c>
      <c r="D2326" t="s">
        <v>7</v>
      </c>
      <c r="E2326" t="s">
        <v>8</v>
      </c>
      <c r="F2326" t="s">
        <v>23</v>
      </c>
      <c r="J2326">
        <v>1</v>
      </c>
      <c r="Y2326">
        <v>3</v>
      </c>
      <c r="AJ2326">
        <f>SUM(Post[[#This Row],[47]:[75]])</f>
        <v>4</v>
      </c>
    </row>
    <row r="2327" spans="1:36" x14ac:dyDescent="0.2">
      <c r="A2327" t="s">
        <v>59</v>
      </c>
      <c r="B2327" t="s">
        <v>54</v>
      </c>
      <c r="C2327">
        <v>13522</v>
      </c>
      <c r="D2327" t="s">
        <v>7</v>
      </c>
      <c r="E2327" t="s">
        <v>8</v>
      </c>
      <c r="F2327" t="s">
        <v>9</v>
      </c>
      <c r="H2327">
        <v>2</v>
      </c>
      <c r="X2327">
        <v>1</v>
      </c>
      <c r="AJ2327">
        <f>SUM(Post[[#This Row],[47]:[75]])</f>
        <v>3</v>
      </c>
    </row>
    <row r="2328" spans="1:36" x14ac:dyDescent="0.2">
      <c r="A2328" t="s">
        <v>59</v>
      </c>
      <c r="B2328" t="s">
        <v>54</v>
      </c>
      <c r="C2328">
        <v>13704</v>
      </c>
      <c r="D2328" t="s">
        <v>7</v>
      </c>
      <c r="E2328" t="s">
        <v>10</v>
      </c>
      <c r="F2328" t="s">
        <v>11</v>
      </c>
      <c r="G2328">
        <v>1</v>
      </c>
      <c r="S2328">
        <v>1</v>
      </c>
      <c r="AC2328">
        <v>1</v>
      </c>
      <c r="AJ2328">
        <f>SUM(Post[[#This Row],[47]:[75]])</f>
        <v>3</v>
      </c>
    </row>
    <row r="2329" spans="1:36" x14ac:dyDescent="0.2">
      <c r="A2329" t="s">
        <v>59</v>
      </c>
      <c r="B2329" t="s">
        <v>54</v>
      </c>
      <c r="C2329">
        <v>13860</v>
      </c>
      <c r="D2329" t="s">
        <v>7</v>
      </c>
      <c r="E2329" t="s">
        <v>14</v>
      </c>
      <c r="F2329" t="s">
        <v>19</v>
      </c>
      <c r="H2329">
        <v>1</v>
      </c>
      <c r="K2329">
        <v>1</v>
      </c>
      <c r="Q2329">
        <v>1</v>
      </c>
      <c r="W2329">
        <v>1</v>
      </c>
      <c r="AJ2329">
        <f>SUM(Post[[#This Row],[47]:[75]])</f>
        <v>4</v>
      </c>
    </row>
    <row r="2330" spans="1:36" x14ac:dyDescent="0.2">
      <c r="A2330" t="s">
        <v>59</v>
      </c>
      <c r="B2330" t="s">
        <v>54</v>
      </c>
      <c r="C2330">
        <v>13960</v>
      </c>
      <c r="D2330" t="s">
        <v>7</v>
      </c>
      <c r="E2330" t="s">
        <v>40</v>
      </c>
      <c r="F2330" t="s">
        <v>41</v>
      </c>
      <c r="AJ2330">
        <f>SUM(Post[[#This Row],[47]:[75]])</f>
        <v>0</v>
      </c>
    </row>
    <row r="2331" spans="1:36" x14ac:dyDescent="0.2">
      <c r="A2331" t="s">
        <v>59</v>
      </c>
      <c r="B2331" t="s">
        <v>54</v>
      </c>
      <c r="C2331">
        <v>13960</v>
      </c>
      <c r="D2331" t="s">
        <v>7</v>
      </c>
      <c r="E2331" t="s">
        <v>32</v>
      </c>
      <c r="F2331" t="s">
        <v>33</v>
      </c>
      <c r="AJ2331">
        <f>SUM(Post[[#This Row],[47]:[75]])</f>
        <v>0</v>
      </c>
    </row>
    <row r="2332" spans="1:36" x14ac:dyDescent="0.2">
      <c r="A2332" t="s">
        <v>59</v>
      </c>
      <c r="B2332" t="s">
        <v>54</v>
      </c>
      <c r="C2332">
        <v>14183</v>
      </c>
      <c r="D2332" t="s">
        <v>7</v>
      </c>
      <c r="E2332" t="s">
        <v>8</v>
      </c>
      <c r="F2332" t="s">
        <v>9</v>
      </c>
      <c r="I2332">
        <v>1</v>
      </c>
      <c r="K2332">
        <v>1</v>
      </c>
      <c r="O2332">
        <v>1</v>
      </c>
      <c r="R2332">
        <v>1</v>
      </c>
      <c r="U2332">
        <v>1</v>
      </c>
      <c r="X2332">
        <v>1</v>
      </c>
      <c r="AA2332">
        <v>1</v>
      </c>
      <c r="AD2332">
        <v>1</v>
      </c>
      <c r="AH2332">
        <v>2</v>
      </c>
      <c r="AJ2332">
        <f>SUM(Post[[#This Row],[47]:[75]])</f>
        <v>10</v>
      </c>
    </row>
    <row r="2333" spans="1:36" x14ac:dyDescent="0.2">
      <c r="A2333" t="s">
        <v>59</v>
      </c>
      <c r="B2333" t="s">
        <v>54</v>
      </c>
      <c r="C2333">
        <v>14691</v>
      </c>
      <c r="D2333" t="s">
        <v>7</v>
      </c>
      <c r="E2333" t="s">
        <v>14</v>
      </c>
      <c r="F2333" t="s">
        <v>35</v>
      </c>
      <c r="I2333">
        <v>1</v>
      </c>
      <c r="J2333">
        <v>1</v>
      </c>
      <c r="O2333">
        <v>1</v>
      </c>
      <c r="AJ2333">
        <f>SUM(Post[[#This Row],[47]:[75]])</f>
        <v>3</v>
      </c>
    </row>
    <row r="2334" spans="1:36" x14ac:dyDescent="0.2">
      <c r="A2334" t="s">
        <v>59</v>
      </c>
      <c r="B2334" t="s">
        <v>54</v>
      </c>
      <c r="C2334">
        <v>14908</v>
      </c>
      <c r="D2334" t="s">
        <v>7</v>
      </c>
      <c r="E2334" t="s">
        <v>8</v>
      </c>
      <c r="F2334" t="s">
        <v>9</v>
      </c>
      <c r="H2334">
        <v>1</v>
      </c>
      <c r="L2334">
        <v>1</v>
      </c>
      <c r="Q2334">
        <v>1</v>
      </c>
      <c r="U2334">
        <v>1</v>
      </c>
      <c r="Y2334">
        <v>1</v>
      </c>
      <c r="AC2334">
        <v>1</v>
      </c>
      <c r="AG2334">
        <v>2</v>
      </c>
      <c r="AJ2334">
        <f>SUM(Post[[#This Row],[47]:[75]])</f>
        <v>8</v>
      </c>
    </row>
    <row r="2335" spans="1:36" x14ac:dyDescent="0.2">
      <c r="A2335" t="s">
        <v>59</v>
      </c>
      <c r="B2335" t="s">
        <v>54</v>
      </c>
      <c r="C2335">
        <v>15965</v>
      </c>
      <c r="D2335" t="s">
        <v>7</v>
      </c>
      <c r="E2335" t="s">
        <v>14</v>
      </c>
      <c r="F2335" t="s">
        <v>35</v>
      </c>
      <c r="AJ2335">
        <f>SUM(Post[[#This Row],[47]:[75]])</f>
        <v>0</v>
      </c>
    </row>
    <row r="2336" spans="1:36" x14ac:dyDescent="0.2">
      <c r="A2336" t="s">
        <v>59</v>
      </c>
      <c r="B2336" t="s">
        <v>54</v>
      </c>
      <c r="C2336">
        <v>16984</v>
      </c>
      <c r="D2336" t="s">
        <v>7</v>
      </c>
      <c r="E2336" t="s">
        <v>14</v>
      </c>
      <c r="F2336" t="s">
        <v>21</v>
      </c>
      <c r="X2336">
        <v>5</v>
      </c>
      <c r="AJ2336">
        <f>SUM(Post[[#This Row],[47]:[75]])</f>
        <v>5</v>
      </c>
    </row>
    <row r="2337" spans="1:36" x14ac:dyDescent="0.2">
      <c r="A2337" t="s">
        <v>59</v>
      </c>
      <c r="B2337" t="s">
        <v>54</v>
      </c>
      <c r="C2337">
        <v>17520</v>
      </c>
      <c r="D2337" t="s">
        <v>7</v>
      </c>
      <c r="E2337" t="s">
        <v>14</v>
      </c>
      <c r="F2337" t="s">
        <v>35</v>
      </c>
      <c r="AJ2337">
        <f>SUM(Post[[#This Row],[47]:[75]])</f>
        <v>0</v>
      </c>
    </row>
    <row r="2338" spans="1:36" x14ac:dyDescent="0.2">
      <c r="A2338" t="s">
        <v>59</v>
      </c>
      <c r="B2338" t="s">
        <v>54</v>
      </c>
      <c r="C2338">
        <v>17520</v>
      </c>
      <c r="D2338" t="s">
        <v>7</v>
      </c>
      <c r="E2338" t="s">
        <v>14</v>
      </c>
      <c r="F2338" t="s">
        <v>19</v>
      </c>
      <c r="AG2338">
        <v>1</v>
      </c>
      <c r="AJ2338">
        <f>SUM(Post[[#This Row],[47]:[75]])</f>
        <v>1</v>
      </c>
    </row>
    <row r="2339" spans="1:36" x14ac:dyDescent="0.2">
      <c r="A2339" t="s">
        <v>59</v>
      </c>
      <c r="B2339" t="s">
        <v>54</v>
      </c>
      <c r="C2339">
        <v>18295</v>
      </c>
      <c r="D2339" t="s">
        <v>7</v>
      </c>
      <c r="E2339" t="s">
        <v>8</v>
      </c>
      <c r="F2339" t="s">
        <v>9</v>
      </c>
      <c r="O2339">
        <v>1</v>
      </c>
      <c r="AB2339">
        <v>1</v>
      </c>
      <c r="AJ2339">
        <f>SUM(Post[[#This Row],[47]:[75]])</f>
        <v>2</v>
      </c>
    </row>
    <row r="2340" spans="1:36" x14ac:dyDescent="0.2">
      <c r="A2340" t="s">
        <v>59</v>
      </c>
      <c r="B2340" t="s">
        <v>54</v>
      </c>
      <c r="C2340">
        <v>18884</v>
      </c>
      <c r="D2340" t="s">
        <v>7</v>
      </c>
      <c r="E2340" t="s">
        <v>14</v>
      </c>
      <c r="F2340" t="s">
        <v>35</v>
      </c>
      <c r="AJ2340">
        <f>SUM(Post[[#This Row],[47]:[75]])</f>
        <v>0</v>
      </c>
    </row>
    <row r="2341" spans="1:36" x14ac:dyDescent="0.2">
      <c r="A2341" t="s">
        <v>59</v>
      </c>
      <c r="B2341" t="s">
        <v>54</v>
      </c>
      <c r="C2341">
        <v>18884</v>
      </c>
      <c r="D2341" t="s">
        <v>7</v>
      </c>
      <c r="E2341" t="s">
        <v>14</v>
      </c>
      <c r="F2341" t="s">
        <v>19</v>
      </c>
      <c r="Z2341">
        <v>1</v>
      </c>
      <c r="AJ2341">
        <f>SUM(Post[[#This Row],[47]:[75]])</f>
        <v>1</v>
      </c>
    </row>
    <row r="2342" spans="1:36" x14ac:dyDescent="0.2">
      <c r="A2342" t="s">
        <v>59</v>
      </c>
      <c r="B2342" t="s">
        <v>54</v>
      </c>
      <c r="C2342">
        <v>18962</v>
      </c>
      <c r="D2342" t="s">
        <v>7</v>
      </c>
      <c r="E2342" t="s">
        <v>14</v>
      </c>
      <c r="F2342" t="s">
        <v>35</v>
      </c>
      <c r="J2342">
        <v>1</v>
      </c>
      <c r="O2342">
        <v>1</v>
      </c>
      <c r="R2342">
        <v>1</v>
      </c>
      <c r="AJ2342">
        <f>SUM(Post[[#This Row],[47]:[75]])</f>
        <v>3</v>
      </c>
    </row>
    <row r="2343" spans="1:36" x14ac:dyDescent="0.2">
      <c r="A2343" t="s">
        <v>59</v>
      </c>
      <c r="B2343" t="s">
        <v>54</v>
      </c>
      <c r="C2343">
        <v>21214</v>
      </c>
      <c r="D2343" t="s">
        <v>7</v>
      </c>
      <c r="E2343" t="s">
        <v>14</v>
      </c>
      <c r="F2343" t="s">
        <v>20</v>
      </c>
      <c r="I2343">
        <v>1</v>
      </c>
      <c r="O2343">
        <v>1</v>
      </c>
      <c r="S2343">
        <v>1</v>
      </c>
      <c r="X2343">
        <v>1</v>
      </c>
      <c r="AA2343">
        <v>1</v>
      </c>
      <c r="AD2343">
        <v>1</v>
      </c>
      <c r="AG2343">
        <v>1</v>
      </c>
      <c r="AJ2343">
        <f>SUM(Post[[#This Row],[47]:[75]])</f>
        <v>7</v>
      </c>
    </row>
    <row r="2344" spans="1:36" x14ac:dyDescent="0.2">
      <c r="A2344" t="s">
        <v>59</v>
      </c>
      <c r="B2344" t="s">
        <v>54</v>
      </c>
      <c r="C2344">
        <v>21303</v>
      </c>
      <c r="D2344" t="s">
        <v>7</v>
      </c>
      <c r="E2344" t="s">
        <v>14</v>
      </c>
      <c r="F2344" t="s">
        <v>35</v>
      </c>
      <c r="W2344">
        <v>2</v>
      </c>
      <c r="AJ2344">
        <f>SUM(Post[[#This Row],[47]:[75]])</f>
        <v>2</v>
      </c>
    </row>
    <row r="2345" spans="1:36" x14ac:dyDescent="0.2">
      <c r="A2345" t="s">
        <v>59</v>
      </c>
      <c r="B2345" t="s">
        <v>54</v>
      </c>
      <c r="C2345">
        <v>22011</v>
      </c>
      <c r="D2345" t="s">
        <v>7</v>
      </c>
      <c r="E2345" t="s">
        <v>14</v>
      </c>
      <c r="F2345" t="s">
        <v>15</v>
      </c>
      <c r="I2345">
        <v>1</v>
      </c>
      <c r="K2345">
        <v>1</v>
      </c>
      <c r="W2345">
        <v>1</v>
      </c>
      <c r="AH2345">
        <v>1</v>
      </c>
      <c r="AJ2345">
        <f>SUM(Post[[#This Row],[47]:[75]])</f>
        <v>4</v>
      </c>
    </row>
    <row r="2346" spans="1:36" x14ac:dyDescent="0.2">
      <c r="A2346" t="s">
        <v>59</v>
      </c>
      <c r="B2346" t="s">
        <v>54</v>
      </c>
      <c r="C2346">
        <v>25831</v>
      </c>
      <c r="D2346" t="s">
        <v>7</v>
      </c>
      <c r="E2346" t="s">
        <v>10</v>
      </c>
      <c r="F2346" t="s">
        <v>11</v>
      </c>
      <c r="AJ2346">
        <f>SUM(Post[[#This Row],[47]:[75]])</f>
        <v>0</v>
      </c>
    </row>
    <row r="2347" spans="1:36" x14ac:dyDescent="0.2">
      <c r="A2347" t="s">
        <v>59</v>
      </c>
      <c r="B2347" t="s">
        <v>54</v>
      </c>
      <c r="C2347">
        <v>31685</v>
      </c>
      <c r="D2347" t="s">
        <v>7</v>
      </c>
      <c r="E2347" t="s">
        <v>40</v>
      </c>
      <c r="F2347" t="s">
        <v>44</v>
      </c>
      <c r="S2347">
        <v>1</v>
      </c>
      <c r="AJ2347">
        <f>SUM(Post[[#This Row],[47]:[75]])</f>
        <v>1</v>
      </c>
    </row>
    <row r="2348" spans="1:36" x14ac:dyDescent="0.2">
      <c r="A2348" t="s">
        <v>59</v>
      </c>
      <c r="B2348" t="s">
        <v>54</v>
      </c>
      <c r="C2348">
        <v>31685</v>
      </c>
      <c r="D2348" t="s">
        <v>7</v>
      </c>
      <c r="E2348" t="s">
        <v>8</v>
      </c>
      <c r="F2348" t="s">
        <v>9</v>
      </c>
      <c r="H2348">
        <v>1</v>
      </c>
      <c r="W2348">
        <v>1</v>
      </c>
      <c r="AH2348">
        <v>1</v>
      </c>
      <c r="AJ2348">
        <f>SUM(Post[[#This Row],[47]:[75]])</f>
        <v>3</v>
      </c>
    </row>
    <row r="2349" spans="1:36" x14ac:dyDescent="0.2">
      <c r="A2349" t="s">
        <v>59</v>
      </c>
      <c r="B2349" t="s">
        <v>54</v>
      </c>
      <c r="C2349">
        <v>31685</v>
      </c>
      <c r="D2349" t="s">
        <v>7</v>
      </c>
      <c r="E2349" t="s">
        <v>14</v>
      </c>
      <c r="F2349" t="s">
        <v>31</v>
      </c>
      <c r="J2349">
        <v>1</v>
      </c>
      <c r="Z2349">
        <v>1</v>
      </c>
      <c r="AJ2349">
        <f>SUM(Post[[#This Row],[47]:[75]])</f>
        <v>2</v>
      </c>
    </row>
    <row r="2350" spans="1:36" x14ac:dyDescent="0.2">
      <c r="A2350" t="s">
        <v>59</v>
      </c>
      <c r="B2350" t="s">
        <v>54</v>
      </c>
      <c r="C2350">
        <v>31800</v>
      </c>
      <c r="D2350" t="s">
        <v>7</v>
      </c>
      <c r="E2350" t="s">
        <v>12</v>
      </c>
      <c r="F2350" t="s">
        <v>13</v>
      </c>
      <c r="AJ2350">
        <f>SUM(Post[[#This Row],[47]:[75]])</f>
        <v>0</v>
      </c>
    </row>
    <row r="2351" spans="1:36" x14ac:dyDescent="0.2">
      <c r="A2351" t="s">
        <v>59</v>
      </c>
      <c r="B2351" t="s">
        <v>54</v>
      </c>
      <c r="C2351">
        <v>393</v>
      </c>
      <c r="D2351" t="s">
        <v>22</v>
      </c>
      <c r="E2351" t="s">
        <v>14</v>
      </c>
      <c r="F2351" t="s">
        <v>20</v>
      </c>
      <c r="AJ2351">
        <f>SUM(Post[[#This Row],[47]:[75]])</f>
        <v>0</v>
      </c>
    </row>
    <row r="2352" spans="1:36" x14ac:dyDescent="0.2">
      <c r="A2352" t="s">
        <v>59</v>
      </c>
      <c r="B2352" t="s">
        <v>54</v>
      </c>
      <c r="C2352">
        <v>1355</v>
      </c>
      <c r="D2352" t="s">
        <v>22</v>
      </c>
      <c r="E2352" t="s">
        <v>40</v>
      </c>
      <c r="F2352" t="s">
        <v>44</v>
      </c>
      <c r="X2352">
        <v>2</v>
      </c>
      <c r="AJ2352">
        <f>SUM(Post[[#This Row],[47]:[75]])</f>
        <v>2</v>
      </c>
    </row>
    <row r="2353" spans="1:36" x14ac:dyDescent="0.2">
      <c r="A2353" t="s">
        <v>59</v>
      </c>
      <c r="B2353" t="s">
        <v>54</v>
      </c>
      <c r="C2353">
        <v>1355</v>
      </c>
      <c r="D2353" t="s">
        <v>22</v>
      </c>
      <c r="E2353" t="s">
        <v>14</v>
      </c>
      <c r="F2353" t="s">
        <v>20</v>
      </c>
      <c r="I2353">
        <v>1</v>
      </c>
      <c r="N2353">
        <v>1</v>
      </c>
      <c r="R2353">
        <v>1</v>
      </c>
      <c r="V2353">
        <v>1</v>
      </c>
      <c r="Z2353">
        <v>1</v>
      </c>
      <c r="AD2353">
        <v>1</v>
      </c>
      <c r="AH2353">
        <v>1</v>
      </c>
      <c r="AJ2353">
        <f>SUM(Post[[#This Row],[47]:[75]])</f>
        <v>7</v>
      </c>
    </row>
    <row r="2354" spans="1:36" x14ac:dyDescent="0.2">
      <c r="A2354" t="s">
        <v>59</v>
      </c>
      <c r="B2354" t="s">
        <v>54</v>
      </c>
      <c r="C2354">
        <v>3014</v>
      </c>
      <c r="D2354" t="s">
        <v>22</v>
      </c>
      <c r="E2354" t="s">
        <v>8</v>
      </c>
      <c r="F2354" t="s">
        <v>23</v>
      </c>
      <c r="G2354">
        <v>1</v>
      </c>
      <c r="I2354">
        <v>1</v>
      </c>
      <c r="K2354">
        <v>1</v>
      </c>
      <c r="N2354">
        <v>1</v>
      </c>
      <c r="P2354">
        <v>1</v>
      </c>
      <c r="R2354">
        <v>1</v>
      </c>
      <c r="T2354">
        <v>1</v>
      </c>
      <c r="V2354">
        <v>1</v>
      </c>
      <c r="W2354">
        <v>1</v>
      </c>
      <c r="Y2354">
        <v>1</v>
      </c>
      <c r="AA2354">
        <v>1</v>
      </c>
      <c r="AB2354">
        <v>1</v>
      </c>
      <c r="AC2354">
        <v>1</v>
      </c>
      <c r="AE2354">
        <v>1</v>
      </c>
      <c r="AG2354">
        <v>1</v>
      </c>
      <c r="AJ2354">
        <f>SUM(Post[[#This Row],[47]:[75]])</f>
        <v>15</v>
      </c>
    </row>
    <row r="2355" spans="1:36" x14ac:dyDescent="0.2">
      <c r="A2355" t="s">
        <v>59</v>
      </c>
      <c r="B2355" t="s">
        <v>54</v>
      </c>
      <c r="C2355">
        <v>3208</v>
      </c>
      <c r="D2355" t="s">
        <v>22</v>
      </c>
      <c r="E2355" t="s">
        <v>14</v>
      </c>
      <c r="F2355" t="s">
        <v>21</v>
      </c>
      <c r="AJ2355">
        <f>SUM(Post[[#This Row],[47]:[75]])</f>
        <v>0</v>
      </c>
    </row>
    <row r="2356" spans="1:36" x14ac:dyDescent="0.2">
      <c r="A2356" t="s">
        <v>59</v>
      </c>
      <c r="B2356" t="s">
        <v>54</v>
      </c>
      <c r="C2356">
        <v>6073</v>
      </c>
      <c r="D2356" t="s">
        <v>22</v>
      </c>
      <c r="E2356" t="s">
        <v>8</v>
      </c>
      <c r="F2356" t="s">
        <v>23</v>
      </c>
      <c r="U2356">
        <v>1</v>
      </c>
      <c r="AG2356">
        <v>1</v>
      </c>
      <c r="AJ2356">
        <f>SUM(Post[[#This Row],[47]:[75]])</f>
        <v>2</v>
      </c>
    </row>
    <row r="2357" spans="1:36" x14ac:dyDescent="0.2">
      <c r="A2357" t="s">
        <v>59</v>
      </c>
      <c r="B2357" t="s">
        <v>54</v>
      </c>
      <c r="C2357">
        <v>7513</v>
      </c>
      <c r="D2357" t="s">
        <v>22</v>
      </c>
      <c r="E2357" t="s">
        <v>8</v>
      </c>
      <c r="F2357" t="s">
        <v>9</v>
      </c>
      <c r="Y2357">
        <v>1</v>
      </c>
      <c r="AJ2357">
        <f>SUM(Post[[#This Row],[47]:[75]])</f>
        <v>1</v>
      </c>
    </row>
    <row r="2358" spans="1:36" x14ac:dyDescent="0.2">
      <c r="A2358" t="s">
        <v>59</v>
      </c>
      <c r="B2358" t="s">
        <v>54</v>
      </c>
      <c r="C2358">
        <v>7835</v>
      </c>
      <c r="D2358" t="s">
        <v>22</v>
      </c>
      <c r="E2358" t="s">
        <v>8</v>
      </c>
      <c r="F2358" t="s">
        <v>9</v>
      </c>
      <c r="V2358">
        <v>1</v>
      </c>
      <c r="Z2358">
        <v>1</v>
      </c>
      <c r="AD2358">
        <v>1</v>
      </c>
      <c r="AI2358">
        <v>1</v>
      </c>
      <c r="AJ2358">
        <f>SUM(Post[[#This Row],[47]:[75]])</f>
        <v>4</v>
      </c>
    </row>
    <row r="2359" spans="1:36" x14ac:dyDescent="0.2">
      <c r="A2359" t="s">
        <v>59</v>
      </c>
      <c r="B2359" t="s">
        <v>54</v>
      </c>
      <c r="C2359">
        <v>7835</v>
      </c>
      <c r="D2359" t="s">
        <v>22</v>
      </c>
      <c r="E2359" t="s">
        <v>14</v>
      </c>
      <c r="F2359" t="s">
        <v>35</v>
      </c>
      <c r="AJ2359">
        <f>SUM(Post[[#This Row],[47]:[75]])</f>
        <v>0</v>
      </c>
    </row>
    <row r="2360" spans="1:36" x14ac:dyDescent="0.2">
      <c r="A2360" t="s">
        <v>59</v>
      </c>
      <c r="B2360" t="s">
        <v>54</v>
      </c>
      <c r="C2360">
        <v>8307</v>
      </c>
      <c r="D2360" t="s">
        <v>22</v>
      </c>
      <c r="E2360" t="s">
        <v>8</v>
      </c>
      <c r="F2360" t="s">
        <v>9</v>
      </c>
      <c r="P2360">
        <v>1</v>
      </c>
      <c r="AJ2360">
        <f>SUM(Post[[#This Row],[47]:[75]])</f>
        <v>1</v>
      </c>
    </row>
    <row r="2361" spans="1:36" x14ac:dyDescent="0.2">
      <c r="A2361" t="s">
        <v>59</v>
      </c>
      <c r="B2361" t="s">
        <v>54</v>
      </c>
      <c r="C2361">
        <v>8544</v>
      </c>
      <c r="D2361" t="s">
        <v>22</v>
      </c>
      <c r="E2361" t="s">
        <v>8</v>
      </c>
      <c r="F2361" t="s">
        <v>9</v>
      </c>
      <c r="I2361">
        <v>2</v>
      </c>
      <c r="U2361">
        <v>1</v>
      </c>
      <c r="AD2361">
        <v>2</v>
      </c>
      <c r="AJ2361">
        <f>SUM(Post[[#This Row],[47]:[75]])</f>
        <v>5</v>
      </c>
    </row>
    <row r="2362" spans="1:36" x14ac:dyDescent="0.2">
      <c r="A2362" t="s">
        <v>59</v>
      </c>
      <c r="B2362" t="s">
        <v>54</v>
      </c>
      <c r="C2362">
        <v>8552</v>
      </c>
      <c r="D2362" t="s">
        <v>22</v>
      </c>
      <c r="E2362" t="s">
        <v>40</v>
      </c>
      <c r="F2362" t="s">
        <v>44</v>
      </c>
      <c r="J2362">
        <v>3</v>
      </c>
      <c r="AJ2362">
        <f>SUM(Post[[#This Row],[47]:[75]])</f>
        <v>3</v>
      </c>
    </row>
    <row r="2363" spans="1:36" x14ac:dyDescent="0.2">
      <c r="A2363" t="s">
        <v>59</v>
      </c>
      <c r="B2363" t="s">
        <v>54</v>
      </c>
      <c r="C2363">
        <v>8552</v>
      </c>
      <c r="D2363" t="s">
        <v>22</v>
      </c>
      <c r="E2363" t="s">
        <v>8</v>
      </c>
      <c r="F2363" t="s">
        <v>23</v>
      </c>
      <c r="R2363">
        <v>1</v>
      </c>
      <c r="AJ2363">
        <f>SUM(Post[[#This Row],[47]:[75]])</f>
        <v>1</v>
      </c>
    </row>
    <row r="2364" spans="1:36" x14ac:dyDescent="0.2">
      <c r="A2364" t="s">
        <v>59</v>
      </c>
      <c r="B2364" t="s">
        <v>54</v>
      </c>
      <c r="C2364">
        <v>8865</v>
      </c>
      <c r="D2364" t="s">
        <v>22</v>
      </c>
      <c r="E2364" t="s">
        <v>14</v>
      </c>
      <c r="F2364" t="s">
        <v>21</v>
      </c>
      <c r="J2364">
        <v>3</v>
      </c>
      <c r="O2364">
        <v>1</v>
      </c>
      <c r="P2364">
        <v>1</v>
      </c>
      <c r="AJ2364">
        <f>SUM(Post[[#This Row],[47]:[75]])</f>
        <v>5</v>
      </c>
    </row>
    <row r="2365" spans="1:36" x14ac:dyDescent="0.2">
      <c r="A2365" t="s">
        <v>59</v>
      </c>
      <c r="B2365" t="s">
        <v>54</v>
      </c>
      <c r="C2365">
        <v>9158</v>
      </c>
      <c r="D2365" t="s">
        <v>22</v>
      </c>
      <c r="E2365" t="s">
        <v>8</v>
      </c>
      <c r="F2365" t="s">
        <v>23</v>
      </c>
      <c r="Q2365">
        <v>2</v>
      </c>
      <c r="AF2365">
        <v>1</v>
      </c>
      <c r="AJ2365">
        <f>SUM(Post[[#This Row],[47]:[75]])</f>
        <v>3</v>
      </c>
    </row>
    <row r="2366" spans="1:36" x14ac:dyDescent="0.2">
      <c r="A2366" t="s">
        <v>59</v>
      </c>
      <c r="B2366" t="s">
        <v>54</v>
      </c>
      <c r="C2366">
        <v>11327</v>
      </c>
      <c r="D2366" t="s">
        <v>22</v>
      </c>
      <c r="E2366" t="s">
        <v>8</v>
      </c>
      <c r="F2366" t="s">
        <v>9</v>
      </c>
      <c r="L2366">
        <v>1</v>
      </c>
      <c r="AB2366">
        <v>2</v>
      </c>
      <c r="AJ2366">
        <f>SUM(Post[[#This Row],[47]:[75]])</f>
        <v>3</v>
      </c>
    </row>
    <row r="2367" spans="1:36" x14ac:dyDescent="0.2">
      <c r="A2367" t="s">
        <v>59</v>
      </c>
      <c r="B2367" t="s">
        <v>54</v>
      </c>
      <c r="C2367">
        <v>11327</v>
      </c>
      <c r="D2367" t="s">
        <v>22</v>
      </c>
      <c r="E2367" t="s">
        <v>32</v>
      </c>
      <c r="F2367" t="s">
        <v>33</v>
      </c>
      <c r="L2367">
        <v>2</v>
      </c>
      <c r="AJ2367">
        <f>SUM(Post[[#This Row],[47]:[75]])</f>
        <v>2</v>
      </c>
    </row>
    <row r="2368" spans="1:36" x14ac:dyDescent="0.2">
      <c r="A2368" t="s">
        <v>59</v>
      </c>
      <c r="B2368" t="s">
        <v>54</v>
      </c>
      <c r="C2368">
        <v>11327</v>
      </c>
      <c r="D2368" t="s">
        <v>22</v>
      </c>
      <c r="E2368" t="s">
        <v>26</v>
      </c>
      <c r="F2368" t="s">
        <v>27</v>
      </c>
      <c r="AJ2368">
        <f>SUM(Post[[#This Row],[47]:[75]])</f>
        <v>0</v>
      </c>
    </row>
    <row r="2369" spans="1:36" x14ac:dyDescent="0.2">
      <c r="A2369" t="s">
        <v>59</v>
      </c>
      <c r="B2369" t="s">
        <v>54</v>
      </c>
      <c r="C2369">
        <v>12180</v>
      </c>
      <c r="D2369" t="s">
        <v>22</v>
      </c>
      <c r="E2369" t="s">
        <v>10</v>
      </c>
      <c r="F2369" t="s">
        <v>11</v>
      </c>
      <c r="AJ2369">
        <f>SUM(Post[[#This Row],[47]:[75]])</f>
        <v>0</v>
      </c>
    </row>
    <row r="2370" spans="1:36" x14ac:dyDescent="0.2">
      <c r="A2370" t="s">
        <v>59</v>
      </c>
      <c r="B2370" t="s">
        <v>54</v>
      </c>
      <c r="C2370">
        <v>12300</v>
      </c>
      <c r="D2370" t="s">
        <v>22</v>
      </c>
      <c r="E2370" t="s">
        <v>10</v>
      </c>
      <c r="F2370" t="s">
        <v>11</v>
      </c>
      <c r="L2370">
        <v>1</v>
      </c>
      <c r="X2370">
        <v>1</v>
      </c>
      <c r="AG2370">
        <v>1</v>
      </c>
      <c r="AJ2370">
        <f>SUM(Post[[#This Row],[47]:[75]])</f>
        <v>3</v>
      </c>
    </row>
    <row r="2371" spans="1:36" x14ac:dyDescent="0.2">
      <c r="A2371" t="s">
        <v>59</v>
      </c>
      <c r="B2371" t="s">
        <v>54</v>
      </c>
      <c r="C2371">
        <v>12300</v>
      </c>
      <c r="D2371" t="s">
        <v>22</v>
      </c>
      <c r="E2371" t="s">
        <v>8</v>
      </c>
      <c r="F2371" t="s">
        <v>9</v>
      </c>
      <c r="L2371">
        <v>1</v>
      </c>
      <c r="X2371">
        <v>1</v>
      </c>
      <c r="AJ2371">
        <f>SUM(Post[[#This Row],[47]:[75]])</f>
        <v>2</v>
      </c>
    </row>
    <row r="2372" spans="1:36" x14ac:dyDescent="0.2">
      <c r="A2372" t="s">
        <v>59</v>
      </c>
      <c r="B2372" t="s">
        <v>54</v>
      </c>
      <c r="C2372">
        <v>12395</v>
      </c>
      <c r="D2372" t="s">
        <v>22</v>
      </c>
      <c r="E2372" t="s">
        <v>14</v>
      </c>
      <c r="F2372" t="s">
        <v>21</v>
      </c>
      <c r="W2372">
        <v>1</v>
      </c>
      <c r="AJ2372">
        <f>SUM(Post[[#This Row],[47]:[75]])</f>
        <v>1</v>
      </c>
    </row>
    <row r="2373" spans="1:36" x14ac:dyDescent="0.2">
      <c r="A2373" t="s">
        <v>59</v>
      </c>
      <c r="B2373" t="s">
        <v>54</v>
      </c>
      <c r="C2373">
        <v>12395</v>
      </c>
      <c r="D2373" t="s">
        <v>22</v>
      </c>
      <c r="E2373" t="s">
        <v>14</v>
      </c>
      <c r="F2373" t="s">
        <v>20</v>
      </c>
      <c r="AJ2373">
        <f>SUM(Post[[#This Row],[47]:[75]])</f>
        <v>0</v>
      </c>
    </row>
    <row r="2374" spans="1:36" x14ac:dyDescent="0.2">
      <c r="A2374" t="s">
        <v>59</v>
      </c>
      <c r="B2374" t="s">
        <v>54</v>
      </c>
      <c r="C2374">
        <v>12896</v>
      </c>
      <c r="D2374" t="s">
        <v>22</v>
      </c>
      <c r="E2374" t="s">
        <v>14</v>
      </c>
      <c r="F2374" t="s">
        <v>35</v>
      </c>
      <c r="AJ2374">
        <f>SUM(Post[[#This Row],[47]:[75]])</f>
        <v>0</v>
      </c>
    </row>
    <row r="2375" spans="1:36" x14ac:dyDescent="0.2">
      <c r="A2375" t="s">
        <v>59</v>
      </c>
      <c r="B2375" t="s">
        <v>54</v>
      </c>
      <c r="C2375">
        <v>12896</v>
      </c>
      <c r="D2375" t="s">
        <v>22</v>
      </c>
      <c r="E2375" t="s">
        <v>14</v>
      </c>
      <c r="F2375" t="s">
        <v>15</v>
      </c>
      <c r="T2375">
        <v>1</v>
      </c>
      <c r="AH2375">
        <v>1</v>
      </c>
      <c r="AJ2375">
        <f>SUM(Post[[#This Row],[47]:[75]])</f>
        <v>2</v>
      </c>
    </row>
    <row r="2376" spans="1:36" x14ac:dyDescent="0.2">
      <c r="A2376" t="s">
        <v>59</v>
      </c>
      <c r="B2376" t="s">
        <v>54</v>
      </c>
      <c r="C2376">
        <v>14184</v>
      </c>
      <c r="D2376" t="s">
        <v>22</v>
      </c>
      <c r="E2376" t="s">
        <v>37</v>
      </c>
      <c r="F2376" t="s">
        <v>55</v>
      </c>
      <c r="Y2376">
        <v>1</v>
      </c>
      <c r="AJ2376">
        <f>SUM(Post[[#This Row],[47]:[75]])</f>
        <v>1</v>
      </c>
    </row>
    <row r="2377" spans="1:36" x14ac:dyDescent="0.2">
      <c r="A2377" t="s">
        <v>59</v>
      </c>
      <c r="B2377" t="s">
        <v>54</v>
      </c>
      <c r="C2377">
        <v>14900</v>
      </c>
      <c r="D2377" t="s">
        <v>22</v>
      </c>
      <c r="E2377" t="s">
        <v>8</v>
      </c>
      <c r="F2377" t="s">
        <v>9</v>
      </c>
      <c r="K2377">
        <v>1</v>
      </c>
      <c r="V2377">
        <v>1</v>
      </c>
      <c r="AB2377">
        <v>1</v>
      </c>
      <c r="AJ2377">
        <f>SUM(Post[[#This Row],[47]:[75]])</f>
        <v>3</v>
      </c>
    </row>
    <row r="2378" spans="1:36" x14ac:dyDescent="0.2">
      <c r="A2378" t="s">
        <v>59</v>
      </c>
      <c r="B2378" t="s">
        <v>54</v>
      </c>
      <c r="C2378">
        <v>15928</v>
      </c>
      <c r="D2378" t="s">
        <v>22</v>
      </c>
      <c r="E2378" t="s">
        <v>14</v>
      </c>
      <c r="F2378" t="s">
        <v>19</v>
      </c>
      <c r="G2378">
        <v>1</v>
      </c>
      <c r="AJ2378">
        <f>SUM(Post[[#This Row],[47]:[75]])</f>
        <v>1</v>
      </c>
    </row>
    <row r="2379" spans="1:36" x14ac:dyDescent="0.2">
      <c r="A2379" t="s">
        <v>59</v>
      </c>
      <c r="B2379" t="s">
        <v>54</v>
      </c>
      <c r="C2379">
        <v>16482</v>
      </c>
      <c r="D2379" t="s">
        <v>22</v>
      </c>
      <c r="E2379" t="s">
        <v>14</v>
      </c>
      <c r="F2379" t="s">
        <v>20</v>
      </c>
      <c r="K2379">
        <v>2</v>
      </c>
      <c r="Q2379">
        <v>2</v>
      </c>
      <c r="AD2379">
        <v>1</v>
      </c>
      <c r="AJ2379">
        <f>SUM(Post[[#This Row],[47]:[75]])</f>
        <v>5</v>
      </c>
    </row>
    <row r="2380" spans="1:36" x14ac:dyDescent="0.2">
      <c r="A2380" t="s">
        <v>59</v>
      </c>
      <c r="B2380" t="s">
        <v>54</v>
      </c>
      <c r="C2380">
        <v>20939</v>
      </c>
      <c r="D2380" t="s">
        <v>22</v>
      </c>
      <c r="E2380" t="s">
        <v>8</v>
      </c>
      <c r="F2380" t="s">
        <v>29</v>
      </c>
      <c r="AJ2380">
        <f>SUM(Post[[#This Row],[47]:[75]])</f>
        <v>0</v>
      </c>
    </row>
    <row r="2381" spans="1:36" x14ac:dyDescent="0.2">
      <c r="A2381" t="s">
        <v>59</v>
      </c>
      <c r="B2381" t="s">
        <v>54</v>
      </c>
      <c r="C2381">
        <v>21954</v>
      </c>
      <c r="D2381" t="s">
        <v>22</v>
      </c>
      <c r="E2381" t="s">
        <v>14</v>
      </c>
      <c r="F2381" t="s">
        <v>20</v>
      </c>
      <c r="G2381">
        <v>1</v>
      </c>
      <c r="K2381">
        <v>1</v>
      </c>
      <c r="P2381">
        <v>1</v>
      </c>
      <c r="Q2381">
        <v>1</v>
      </c>
      <c r="X2381">
        <v>1</v>
      </c>
      <c r="AJ2381">
        <f>SUM(Post[[#This Row],[47]:[75]])</f>
        <v>5</v>
      </c>
    </row>
    <row r="2382" spans="1:36" x14ac:dyDescent="0.2">
      <c r="A2382" t="s">
        <v>59</v>
      </c>
      <c r="B2382" t="s">
        <v>54</v>
      </c>
      <c r="C2382">
        <v>22538</v>
      </c>
      <c r="D2382" t="s">
        <v>22</v>
      </c>
      <c r="E2382" t="s">
        <v>14</v>
      </c>
      <c r="F2382" t="s">
        <v>19</v>
      </c>
      <c r="AJ2382">
        <f>SUM(Post[[#This Row],[47]:[75]])</f>
        <v>0</v>
      </c>
    </row>
    <row r="2383" spans="1:36" x14ac:dyDescent="0.2">
      <c r="A2383" t="s">
        <v>59</v>
      </c>
      <c r="B2383" t="s">
        <v>54</v>
      </c>
      <c r="C2383">
        <v>22945</v>
      </c>
      <c r="D2383" t="s">
        <v>22</v>
      </c>
      <c r="E2383" t="s">
        <v>8</v>
      </c>
      <c r="F2383" t="s">
        <v>9</v>
      </c>
      <c r="P2383">
        <v>1</v>
      </c>
      <c r="AG2383">
        <v>1</v>
      </c>
      <c r="AJ2383">
        <f>SUM(Post[[#This Row],[47]:[75]])</f>
        <v>2</v>
      </c>
    </row>
    <row r="2384" spans="1:36" x14ac:dyDescent="0.2">
      <c r="A2384" t="s">
        <v>59</v>
      </c>
      <c r="B2384" t="s">
        <v>54</v>
      </c>
      <c r="C2384">
        <v>23817</v>
      </c>
      <c r="D2384" t="s">
        <v>22</v>
      </c>
      <c r="E2384" t="s">
        <v>8</v>
      </c>
      <c r="F2384" t="s">
        <v>9</v>
      </c>
      <c r="H2384">
        <v>1</v>
      </c>
      <c r="K2384">
        <v>1</v>
      </c>
      <c r="O2384">
        <v>1</v>
      </c>
      <c r="S2384">
        <v>1</v>
      </c>
      <c r="W2384">
        <v>1</v>
      </c>
      <c r="Z2384">
        <v>1</v>
      </c>
      <c r="AD2384">
        <v>1</v>
      </c>
      <c r="AI2384">
        <v>1</v>
      </c>
      <c r="AJ2384">
        <f>SUM(Post[[#This Row],[47]:[75]])</f>
        <v>8</v>
      </c>
    </row>
    <row r="2385" spans="1:36" x14ac:dyDescent="0.2">
      <c r="A2385" t="s">
        <v>59</v>
      </c>
      <c r="B2385" t="s">
        <v>54</v>
      </c>
      <c r="C2385">
        <v>31273</v>
      </c>
      <c r="D2385" t="s">
        <v>22</v>
      </c>
      <c r="E2385" t="s">
        <v>14</v>
      </c>
      <c r="F2385" t="s">
        <v>15</v>
      </c>
      <c r="S2385">
        <v>1</v>
      </c>
      <c r="AG2385">
        <v>1</v>
      </c>
      <c r="AJ2385">
        <f>SUM(Post[[#This Row],[47]:[75]])</f>
        <v>2</v>
      </c>
    </row>
    <row r="2386" spans="1:36" x14ac:dyDescent="0.2">
      <c r="A2386" t="s">
        <v>59</v>
      </c>
      <c r="B2386" t="s">
        <v>54</v>
      </c>
      <c r="C2386">
        <v>31431</v>
      </c>
      <c r="D2386" t="s">
        <v>22</v>
      </c>
      <c r="E2386" t="s">
        <v>8</v>
      </c>
      <c r="F2386" t="s">
        <v>9</v>
      </c>
      <c r="Q2386">
        <v>1</v>
      </c>
      <c r="AJ2386">
        <f>SUM(Post[[#This Row],[47]:[75]])</f>
        <v>1</v>
      </c>
    </row>
    <row r="2387" spans="1:36" x14ac:dyDescent="0.2">
      <c r="A2387" t="s">
        <v>59</v>
      </c>
      <c r="B2387" t="s">
        <v>54</v>
      </c>
      <c r="C2387">
        <v>3840</v>
      </c>
      <c r="D2387" t="s">
        <v>7</v>
      </c>
      <c r="E2387" t="s">
        <v>14</v>
      </c>
      <c r="F2387" t="s">
        <v>19</v>
      </c>
      <c r="G2387">
        <v>1</v>
      </c>
      <c r="AJ2387">
        <f>SUM(Post[[#This Row],[47]:[75]])</f>
        <v>1</v>
      </c>
    </row>
    <row r="2388" spans="1:36" x14ac:dyDescent="0.2">
      <c r="A2388" t="s">
        <v>59</v>
      </c>
      <c r="B2388" t="s">
        <v>54</v>
      </c>
      <c r="C2388">
        <v>15983</v>
      </c>
      <c r="D2388" t="s">
        <v>7</v>
      </c>
      <c r="E2388" t="s">
        <v>10</v>
      </c>
      <c r="F2388" t="s">
        <v>11</v>
      </c>
      <c r="R2388">
        <v>1</v>
      </c>
      <c r="AJ2388">
        <f>SUM(Post[[#This Row],[47]:[75]])</f>
        <v>1</v>
      </c>
    </row>
    <row r="2389" spans="1:36" x14ac:dyDescent="0.2">
      <c r="A2389" t="s">
        <v>59</v>
      </c>
      <c r="B2389" t="s">
        <v>54</v>
      </c>
      <c r="C2389">
        <v>15983</v>
      </c>
      <c r="D2389" t="s">
        <v>7</v>
      </c>
      <c r="E2389" t="s">
        <v>14</v>
      </c>
      <c r="F2389" t="s">
        <v>20</v>
      </c>
      <c r="AJ2389">
        <f>SUM(Post[[#This Row],[47]:[75]])</f>
        <v>0</v>
      </c>
    </row>
    <row r="2390" spans="1:36" x14ac:dyDescent="0.2">
      <c r="A2390" t="s">
        <v>59</v>
      </c>
      <c r="B2390" t="s">
        <v>54</v>
      </c>
      <c r="C2390">
        <v>32059</v>
      </c>
      <c r="D2390" t="s">
        <v>7</v>
      </c>
      <c r="E2390" t="s">
        <v>14</v>
      </c>
      <c r="F2390" t="s">
        <v>35</v>
      </c>
      <c r="Z2390">
        <v>1</v>
      </c>
      <c r="AJ2390">
        <f>SUM(Post[[#This Row],[47]:[75]])</f>
        <v>1</v>
      </c>
    </row>
    <row r="2391" spans="1:36" x14ac:dyDescent="0.2">
      <c r="A2391" t="s">
        <v>59</v>
      </c>
      <c r="B2391" t="s">
        <v>54</v>
      </c>
      <c r="C2391">
        <v>19690</v>
      </c>
      <c r="D2391" t="s">
        <v>22</v>
      </c>
      <c r="E2391" t="s">
        <v>14</v>
      </c>
      <c r="F2391" t="s">
        <v>20</v>
      </c>
      <c r="AJ2391">
        <f>SUM(Post[[#This Row],[47]:[75]])</f>
        <v>0</v>
      </c>
    </row>
    <row r="2392" spans="1:36" x14ac:dyDescent="0.2">
      <c r="A2392" t="s">
        <v>59</v>
      </c>
      <c r="B2392" t="s">
        <v>54</v>
      </c>
      <c r="C2392">
        <v>31450</v>
      </c>
      <c r="D2392" t="s">
        <v>22</v>
      </c>
      <c r="E2392" t="s">
        <v>14</v>
      </c>
      <c r="F2392" t="s">
        <v>20</v>
      </c>
      <c r="I2392">
        <v>1</v>
      </c>
      <c r="J2392">
        <v>2</v>
      </c>
      <c r="L2392">
        <v>1</v>
      </c>
      <c r="X2392">
        <v>3</v>
      </c>
      <c r="AE2392">
        <v>1</v>
      </c>
      <c r="AJ2392">
        <f>SUM(Post[[#This Row],[47]:[75]])</f>
        <v>8</v>
      </c>
    </row>
    <row r="2393" spans="1:36" x14ac:dyDescent="0.2">
      <c r="A2393" t="s">
        <v>59</v>
      </c>
      <c r="B2393" t="s">
        <v>54</v>
      </c>
      <c r="C2393">
        <v>898</v>
      </c>
      <c r="D2393" t="s">
        <v>7</v>
      </c>
      <c r="E2393" t="s">
        <v>14</v>
      </c>
      <c r="F2393" t="s">
        <v>35</v>
      </c>
      <c r="I2393">
        <v>2</v>
      </c>
      <c r="U2393">
        <v>1</v>
      </c>
      <c r="AJ2393">
        <f>SUM(Post[[#This Row],[47]:[75]])</f>
        <v>3</v>
      </c>
    </row>
    <row r="2394" spans="1:36" x14ac:dyDescent="0.2">
      <c r="A2394" t="s">
        <v>59</v>
      </c>
      <c r="B2394" t="s">
        <v>54</v>
      </c>
      <c r="C2394">
        <v>1896</v>
      </c>
      <c r="D2394" t="s">
        <v>7</v>
      </c>
      <c r="E2394" t="s">
        <v>14</v>
      </c>
      <c r="F2394" t="s">
        <v>35</v>
      </c>
      <c r="H2394">
        <v>1</v>
      </c>
      <c r="J2394">
        <v>1</v>
      </c>
      <c r="R2394">
        <v>2</v>
      </c>
      <c r="U2394">
        <v>1</v>
      </c>
      <c r="X2394">
        <v>1</v>
      </c>
      <c r="AE2394">
        <v>1</v>
      </c>
      <c r="AI2394">
        <v>1</v>
      </c>
      <c r="AJ2394">
        <f>SUM(Post[[#This Row],[47]:[75]])</f>
        <v>8</v>
      </c>
    </row>
    <row r="2395" spans="1:36" x14ac:dyDescent="0.2">
      <c r="A2395" t="s">
        <v>59</v>
      </c>
      <c r="B2395" t="s">
        <v>54</v>
      </c>
      <c r="C2395">
        <v>1947</v>
      </c>
      <c r="D2395" t="s">
        <v>7</v>
      </c>
      <c r="E2395" t="s">
        <v>14</v>
      </c>
      <c r="F2395" t="s">
        <v>20</v>
      </c>
      <c r="G2395">
        <v>1</v>
      </c>
      <c r="K2395">
        <v>1</v>
      </c>
      <c r="Z2395">
        <v>1</v>
      </c>
      <c r="AJ2395">
        <f>SUM(Post[[#This Row],[47]:[75]])</f>
        <v>3</v>
      </c>
    </row>
    <row r="2396" spans="1:36" x14ac:dyDescent="0.2">
      <c r="A2396" t="s">
        <v>59</v>
      </c>
      <c r="B2396" t="s">
        <v>54</v>
      </c>
      <c r="C2396">
        <v>6629</v>
      </c>
      <c r="D2396" t="s">
        <v>7</v>
      </c>
      <c r="E2396" t="s">
        <v>10</v>
      </c>
      <c r="F2396" t="s">
        <v>11</v>
      </c>
      <c r="J2396">
        <v>1</v>
      </c>
      <c r="P2396">
        <v>1</v>
      </c>
      <c r="U2396">
        <v>1</v>
      </c>
      <c r="Z2396">
        <v>1</v>
      </c>
      <c r="AD2396">
        <v>1</v>
      </c>
      <c r="AI2396">
        <v>1</v>
      </c>
      <c r="AJ2396">
        <f>SUM(Post[[#This Row],[47]:[75]])</f>
        <v>6</v>
      </c>
    </row>
    <row r="2397" spans="1:36" x14ac:dyDescent="0.2">
      <c r="A2397" t="s">
        <v>59</v>
      </c>
      <c r="B2397" t="s">
        <v>54</v>
      </c>
      <c r="C2397">
        <v>6629</v>
      </c>
      <c r="D2397" t="s">
        <v>7</v>
      </c>
      <c r="E2397" t="s">
        <v>14</v>
      </c>
      <c r="F2397" t="s">
        <v>20</v>
      </c>
      <c r="J2397">
        <v>1</v>
      </c>
      <c r="AJ2397">
        <f>SUM(Post[[#This Row],[47]:[75]])</f>
        <v>1</v>
      </c>
    </row>
    <row r="2398" spans="1:36" x14ac:dyDescent="0.2">
      <c r="A2398" t="s">
        <v>59</v>
      </c>
      <c r="B2398" t="s">
        <v>54</v>
      </c>
      <c r="C2398">
        <v>7037</v>
      </c>
      <c r="D2398" t="s">
        <v>7</v>
      </c>
      <c r="E2398" t="s">
        <v>10</v>
      </c>
      <c r="F2398" t="s">
        <v>11</v>
      </c>
      <c r="AJ2398">
        <f>SUM(Post[[#This Row],[47]:[75]])</f>
        <v>0</v>
      </c>
    </row>
    <row r="2399" spans="1:36" x14ac:dyDescent="0.2">
      <c r="A2399" t="s">
        <v>59</v>
      </c>
      <c r="B2399" t="s">
        <v>54</v>
      </c>
      <c r="C2399">
        <v>7684</v>
      </c>
      <c r="D2399" t="s">
        <v>7</v>
      </c>
      <c r="E2399" t="s">
        <v>14</v>
      </c>
      <c r="F2399" t="s">
        <v>20</v>
      </c>
      <c r="I2399">
        <v>1</v>
      </c>
      <c r="K2399">
        <v>1</v>
      </c>
      <c r="O2399">
        <v>1</v>
      </c>
      <c r="R2399">
        <v>1</v>
      </c>
      <c r="U2399">
        <v>1</v>
      </c>
      <c r="X2399">
        <v>1</v>
      </c>
      <c r="AB2399">
        <v>1</v>
      </c>
      <c r="AE2399">
        <v>1</v>
      </c>
      <c r="AJ2399">
        <f>SUM(Post[[#This Row],[47]:[75]])</f>
        <v>8</v>
      </c>
    </row>
    <row r="2400" spans="1:36" x14ac:dyDescent="0.2">
      <c r="A2400" t="s">
        <v>59</v>
      </c>
      <c r="B2400" t="s">
        <v>54</v>
      </c>
      <c r="C2400">
        <v>11188</v>
      </c>
      <c r="D2400" t="s">
        <v>7</v>
      </c>
      <c r="E2400" t="s">
        <v>10</v>
      </c>
      <c r="F2400" t="s">
        <v>11</v>
      </c>
      <c r="J2400">
        <v>1</v>
      </c>
      <c r="L2400">
        <v>1</v>
      </c>
      <c r="P2400">
        <v>1</v>
      </c>
      <c r="S2400">
        <v>1</v>
      </c>
      <c r="V2400">
        <v>1</v>
      </c>
      <c r="Y2400">
        <v>1</v>
      </c>
      <c r="AD2400">
        <v>1</v>
      </c>
      <c r="AF2400">
        <v>1</v>
      </c>
      <c r="AJ2400">
        <f>SUM(Post[[#This Row],[47]:[75]])</f>
        <v>8</v>
      </c>
    </row>
    <row r="2401" spans="1:36" x14ac:dyDescent="0.2">
      <c r="A2401" t="s">
        <v>59</v>
      </c>
      <c r="B2401" t="s">
        <v>54</v>
      </c>
      <c r="C2401">
        <v>11188</v>
      </c>
      <c r="D2401" t="s">
        <v>7</v>
      </c>
      <c r="E2401" t="s">
        <v>14</v>
      </c>
      <c r="F2401" t="s">
        <v>20</v>
      </c>
      <c r="AJ2401">
        <f>SUM(Post[[#This Row],[47]:[75]])</f>
        <v>0</v>
      </c>
    </row>
    <row r="2402" spans="1:36" x14ac:dyDescent="0.2">
      <c r="A2402" t="s">
        <v>59</v>
      </c>
      <c r="B2402" t="s">
        <v>54</v>
      </c>
      <c r="C2402">
        <v>13838</v>
      </c>
      <c r="D2402" t="s">
        <v>7</v>
      </c>
      <c r="E2402" t="s">
        <v>14</v>
      </c>
      <c r="F2402" t="s">
        <v>19</v>
      </c>
      <c r="Q2402">
        <v>1</v>
      </c>
      <c r="AJ2402">
        <f>SUM(Post[[#This Row],[47]:[75]])</f>
        <v>1</v>
      </c>
    </row>
    <row r="2403" spans="1:36" x14ac:dyDescent="0.2">
      <c r="A2403" t="s">
        <v>59</v>
      </c>
      <c r="B2403" t="s">
        <v>54</v>
      </c>
      <c r="C2403">
        <v>17092</v>
      </c>
      <c r="D2403" t="s">
        <v>7</v>
      </c>
      <c r="E2403" t="s">
        <v>14</v>
      </c>
      <c r="F2403" t="s">
        <v>35</v>
      </c>
      <c r="G2403">
        <v>1</v>
      </c>
      <c r="N2403">
        <v>1</v>
      </c>
      <c r="T2403">
        <v>1</v>
      </c>
      <c r="Y2403">
        <v>1</v>
      </c>
      <c r="AJ2403">
        <f>SUM(Post[[#This Row],[47]:[75]])</f>
        <v>4</v>
      </c>
    </row>
    <row r="2404" spans="1:36" x14ac:dyDescent="0.2">
      <c r="A2404" t="s">
        <v>59</v>
      </c>
      <c r="B2404" t="s">
        <v>54</v>
      </c>
      <c r="C2404">
        <v>17092</v>
      </c>
      <c r="D2404" t="s">
        <v>7</v>
      </c>
      <c r="E2404" t="s">
        <v>14</v>
      </c>
      <c r="F2404" t="s">
        <v>21</v>
      </c>
      <c r="AJ2404">
        <f>SUM(Post[[#This Row],[47]:[75]])</f>
        <v>0</v>
      </c>
    </row>
    <row r="2405" spans="1:36" x14ac:dyDescent="0.2">
      <c r="A2405" t="s">
        <v>59</v>
      </c>
      <c r="B2405" t="s">
        <v>54</v>
      </c>
      <c r="C2405">
        <v>18775</v>
      </c>
      <c r="D2405" t="s">
        <v>7</v>
      </c>
      <c r="E2405" t="s">
        <v>14</v>
      </c>
      <c r="F2405" t="s">
        <v>20</v>
      </c>
      <c r="S2405">
        <v>1</v>
      </c>
      <c r="AJ2405">
        <f>SUM(Post[[#This Row],[47]:[75]])</f>
        <v>1</v>
      </c>
    </row>
    <row r="2406" spans="1:36" x14ac:dyDescent="0.2">
      <c r="A2406" t="s">
        <v>59</v>
      </c>
      <c r="B2406" t="s">
        <v>54</v>
      </c>
      <c r="C2406">
        <v>9353</v>
      </c>
      <c r="D2406" t="s">
        <v>22</v>
      </c>
      <c r="E2406" t="s">
        <v>14</v>
      </c>
      <c r="F2406" t="s">
        <v>19</v>
      </c>
      <c r="AJ2406">
        <f>SUM(Post[[#This Row],[47]:[75]])</f>
        <v>0</v>
      </c>
    </row>
    <row r="2407" spans="1:36" x14ac:dyDescent="0.2">
      <c r="A2407" t="s">
        <v>59</v>
      </c>
      <c r="B2407" t="s">
        <v>54</v>
      </c>
      <c r="C2407">
        <v>9353</v>
      </c>
      <c r="D2407" t="s">
        <v>22</v>
      </c>
      <c r="E2407" t="s">
        <v>14</v>
      </c>
      <c r="F2407" t="s">
        <v>21</v>
      </c>
      <c r="J2407">
        <v>1</v>
      </c>
      <c r="AJ2407">
        <f>SUM(Post[[#This Row],[47]:[75]])</f>
        <v>1</v>
      </c>
    </row>
    <row r="2408" spans="1:36" x14ac:dyDescent="0.2">
      <c r="A2408" t="s">
        <v>59</v>
      </c>
      <c r="B2408" t="s">
        <v>54</v>
      </c>
      <c r="C2408">
        <v>14140</v>
      </c>
      <c r="D2408" t="s">
        <v>22</v>
      </c>
      <c r="E2408" t="s">
        <v>14</v>
      </c>
      <c r="F2408" t="s">
        <v>20</v>
      </c>
      <c r="AF2408">
        <v>2</v>
      </c>
      <c r="AJ2408">
        <f>SUM(Post[[#This Row],[47]:[75]])</f>
        <v>2</v>
      </c>
    </row>
    <row r="2409" spans="1:36" x14ac:dyDescent="0.2">
      <c r="A2409" t="s">
        <v>59</v>
      </c>
      <c r="B2409" t="s">
        <v>54</v>
      </c>
      <c r="C2409">
        <v>17725</v>
      </c>
      <c r="D2409" t="s">
        <v>22</v>
      </c>
      <c r="E2409" t="s">
        <v>14</v>
      </c>
      <c r="F2409" t="s">
        <v>35</v>
      </c>
      <c r="AB2409">
        <v>1</v>
      </c>
      <c r="AJ2409">
        <f>SUM(Post[[#This Row],[47]:[75]])</f>
        <v>1</v>
      </c>
    </row>
    <row r="2410" spans="1:36" x14ac:dyDescent="0.2">
      <c r="A2410" t="s">
        <v>59</v>
      </c>
      <c r="B2410" t="s">
        <v>54</v>
      </c>
      <c r="C2410">
        <v>6217</v>
      </c>
      <c r="D2410" t="s">
        <v>7</v>
      </c>
      <c r="E2410" t="s">
        <v>10</v>
      </c>
      <c r="F2410" t="s">
        <v>11</v>
      </c>
      <c r="AJ2410">
        <f>SUM(Post[[#This Row],[47]:[75]])</f>
        <v>0</v>
      </c>
    </row>
    <row r="2411" spans="1:36" x14ac:dyDescent="0.2">
      <c r="A2411" t="s">
        <v>59</v>
      </c>
      <c r="B2411" t="s">
        <v>54</v>
      </c>
      <c r="C2411">
        <v>6217</v>
      </c>
      <c r="D2411" t="s">
        <v>7</v>
      </c>
      <c r="E2411" t="s">
        <v>14</v>
      </c>
      <c r="F2411" t="s">
        <v>21</v>
      </c>
      <c r="AG2411">
        <v>1</v>
      </c>
      <c r="AJ2411">
        <f>SUM(Post[[#This Row],[47]:[75]])</f>
        <v>1</v>
      </c>
    </row>
    <row r="2412" spans="1:36" x14ac:dyDescent="0.2">
      <c r="A2412" t="s">
        <v>59</v>
      </c>
      <c r="B2412" t="s">
        <v>54</v>
      </c>
      <c r="C2412">
        <v>8464</v>
      </c>
      <c r="D2412" t="s">
        <v>7</v>
      </c>
      <c r="E2412" t="s">
        <v>14</v>
      </c>
      <c r="F2412" t="s">
        <v>35</v>
      </c>
      <c r="K2412">
        <v>1</v>
      </c>
      <c r="X2412">
        <v>1</v>
      </c>
      <c r="AJ2412">
        <f>SUM(Post[[#This Row],[47]:[75]])</f>
        <v>2</v>
      </c>
    </row>
    <row r="2413" spans="1:36" x14ac:dyDescent="0.2">
      <c r="A2413" t="s">
        <v>59</v>
      </c>
      <c r="B2413" t="s">
        <v>54</v>
      </c>
      <c r="C2413">
        <v>348</v>
      </c>
      <c r="D2413" t="s">
        <v>7</v>
      </c>
      <c r="E2413" t="s">
        <v>10</v>
      </c>
      <c r="F2413" t="s">
        <v>11</v>
      </c>
      <c r="U2413">
        <v>1</v>
      </c>
      <c r="AJ2413">
        <f>SUM(Post[[#This Row],[47]:[75]])</f>
        <v>1</v>
      </c>
    </row>
    <row r="2414" spans="1:36" x14ac:dyDescent="0.2">
      <c r="A2414" t="s">
        <v>59</v>
      </c>
      <c r="B2414" t="s">
        <v>54</v>
      </c>
      <c r="C2414">
        <v>5856</v>
      </c>
      <c r="D2414" t="s">
        <v>7</v>
      </c>
      <c r="E2414" t="s">
        <v>14</v>
      </c>
      <c r="F2414" t="s">
        <v>15</v>
      </c>
      <c r="G2414">
        <v>1</v>
      </c>
      <c r="V2414">
        <v>1</v>
      </c>
      <c r="AJ2414">
        <f>SUM(Post[[#This Row],[47]:[75]])</f>
        <v>2</v>
      </c>
    </row>
    <row r="2415" spans="1:36" x14ac:dyDescent="0.2">
      <c r="A2415" t="s">
        <v>59</v>
      </c>
      <c r="B2415" t="s">
        <v>54</v>
      </c>
      <c r="C2415">
        <v>7811</v>
      </c>
      <c r="D2415" t="s">
        <v>7</v>
      </c>
      <c r="E2415" t="s">
        <v>14</v>
      </c>
      <c r="F2415" t="s">
        <v>35</v>
      </c>
      <c r="I2415">
        <v>1</v>
      </c>
      <c r="Z2415">
        <v>1</v>
      </c>
      <c r="AH2415">
        <v>1</v>
      </c>
      <c r="AJ2415">
        <f>SUM(Post[[#This Row],[47]:[75]])</f>
        <v>3</v>
      </c>
    </row>
    <row r="2416" spans="1:36" x14ac:dyDescent="0.2">
      <c r="A2416" t="s">
        <v>59</v>
      </c>
      <c r="B2416" t="s">
        <v>54</v>
      </c>
      <c r="C2416">
        <v>8279</v>
      </c>
      <c r="D2416" t="s">
        <v>7</v>
      </c>
      <c r="E2416" t="s">
        <v>14</v>
      </c>
      <c r="F2416" t="s">
        <v>20</v>
      </c>
      <c r="AJ2416">
        <f>SUM(Post[[#This Row],[47]:[75]])</f>
        <v>0</v>
      </c>
    </row>
    <row r="2417" spans="1:36" x14ac:dyDescent="0.2">
      <c r="A2417" t="s">
        <v>59</v>
      </c>
      <c r="B2417" t="s">
        <v>54</v>
      </c>
      <c r="C2417">
        <v>9122</v>
      </c>
      <c r="D2417" t="s">
        <v>7</v>
      </c>
      <c r="E2417" t="s">
        <v>14</v>
      </c>
      <c r="F2417" t="s">
        <v>19</v>
      </c>
      <c r="AE2417">
        <v>1</v>
      </c>
      <c r="AJ2417">
        <f>SUM(Post[[#This Row],[47]:[75]])</f>
        <v>1</v>
      </c>
    </row>
    <row r="2418" spans="1:36" x14ac:dyDescent="0.2">
      <c r="A2418" t="s">
        <v>59</v>
      </c>
      <c r="B2418" t="s">
        <v>54</v>
      </c>
      <c r="C2418">
        <v>14183</v>
      </c>
      <c r="D2418" t="s">
        <v>7</v>
      </c>
      <c r="E2418" t="s">
        <v>14</v>
      </c>
      <c r="F2418" t="s">
        <v>19</v>
      </c>
      <c r="I2418">
        <v>1</v>
      </c>
      <c r="K2418">
        <v>1</v>
      </c>
      <c r="O2418">
        <v>1</v>
      </c>
      <c r="R2418">
        <v>1</v>
      </c>
      <c r="U2418">
        <v>1</v>
      </c>
      <c r="X2418">
        <v>1</v>
      </c>
      <c r="AA2418">
        <v>2</v>
      </c>
      <c r="AD2418">
        <v>1</v>
      </c>
      <c r="AH2418">
        <v>1</v>
      </c>
      <c r="AJ2418">
        <f>SUM(Post[[#This Row],[47]:[75]])</f>
        <v>10</v>
      </c>
    </row>
    <row r="2419" spans="1:36" x14ac:dyDescent="0.2">
      <c r="A2419" t="s">
        <v>59</v>
      </c>
      <c r="B2419" t="s">
        <v>54</v>
      </c>
      <c r="C2419">
        <v>14908</v>
      </c>
      <c r="D2419" t="s">
        <v>7</v>
      </c>
      <c r="E2419" t="s">
        <v>14</v>
      </c>
      <c r="F2419" t="s">
        <v>35</v>
      </c>
      <c r="H2419">
        <v>1</v>
      </c>
      <c r="L2419">
        <v>1</v>
      </c>
      <c r="Q2419">
        <v>1</v>
      </c>
      <c r="U2419">
        <v>1</v>
      </c>
      <c r="Y2419">
        <v>1</v>
      </c>
      <c r="AJ2419">
        <f>SUM(Post[[#This Row],[47]:[75]])</f>
        <v>5</v>
      </c>
    </row>
    <row r="2420" spans="1:36" x14ac:dyDescent="0.2">
      <c r="A2420" t="s">
        <v>59</v>
      </c>
      <c r="B2420" t="s">
        <v>54</v>
      </c>
      <c r="C2420">
        <v>18295</v>
      </c>
      <c r="D2420" t="s">
        <v>7</v>
      </c>
      <c r="E2420" t="s">
        <v>14</v>
      </c>
      <c r="F2420" t="s">
        <v>21</v>
      </c>
      <c r="AJ2420">
        <f>SUM(Post[[#This Row],[47]:[75]])</f>
        <v>0</v>
      </c>
    </row>
    <row r="2421" spans="1:36" x14ac:dyDescent="0.2">
      <c r="A2421" t="s">
        <v>59</v>
      </c>
      <c r="B2421" t="s">
        <v>54</v>
      </c>
      <c r="C2421">
        <v>21068</v>
      </c>
      <c r="D2421" t="s">
        <v>7</v>
      </c>
      <c r="E2421" t="s">
        <v>10</v>
      </c>
      <c r="F2421" t="s">
        <v>11</v>
      </c>
      <c r="R2421">
        <v>1</v>
      </c>
      <c r="W2421">
        <v>1</v>
      </c>
      <c r="AC2421">
        <v>1</v>
      </c>
      <c r="AF2421">
        <v>1</v>
      </c>
      <c r="AH2421">
        <v>1</v>
      </c>
      <c r="AJ2421">
        <f>SUM(Post[[#This Row],[47]:[75]])</f>
        <v>5</v>
      </c>
    </row>
    <row r="2422" spans="1:36" x14ac:dyDescent="0.2">
      <c r="A2422" t="s">
        <v>59</v>
      </c>
      <c r="B2422" t="s">
        <v>54</v>
      </c>
      <c r="C2422">
        <v>21068</v>
      </c>
      <c r="D2422" t="s">
        <v>7</v>
      </c>
      <c r="E2422" t="s">
        <v>14</v>
      </c>
      <c r="F2422" t="s">
        <v>35</v>
      </c>
      <c r="H2422">
        <v>1</v>
      </c>
      <c r="Q2422">
        <v>1</v>
      </c>
      <c r="T2422">
        <v>1</v>
      </c>
      <c r="W2422">
        <v>1</v>
      </c>
      <c r="AC2422">
        <v>1</v>
      </c>
      <c r="AF2422">
        <v>1</v>
      </c>
      <c r="AH2422">
        <v>1</v>
      </c>
      <c r="AJ2422">
        <f>SUM(Post[[#This Row],[47]:[75]])</f>
        <v>7</v>
      </c>
    </row>
    <row r="2423" spans="1:36" x14ac:dyDescent="0.2">
      <c r="A2423" t="s">
        <v>59</v>
      </c>
      <c r="B2423" t="s">
        <v>54</v>
      </c>
      <c r="C2423">
        <v>8307</v>
      </c>
      <c r="D2423" t="s">
        <v>22</v>
      </c>
      <c r="E2423" t="s">
        <v>14</v>
      </c>
      <c r="F2423" t="s">
        <v>20</v>
      </c>
      <c r="V2423">
        <v>1</v>
      </c>
      <c r="AJ2423">
        <f>SUM(Post[[#This Row],[47]:[75]])</f>
        <v>1</v>
      </c>
    </row>
    <row r="2424" spans="1:36" x14ac:dyDescent="0.2">
      <c r="A2424" t="s">
        <v>59</v>
      </c>
      <c r="B2424" t="s">
        <v>54</v>
      </c>
      <c r="C2424">
        <v>7687</v>
      </c>
      <c r="D2424" t="s">
        <v>22</v>
      </c>
      <c r="E2424" t="s">
        <v>10</v>
      </c>
      <c r="F2424" t="s">
        <v>11</v>
      </c>
      <c r="AJ2424">
        <f>SUM(Post[[#This Row],[47]:[75]])</f>
        <v>0</v>
      </c>
    </row>
    <row r="2425" spans="1:36" x14ac:dyDescent="0.2">
      <c r="A2425" t="s">
        <v>59</v>
      </c>
      <c r="B2425" t="s">
        <v>54</v>
      </c>
      <c r="C2425">
        <v>5513</v>
      </c>
      <c r="D2425" t="s">
        <v>7</v>
      </c>
      <c r="E2425" t="s">
        <v>17</v>
      </c>
      <c r="F2425" t="s">
        <v>18</v>
      </c>
      <c r="AC2425">
        <v>2</v>
      </c>
      <c r="AD2425">
        <v>3</v>
      </c>
      <c r="AE2425">
        <v>3</v>
      </c>
      <c r="AF2425">
        <v>3</v>
      </c>
      <c r="AG2425">
        <v>3</v>
      </c>
      <c r="AH2425">
        <v>3</v>
      </c>
      <c r="AJ2425">
        <f>SUM(Post[[#This Row],[47]:[75]])</f>
        <v>17</v>
      </c>
    </row>
    <row r="2426" spans="1:36" x14ac:dyDescent="0.2">
      <c r="A2426" t="s">
        <v>59</v>
      </c>
      <c r="B2426" t="s">
        <v>54</v>
      </c>
      <c r="C2426">
        <v>5513</v>
      </c>
      <c r="D2426" t="s">
        <v>7</v>
      </c>
      <c r="E2426" t="s">
        <v>12</v>
      </c>
      <c r="F2426" t="s">
        <v>13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G2426">
        <v>2</v>
      </c>
      <c r="AH2426">
        <v>1</v>
      </c>
      <c r="AJ2426">
        <f>SUM(Post[[#This Row],[47]:[75]])</f>
        <v>27</v>
      </c>
    </row>
    <row r="2427" spans="1:36" x14ac:dyDescent="0.2">
      <c r="A2427" t="s">
        <v>59</v>
      </c>
      <c r="B2427" t="s">
        <v>54</v>
      </c>
      <c r="C2427">
        <v>5513</v>
      </c>
      <c r="D2427" t="s">
        <v>7</v>
      </c>
      <c r="E2427" t="s">
        <v>14</v>
      </c>
      <c r="F2427" t="s">
        <v>35</v>
      </c>
      <c r="AH2427">
        <v>3</v>
      </c>
      <c r="AJ2427">
        <f>SUM(Post[[#This Row],[47]:[75]])</f>
        <v>3</v>
      </c>
    </row>
    <row r="2428" spans="1:36" x14ac:dyDescent="0.2">
      <c r="A2428" t="s">
        <v>59</v>
      </c>
      <c r="B2428" t="s">
        <v>54</v>
      </c>
      <c r="C2428">
        <v>5513</v>
      </c>
      <c r="D2428" t="s">
        <v>7</v>
      </c>
      <c r="E2428" t="s">
        <v>14</v>
      </c>
      <c r="F2428" t="s">
        <v>21</v>
      </c>
      <c r="G2428">
        <v>3</v>
      </c>
      <c r="H2428">
        <v>3</v>
      </c>
      <c r="I2428">
        <v>3</v>
      </c>
      <c r="J2428">
        <v>3</v>
      </c>
      <c r="K2428">
        <v>3</v>
      </c>
      <c r="L2428">
        <v>3</v>
      </c>
      <c r="N2428">
        <v>3</v>
      </c>
      <c r="O2428">
        <v>3</v>
      </c>
      <c r="P2428">
        <v>3</v>
      </c>
      <c r="Q2428">
        <v>3</v>
      </c>
      <c r="R2428">
        <v>3</v>
      </c>
      <c r="S2428">
        <v>3</v>
      </c>
      <c r="T2428">
        <v>3</v>
      </c>
      <c r="U2428">
        <v>3</v>
      </c>
      <c r="V2428">
        <v>3</v>
      </c>
      <c r="W2428">
        <v>3</v>
      </c>
      <c r="X2428">
        <v>3</v>
      </c>
      <c r="Y2428">
        <v>3</v>
      </c>
      <c r="Z2428">
        <v>3</v>
      </c>
      <c r="AA2428">
        <v>3</v>
      </c>
      <c r="AB2428">
        <v>3</v>
      </c>
      <c r="AC2428">
        <v>1</v>
      </c>
      <c r="AJ2428">
        <f>SUM(Post[[#This Row],[47]:[75]])</f>
        <v>64</v>
      </c>
    </row>
    <row r="2429" spans="1:36" x14ac:dyDescent="0.2">
      <c r="A2429" t="s">
        <v>59</v>
      </c>
      <c r="B2429" t="s">
        <v>54</v>
      </c>
      <c r="C2429">
        <v>5513</v>
      </c>
      <c r="D2429" t="s">
        <v>7</v>
      </c>
      <c r="E2429" t="s">
        <v>14</v>
      </c>
      <c r="F2429" t="s">
        <v>20</v>
      </c>
      <c r="AC2429">
        <v>2</v>
      </c>
      <c r="AD2429">
        <v>3</v>
      </c>
      <c r="AE2429">
        <v>3</v>
      </c>
      <c r="AF2429">
        <v>3</v>
      </c>
      <c r="AG2429">
        <v>3</v>
      </c>
      <c r="AJ2429">
        <f>SUM(Post[[#This Row],[47]:[75]])</f>
        <v>14</v>
      </c>
    </row>
    <row r="2430" spans="1:36" x14ac:dyDescent="0.2">
      <c r="A2430" t="s">
        <v>59</v>
      </c>
      <c r="B2430" t="s">
        <v>54</v>
      </c>
      <c r="C2430">
        <v>5854</v>
      </c>
      <c r="D2430" t="s">
        <v>7</v>
      </c>
      <c r="E2430" t="s">
        <v>14</v>
      </c>
      <c r="F2430" t="s">
        <v>20</v>
      </c>
      <c r="G2430">
        <v>1</v>
      </c>
      <c r="I2430">
        <v>1</v>
      </c>
      <c r="N2430">
        <v>1</v>
      </c>
      <c r="P2430">
        <v>1</v>
      </c>
      <c r="R2430">
        <v>1</v>
      </c>
      <c r="T2430">
        <v>1</v>
      </c>
      <c r="U2430">
        <v>1</v>
      </c>
      <c r="X2430">
        <v>1</v>
      </c>
      <c r="Z2430">
        <v>1</v>
      </c>
      <c r="AB2430">
        <v>1</v>
      </c>
      <c r="AD2430">
        <v>2</v>
      </c>
      <c r="AI2430">
        <v>1</v>
      </c>
      <c r="AJ2430">
        <f>SUM(Post[[#This Row],[47]:[75]])</f>
        <v>13</v>
      </c>
    </row>
    <row r="2431" spans="1:36" x14ac:dyDescent="0.2">
      <c r="A2431" t="s">
        <v>59</v>
      </c>
      <c r="B2431" t="s">
        <v>54</v>
      </c>
      <c r="C2431">
        <v>8973</v>
      </c>
      <c r="D2431" t="s">
        <v>7</v>
      </c>
      <c r="E2431" t="s">
        <v>14</v>
      </c>
      <c r="F2431" t="s">
        <v>20</v>
      </c>
      <c r="AJ2431">
        <f>SUM(Post[[#This Row],[47]:[75]])</f>
        <v>0</v>
      </c>
    </row>
    <row r="2432" spans="1:36" x14ac:dyDescent="0.2">
      <c r="A2432" t="s">
        <v>59</v>
      </c>
      <c r="B2432" t="s">
        <v>54</v>
      </c>
      <c r="C2432">
        <v>23817</v>
      </c>
      <c r="D2432" t="s">
        <v>22</v>
      </c>
      <c r="E2432" t="s">
        <v>14</v>
      </c>
      <c r="F2432" t="s">
        <v>20</v>
      </c>
      <c r="H2432">
        <v>1</v>
      </c>
      <c r="K2432">
        <v>1</v>
      </c>
      <c r="O2432">
        <v>1</v>
      </c>
      <c r="S2432">
        <v>1</v>
      </c>
      <c r="W2432">
        <v>1</v>
      </c>
      <c r="Z2432">
        <v>1</v>
      </c>
      <c r="AD2432">
        <v>1</v>
      </c>
      <c r="AI2432">
        <v>1</v>
      </c>
      <c r="AJ2432">
        <f>SUM(Post[[#This Row],[47]:[75]])</f>
        <v>8</v>
      </c>
    </row>
    <row r="2433" spans="1:36" x14ac:dyDescent="0.2">
      <c r="A2433" t="s">
        <v>59</v>
      </c>
      <c r="B2433" t="s">
        <v>54</v>
      </c>
      <c r="C2433">
        <v>1659</v>
      </c>
      <c r="D2433" t="s">
        <v>7</v>
      </c>
      <c r="E2433" t="s">
        <v>8</v>
      </c>
      <c r="F2433" t="s">
        <v>23</v>
      </c>
      <c r="O2433">
        <v>1</v>
      </c>
      <c r="AC2433">
        <v>1</v>
      </c>
      <c r="AJ2433">
        <f>SUM(Post[[#This Row],[47]:[75]])</f>
        <v>2</v>
      </c>
    </row>
    <row r="2434" spans="1:36" x14ac:dyDescent="0.2">
      <c r="A2434" t="s">
        <v>59</v>
      </c>
      <c r="B2434" t="s">
        <v>54</v>
      </c>
      <c r="C2434">
        <v>2188</v>
      </c>
      <c r="D2434" t="s">
        <v>7</v>
      </c>
      <c r="E2434" t="s">
        <v>8</v>
      </c>
      <c r="F2434" t="s">
        <v>9</v>
      </c>
      <c r="J2434">
        <v>1</v>
      </c>
      <c r="Y2434">
        <v>1</v>
      </c>
      <c r="AJ2434">
        <f>SUM(Post[[#This Row],[47]:[75]])</f>
        <v>2</v>
      </c>
    </row>
    <row r="2435" spans="1:36" x14ac:dyDescent="0.2">
      <c r="A2435" t="s">
        <v>59</v>
      </c>
      <c r="B2435" t="s">
        <v>54</v>
      </c>
      <c r="C2435">
        <v>5263</v>
      </c>
      <c r="D2435" t="s">
        <v>7</v>
      </c>
      <c r="E2435" t="s">
        <v>8</v>
      </c>
      <c r="F2435" t="s">
        <v>29</v>
      </c>
      <c r="I2435">
        <v>1</v>
      </c>
      <c r="AA2435">
        <v>1</v>
      </c>
      <c r="AJ2435">
        <f>SUM(Post[[#This Row],[47]:[75]])</f>
        <v>2</v>
      </c>
    </row>
    <row r="2436" spans="1:36" x14ac:dyDescent="0.2">
      <c r="A2436" t="s">
        <v>59</v>
      </c>
      <c r="B2436" t="s">
        <v>54</v>
      </c>
      <c r="C2436">
        <v>5985</v>
      </c>
      <c r="D2436" t="s">
        <v>7</v>
      </c>
      <c r="E2436" t="s">
        <v>8</v>
      </c>
      <c r="F2436" t="s">
        <v>29</v>
      </c>
      <c r="I2436">
        <v>1</v>
      </c>
      <c r="X2436">
        <v>2</v>
      </c>
      <c r="AH2436">
        <v>1</v>
      </c>
      <c r="AJ2436">
        <f>SUM(Post[[#This Row],[47]:[75]])</f>
        <v>4</v>
      </c>
    </row>
    <row r="2437" spans="1:36" x14ac:dyDescent="0.2">
      <c r="A2437" t="s">
        <v>59</v>
      </c>
      <c r="B2437" t="s">
        <v>54</v>
      </c>
      <c r="C2437">
        <v>6023</v>
      </c>
      <c r="D2437" t="s">
        <v>7</v>
      </c>
      <c r="E2437" t="s">
        <v>8</v>
      </c>
      <c r="F2437" t="s">
        <v>29</v>
      </c>
      <c r="AJ2437">
        <f>SUM(Post[[#This Row],[47]:[75]])</f>
        <v>0</v>
      </c>
    </row>
    <row r="2438" spans="1:36" x14ac:dyDescent="0.2">
      <c r="A2438" t="s">
        <v>59</v>
      </c>
      <c r="B2438" t="s">
        <v>54</v>
      </c>
      <c r="C2438">
        <v>6322</v>
      </c>
      <c r="D2438" t="s">
        <v>7</v>
      </c>
      <c r="E2438" t="s">
        <v>8</v>
      </c>
      <c r="F2438" t="s">
        <v>9</v>
      </c>
      <c r="AE2438">
        <v>1</v>
      </c>
      <c r="AG2438">
        <v>1</v>
      </c>
      <c r="AJ2438">
        <f>SUM(Post[[#This Row],[47]:[75]])</f>
        <v>2</v>
      </c>
    </row>
    <row r="2439" spans="1:36" x14ac:dyDescent="0.2">
      <c r="A2439" t="s">
        <v>59</v>
      </c>
      <c r="B2439" t="s">
        <v>54</v>
      </c>
      <c r="C2439">
        <v>6478</v>
      </c>
      <c r="D2439" t="s">
        <v>7</v>
      </c>
      <c r="E2439" t="s">
        <v>8</v>
      </c>
      <c r="F2439" t="s">
        <v>9</v>
      </c>
      <c r="AJ2439">
        <f>SUM(Post[[#This Row],[47]:[75]])</f>
        <v>0</v>
      </c>
    </row>
    <row r="2440" spans="1:36" x14ac:dyDescent="0.2">
      <c r="A2440" t="s">
        <v>59</v>
      </c>
      <c r="B2440" t="s">
        <v>54</v>
      </c>
      <c r="C2440">
        <v>8038</v>
      </c>
      <c r="D2440" t="s">
        <v>7</v>
      </c>
      <c r="E2440" t="s">
        <v>8</v>
      </c>
      <c r="F2440" t="s">
        <v>9</v>
      </c>
      <c r="W2440">
        <v>1</v>
      </c>
      <c r="AJ2440">
        <f>SUM(Post[[#This Row],[47]:[75]])</f>
        <v>1</v>
      </c>
    </row>
    <row r="2441" spans="1:36" x14ac:dyDescent="0.2">
      <c r="A2441" t="s">
        <v>59</v>
      </c>
      <c r="B2441" t="s">
        <v>54</v>
      </c>
      <c r="C2441">
        <v>9218</v>
      </c>
      <c r="D2441" t="s">
        <v>7</v>
      </c>
      <c r="E2441" t="s">
        <v>8</v>
      </c>
      <c r="F2441" t="s">
        <v>9</v>
      </c>
      <c r="I2441">
        <v>1</v>
      </c>
      <c r="P2441">
        <v>2</v>
      </c>
      <c r="U2441">
        <v>1</v>
      </c>
      <c r="Y2441">
        <v>1</v>
      </c>
      <c r="AE2441">
        <v>1</v>
      </c>
      <c r="AJ2441">
        <f>SUM(Post[[#This Row],[47]:[75]])</f>
        <v>6</v>
      </c>
    </row>
    <row r="2442" spans="1:36" x14ac:dyDescent="0.2">
      <c r="A2442" t="s">
        <v>59</v>
      </c>
      <c r="B2442" t="s">
        <v>54</v>
      </c>
      <c r="C2442">
        <v>10236</v>
      </c>
      <c r="D2442" t="s">
        <v>7</v>
      </c>
      <c r="E2442" t="s">
        <v>8</v>
      </c>
      <c r="F2442" t="s">
        <v>9</v>
      </c>
      <c r="AJ2442">
        <f>SUM(Post[[#This Row],[47]:[75]])</f>
        <v>0</v>
      </c>
    </row>
    <row r="2443" spans="1:36" x14ac:dyDescent="0.2">
      <c r="A2443" t="s">
        <v>59</v>
      </c>
      <c r="B2443" t="s">
        <v>54</v>
      </c>
      <c r="C2443">
        <v>31244</v>
      </c>
      <c r="D2443" t="s">
        <v>7</v>
      </c>
      <c r="E2443" t="s">
        <v>8</v>
      </c>
      <c r="F2443" t="s">
        <v>23</v>
      </c>
      <c r="J2443">
        <v>1</v>
      </c>
      <c r="AA2443">
        <v>1</v>
      </c>
      <c r="AJ2443">
        <f>SUM(Post[[#This Row],[47]:[75]])</f>
        <v>2</v>
      </c>
    </row>
    <row r="2444" spans="1:36" x14ac:dyDescent="0.2">
      <c r="A2444" t="s">
        <v>59</v>
      </c>
      <c r="B2444" t="s">
        <v>54</v>
      </c>
      <c r="C2444">
        <v>473</v>
      </c>
      <c r="D2444" t="s">
        <v>22</v>
      </c>
      <c r="E2444" t="s">
        <v>8</v>
      </c>
      <c r="F2444" t="s">
        <v>23</v>
      </c>
      <c r="K2444">
        <v>1</v>
      </c>
      <c r="T2444">
        <v>1</v>
      </c>
      <c r="V2444">
        <v>2</v>
      </c>
      <c r="W2444">
        <v>1</v>
      </c>
      <c r="AG2444">
        <v>1</v>
      </c>
      <c r="AJ2444">
        <f>SUM(Post[[#This Row],[47]:[75]])</f>
        <v>6</v>
      </c>
    </row>
    <row r="2445" spans="1:36" x14ac:dyDescent="0.2">
      <c r="A2445" t="s">
        <v>59</v>
      </c>
      <c r="B2445" t="s">
        <v>54</v>
      </c>
      <c r="C2445">
        <v>825</v>
      </c>
      <c r="D2445" t="s">
        <v>22</v>
      </c>
      <c r="E2445" t="s">
        <v>8</v>
      </c>
      <c r="F2445" t="s">
        <v>9</v>
      </c>
      <c r="H2445">
        <v>1</v>
      </c>
      <c r="K2445">
        <v>1</v>
      </c>
      <c r="P2445">
        <v>1</v>
      </c>
      <c r="T2445">
        <v>1</v>
      </c>
      <c r="X2445">
        <v>1</v>
      </c>
      <c r="AB2445">
        <v>1</v>
      </c>
      <c r="AF2445">
        <v>1</v>
      </c>
      <c r="AJ2445">
        <f>SUM(Post[[#This Row],[47]:[75]])</f>
        <v>7</v>
      </c>
    </row>
    <row r="2446" spans="1:36" x14ac:dyDescent="0.2">
      <c r="A2446" t="s">
        <v>59</v>
      </c>
      <c r="B2446" t="s">
        <v>54</v>
      </c>
      <c r="C2446">
        <v>897</v>
      </c>
      <c r="D2446" t="s">
        <v>22</v>
      </c>
      <c r="E2446" t="s">
        <v>8</v>
      </c>
      <c r="F2446" t="s">
        <v>9</v>
      </c>
      <c r="N2446">
        <v>1</v>
      </c>
      <c r="AJ2446">
        <f>SUM(Post[[#This Row],[47]:[75]])</f>
        <v>1</v>
      </c>
    </row>
    <row r="2447" spans="1:36" x14ac:dyDescent="0.2">
      <c r="A2447" t="s">
        <v>59</v>
      </c>
      <c r="B2447" t="s">
        <v>54</v>
      </c>
      <c r="C2447">
        <v>1658</v>
      </c>
      <c r="D2447" t="s">
        <v>22</v>
      </c>
      <c r="E2447" t="s">
        <v>8</v>
      </c>
      <c r="F2447" t="s">
        <v>23</v>
      </c>
      <c r="O2447">
        <v>1</v>
      </c>
      <c r="AH2447">
        <v>1</v>
      </c>
      <c r="AJ2447">
        <f>SUM(Post[[#This Row],[47]:[75]])</f>
        <v>2</v>
      </c>
    </row>
    <row r="2448" spans="1:36" x14ac:dyDescent="0.2">
      <c r="A2448" t="s">
        <v>59</v>
      </c>
      <c r="B2448" t="s">
        <v>54</v>
      </c>
      <c r="C2448">
        <v>5139</v>
      </c>
      <c r="D2448" t="s">
        <v>22</v>
      </c>
      <c r="E2448" t="s">
        <v>8</v>
      </c>
      <c r="F2448" t="s">
        <v>9</v>
      </c>
      <c r="P2448">
        <v>1</v>
      </c>
      <c r="AD2448">
        <v>1</v>
      </c>
      <c r="AJ2448">
        <f>SUM(Post[[#This Row],[47]:[75]])</f>
        <v>2</v>
      </c>
    </row>
    <row r="2449" spans="1:36" x14ac:dyDescent="0.2">
      <c r="A2449" t="s">
        <v>59</v>
      </c>
      <c r="B2449" t="s">
        <v>54</v>
      </c>
      <c r="C2449">
        <v>7371</v>
      </c>
      <c r="D2449" t="s">
        <v>22</v>
      </c>
      <c r="E2449" t="s">
        <v>8</v>
      </c>
      <c r="F2449" t="s">
        <v>9</v>
      </c>
      <c r="AJ2449">
        <f>SUM(Post[[#This Row],[47]:[75]])</f>
        <v>0</v>
      </c>
    </row>
    <row r="2450" spans="1:36" x14ac:dyDescent="0.2">
      <c r="A2450" t="s">
        <v>59</v>
      </c>
      <c r="B2450" t="s">
        <v>54</v>
      </c>
      <c r="C2450">
        <v>7624</v>
      </c>
      <c r="D2450" t="s">
        <v>22</v>
      </c>
      <c r="E2450" t="s">
        <v>8</v>
      </c>
      <c r="F2450" t="s">
        <v>9</v>
      </c>
      <c r="I2450">
        <v>1</v>
      </c>
      <c r="L2450">
        <v>1</v>
      </c>
      <c r="X2450">
        <v>1</v>
      </c>
      <c r="AJ2450">
        <f>SUM(Post[[#This Row],[47]:[75]])</f>
        <v>3</v>
      </c>
    </row>
    <row r="2451" spans="1:36" x14ac:dyDescent="0.2">
      <c r="A2451" t="s">
        <v>59</v>
      </c>
      <c r="B2451" t="s">
        <v>54</v>
      </c>
      <c r="C2451">
        <v>8029</v>
      </c>
      <c r="D2451" t="s">
        <v>22</v>
      </c>
      <c r="E2451" t="s">
        <v>8</v>
      </c>
      <c r="F2451" t="s">
        <v>9</v>
      </c>
      <c r="Q2451">
        <v>2</v>
      </c>
      <c r="AJ2451">
        <f>SUM(Post[[#This Row],[47]:[75]])</f>
        <v>2</v>
      </c>
    </row>
    <row r="2452" spans="1:36" x14ac:dyDescent="0.2">
      <c r="A2452" t="s">
        <v>59</v>
      </c>
      <c r="B2452" t="s">
        <v>54</v>
      </c>
      <c r="C2452">
        <v>8513</v>
      </c>
      <c r="D2452" t="s">
        <v>22</v>
      </c>
      <c r="E2452" t="s">
        <v>8</v>
      </c>
      <c r="F2452" t="s">
        <v>9</v>
      </c>
      <c r="I2452">
        <v>1</v>
      </c>
      <c r="R2452">
        <v>1</v>
      </c>
      <c r="AJ2452">
        <f>SUM(Post[[#This Row],[47]:[75]])</f>
        <v>2</v>
      </c>
    </row>
    <row r="2453" spans="1:36" x14ac:dyDescent="0.2">
      <c r="A2453" t="s">
        <v>59</v>
      </c>
      <c r="B2453" t="s">
        <v>54</v>
      </c>
      <c r="C2453">
        <v>8744</v>
      </c>
      <c r="D2453" t="s">
        <v>22</v>
      </c>
      <c r="E2453" t="s">
        <v>8</v>
      </c>
      <c r="F2453" t="s">
        <v>9</v>
      </c>
      <c r="L2453">
        <v>1</v>
      </c>
      <c r="AA2453">
        <v>1</v>
      </c>
      <c r="AJ2453">
        <f>SUM(Post[[#This Row],[47]:[75]])</f>
        <v>2</v>
      </c>
    </row>
    <row r="2454" spans="1:36" x14ac:dyDescent="0.2">
      <c r="A2454" t="s">
        <v>59</v>
      </c>
      <c r="B2454" t="s">
        <v>54</v>
      </c>
      <c r="C2454">
        <v>9286</v>
      </c>
      <c r="D2454" t="s">
        <v>22</v>
      </c>
      <c r="E2454" t="s">
        <v>8</v>
      </c>
      <c r="F2454" t="s">
        <v>29</v>
      </c>
      <c r="T2454">
        <v>1</v>
      </c>
      <c r="AJ2454">
        <f>SUM(Post[[#This Row],[47]:[75]])</f>
        <v>1</v>
      </c>
    </row>
    <row r="2455" spans="1:36" x14ac:dyDescent="0.2">
      <c r="A2455" t="s">
        <v>59</v>
      </c>
      <c r="B2455" t="s">
        <v>54</v>
      </c>
      <c r="C2455">
        <v>10093</v>
      </c>
      <c r="D2455" t="s">
        <v>22</v>
      </c>
      <c r="E2455" t="s">
        <v>8</v>
      </c>
      <c r="F2455" t="s">
        <v>9</v>
      </c>
      <c r="S2455">
        <v>1</v>
      </c>
      <c r="AJ2455">
        <f>SUM(Post[[#This Row],[47]:[75]])</f>
        <v>1</v>
      </c>
    </row>
    <row r="2456" spans="1:36" x14ac:dyDescent="0.2">
      <c r="A2456" t="s">
        <v>59</v>
      </c>
      <c r="B2456" t="s">
        <v>54</v>
      </c>
      <c r="C2456">
        <v>11659</v>
      </c>
      <c r="D2456" t="s">
        <v>22</v>
      </c>
      <c r="E2456" t="s">
        <v>8</v>
      </c>
      <c r="F2456" t="s">
        <v>9</v>
      </c>
      <c r="S2456">
        <v>1</v>
      </c>
      <c r="AJ2456">
        <f>SUM(Post[[#This Row],[47]:[75]])</f>
        <v>1</v>
      </c>
    </row>
    <row r="2457" spans="1:36" x14ac:dyDescent="0.2">
      <c r="A2457" t="s">
        <v>59</v>
      </c>
      <c r="B2457" t="s">
        <v>54</v>
      </c>
      <c r="C2457">
        <v>11896</v>
      </c>
      <c r="D2457" t="s">
        <v>22</v>
      </c>
      <c r="E2457" t="s">
        <v>8</v>
      </c>
      <c r="F2457" t="s">
        <v>9</v>
      </c>
      <c r="U2457">
        <v>1</v>
      </c>
      <c r="AJ2457">
        <f>SUM(Post[[#This Row],[47]:[75]])</f>
        <v>1</v>
      </c>
    </row>
    <row r="2458" spans="1:36" x14ac:dyDescent="0.2">
      <c r="A2458" t="s">
        <v>59</v>
      </c>
      <c r="B2458" t="s">
        <v>54</v>
      </c>
      <c r="C2458">
        <v>12542</v>
      </c>
      <c r="D2458" t="s">
        <v>22</v>
      </c>
      <c r="E2458" t="s">
        <v>8</v>
      </c>
      <c r="F2458" t="s">
        <v>9</v>
      </c>
      <c r="P2458">
        <v>1</v>
      </c>
      <c r="AC2458">
        <v>2</v>
      </c>
      <c r="AJ2458">
        <f>SUM(Post[[#This Row],[47]:[75]])</f>
        <v>3</v>
      </c>
    </row>
    <row r="2459" spans="1:36" x14ac:dyDescent="0.2">
      <c r="A2459" t="s">
        <v>59</v>
      </c>
      <c r="B2459" t="s">
        <v>54</v>
      </c>
      <c r="C2459">
        <v>12654</v>
      </c>
      <c r="D2459" t="s">
        <v>22</v>
      </c>
      <c r="E2459" t="s">
        <v>8</v>
      </c>
      <c r="F2459" t="s">
        <v>29</v>
      </c>
      <c r="N2459">
        <v>1</v>
      </c>
      <c r="AE2459">
        <v>1</v>
      </c>
      <c r="AJ2459">
        <f>SUM(Post[[#This Row],[47]:[75]])</f>
        <v>2</v>
      </c>
    </row>
    <row r="2460" spans="1:36" x14ac:dyDescent="0.2">
      <c r="A2460" t="s">
        <v>59</v>
      </c>
      <c r="B2460" t="s">
        <v>54</v>
      </c>
      <c r="C2460">
        <v>14139</v>
      </c>
      <c r="D2460" t="s">
        <v>22</v>
      </c>
      <c r="E2460" t="s">
        <v>8</v>
      </c>
      <c r="F2460" t="s">
        <v>23</v>
      </c>
      <c r="S2460">
        <v>1</v>
      </c>
      <c r="AH2460">
        <v>1</v>
      </c>
      <c r="AJ2460">
        <f>SUM(Post[[#This Row],[47]:[75]])</f>
        <v>2</v>
      </c>
    </row>
    <row r="2461" spans="1:36" x14ac:dyDescent="0.2">
      <c r="A2461" t="s">
        <v>59</v>
      </c>
      <c r="B2461" t="s">
        <v>54</v>
      </c>
      <c r="C2461">
        <v>14907</v>
      </c>
      <c r="D2461" t="s">
        <v>22</v>
      </c>
      <c r="E2461" t="s">
        <v>8</v>
      </c>
      <c r="F2461" t="s">
        <v>9</v>
      </c>
      <c r="T2461">
        <v>1</v>
      </c>
      <c r="U2461">
        <v>1</v>
      </c>
      <c r="AJ2461">
        <f>SUM(Post[[#This Row],[47]:[75]])</f>
        <v>2</v>
      </c>
    </row>
    <row r="2462" spans="1:36" x14ac:dyDescent="0.2">
      <c r="A2462" t="s">
        <v>59</v>
      </c>
      <c r="B2462" t="s">
        <v>54</v>
      </c>
      <c r="C2462">
        <v>16360</v>
      </c>
      <c r="D2462" t="s">
        <v>22</v>
      </c>
      <c r="E2462" t="s">
        <v>8</v>
      </c>
      <c r="F2462" t="s">
        <v>9</v>
      </c>
      <c r="P2462">
        <v>3</v>
      </c>
      <c r="AJ2462">
        <f>SUM(Post[[#This Row],[47]:[75]])</f>
        <v>3</v>
      </c>
    </row>
    <row r="2463" spans="1:36" x14ac:dyDescent="0.2">
      <c r="A2463" t="s">
        <v>59</v>
      </c>
      <c r="B2463" t="s">
        <v>54</v>
      </c>
      <c r="C2463">
        <v>16962</v>
      </c>
      <c r="D2463" t="s">
        <v>22</v>
      </c>
      <c r="E2463" t="s">
        <v>8</v>
      </c>
      <c r="F2463" t="s">
        <v>9</v>
      </c>
      <c r="Q2463">
        <v>1</v>
      </c>
      <c r="AC2463">
        <v>1</v>
      </c>
      <c r="AE2463">
        <v>1</v>
      </c>
      <c r="AJ2463">
        <f>SUM(Post[[#This Row],[47]:[75]])</f>
        <v>3</v>
      </c>
    </row>
    <row r="2464" spans="1:36" x14ac:dyDescent="0.2">
      <c r="A2464" t="s">
        <v>59</v>
      </c>
      <c r="B2464" t="s">
        <v>54</v>
      </c>
      <c r="C2464">
        <v>19644</v>
      </c>
      <c r="D2464" t="s">
        <v>22</v>
      </c>
      <c r="E2464" t="s">
        <v>8</v>
      </c>
      <c r="F2464" t="s">
        <v>9</v>
      </c>
      <c r="H2464">
        <v>2</v>
      </c>
      <c r="K2464">
        <v>1</v>
      </c>
      <c r="AA2464">
        <v>1</v>
      </c>
      <c r="AJ2464">
        <f>SUM(Post[[#This Row],[47]:[75]])</f>
        <v>4</v>
      </c>
    </row>
    <row r="2465" spans="1:36" x14ac:dyDescent="0.2">
      <c r="A2465" t="s">
        <v>59</v>
      </c>
      <c r="B2465" t="s">
        <v>54</v>
      </c>
      <c r="C2465">
        <v>25415</v>
      </c>
      <c r="D2465" t="s">
        <v>22</v>
      </c>
      <c r="E2465" t="s">
        <v>8</v>
      </c>
      <c r="F2465" t="s">
        <v>9</v>
      </c>
      <c r="K2465">
        <v>1</v>
      </c>
      <c r="X2465">
        <v>1</v>
      </c>
      <c r="AJ2465">
        <f>SUM(Post[[#This Row],[47]:[75]])</f>
        <v>2</v>
      </c>
    </row>
    <row r="2466" spans="1:36" x14ac:dyDescent="0.2">
      <c r="A2466" t="s">
        <v>59</v>
      </c>
      <c r="B2466" t="s">
        <v>54</v>
      </c>
      <c r="C2466">
        <v>29369</v>
      </c>
      <c r="D2466" t="s">
        <v>22</v>
      </c>
      <c r="E2466" t="s">
        <v>8</v>
      </c>
      <c r="F2466" t="s">
        <v>9</v>
      </c>
      <c r="J2466">
        <v>1</v>
      </c>
      <c r="L2466">
        <v>1</v>
      </c>
      <c r="R2466">
        <v>1</v>
      </c>
      <c r="W2466">
        <v>1</v>
      </c>
      <c r="Z2466">
        <v>1</v>
      </c>
      <c r="AD2466">
        <v>1</v>
      </c>
      <c r="AG2466">
        <v>1</v>
      </c>
      <c r="AJ2466">
        <f>SUM(Post[[#This Row],[47]:[75]])</f>
        <v>7</v>
      </c>
    </row>
    <row r="2467" spans="1:36" x14ac:dyDescent="0.2">
      <c r="A2467" t="s">
        <v>59</v>
      </c>
      <c r="B2467" t="s">
        <v>54</v>
      </c>
      <c r="C2467">
        <v>1880</v>
      </c>
      <c r="D2467" t="s">
        <v>7</v>
      </c>
      <c r="E2467" t="s">
        <v>37</v>
      </c>
      <c r="F2467" t="s">
        <v>55</v>
      </c>
      <c r="O2467">
        <v>1</v>
      </c>
      <c r="R2467">
        <v>1</v>
      </c>
      <c r="AJ2467">
        <f>SUM(Post[[#This Row],[47]:[75]])</f>
        <v>2</v>
      </c>
    </row>
    <row r="2468" spans="1:36" x14ac:dyDescent="0.2">
      <c r="A2468" t="s">
        <v>59</v>
      </c>
      <c r="B2468" t="s">
        <v>54</v>
      </c>
      <c r="C2468">
        <v>1880</v>
      </c>
      <c r="D2468" t="s">
        <v>7</v>
      </c>
      <c r="E2468" t="s">
        <v>26</v>
      </c>
      <c r="F2468" t="s">
        <v>27</v>
      </c>
      <c r="V2468">
        <v>1</v>
      </c>
      <c r="AA2468">
        <v>1</v>
      </c>
      <c r="AF2468">
        <v>1</v>
      </c>
      <c r="AJ2468">
        <f>SUM(Post[[#This Row],[47]:[75]])</f>
        <v>3</v>
      </c>
    </row>
    <row r="2469" spans="1:36" x14ac:dyDescent="0.2">
      <c r="A2469" t="s">
        <v>59</v>
      </c>
      <c r="B2469" t="s">
        <v>54</v>
      </c>
      <c r="C2469">
        <v>1947</v>
      </c>
      <c r="D2469" t="s">
        <v>7</v>
      </c>
      <c r="E2469" t="s">
        <v>8</v>
      </c>
      <c r="F2469" t="s">
        <v>9</v>
      </c>
      <c r="S2469">
        <v>1</v>
      </c>
      <c r="AH2469">
        <v>1</v>
      </c>
      <c r="AJ2469">
        <f>SUM(Post[[#This Row],[47]:[75]])</f>
        <v>2</v>
      </c>
    </row>
    <row r="2470" spans="1:36" x14ac:dyDescent="0.2">
      <c r="A2470" t="s">
        <v>59</v>
      </c>
      <c r="B2470" t="s">
        <v>54</v>
      </c>
      <c r="C2470">
        <v>2392</v>
      </c>
      <c r="D2470" t="s">
        <v>7</v>
      </c>
      <c r="E2470" t="s">
        <v>37</v>
      </c>
      <c r="F2470" t="s">
        <v>55</v>
      </c>
      <c r="G2470">
        <v>1</v>
      </c>
      <c r="W2470">
        <v>1</v>
      </c>
      <c r="AJ2470">
        <f>SUM(Post[[#This Row],[47]:[75]])</f>
        <v>2</v>
      </c>
    </row>
    <row r="2471" spans="1:36" x14ac:dyDescent="0.2">
      <c r="A2471" t="s">
        <v>59</v>
      </c>
      <c r="B2471" t="s">
        <v>54</v>
      </c>
      <c r="C2471">
        <v>3449</v>
      </c>
      <c r="D2471" t="s">
        <v>7</v>
      </c>
      <c r="E2471" t="s">
        <v>8</v>
      </c>
      <c r="F2471" t="s">
        <v>9</v>
      </c>
      <c r="AJ2471">
        <f>SUM(Post[[#This Row],[47]:[75]])</f>
        <v>0</v>
      </c>
    </row>
    <row r="2472" spans="1:36" x14ac:dyDescent="0.2">
      <c r="A2472" t="s">
        <v>59</v>
      </c>
      <c r="B2472" t="s">
        <v>54</v>
      </c>
      <c r="C2472">
        <v>7863</v>
      </c>
      <c r="D2472" t="s">
        <v>7</v>
      </c>
      <c r="E2472" t="s">
        <v>8</v>
      </c>
      <c r="F2472" t="s">
        <v>9</v>
      </c>
      <c r="G2472">
        <v>1</v>
      </c>
      <c r="W2472">
        <v>1</v>
      </c>
      <c r="AF2472">
        <v>1</v>
      </c>
      <c r="AJ2472">
        <f>SUM(Post[[#This Row],[47]:[75]])</f>
        <v>3</v>
      </c>
    </row>
    <row r="2473" spans="1:36" x14ac:dyDescent="0.2">
      <c r="A2473" t="s">
        <v>59</v>
      </c>
      <c r="B2473" t="s">
        <v>54</v>
      </c>
      <c r="C2473">
        <v>11188</v>
      </c>
      <c r="D2473" t="s">
        <v>7</v>
      </c>
      <c r="E2473" t="s">
        <v>8</v>
      </c>
      <c r="F2473" t="s">
        <v>9</v>
      </c>
      <c r="J2473">
        <v>1</v>
      </c>
      <c r="L2473">
        <v>1</v>
      </c>
      <c r="P2473">
        <v>1</v>
      </c>
      <c r="S2473">
        <v>1</v>
      </c>
      <c r="V2473">
        <v>1</v>
      </c>
      <c r="Y2473">
        <v>1</v>
      </c>
      <c r="AD2473">
        <v>1</v>
      </c>
      <c r="AF2473">
        <v>1</v>
      </c>
      <c r="AJ2473">
        <f>SUM(Post[[#This Row],[47]:[75]])</f>
        <v>8</v>
      </c>
    </row>
    <row r="2474" spans="1:36" x14ac:dyDescent="0.2">
      <c r="A2474" t="s">
        <v>59</v>
      </c>
      <c r="B2474" t="s">
        <v>54</v>
      </c>
      <c r="C2474">
        <v>11535</v>
      </c>
      <c r="D2474" t="s">
        <v>7</v>
      </c>
      <c r="E2474" t="s">
        <v>37</v>
      </c>
      <c r="F2474" t="s">
        <v>55</v>
      </c>
      <c r="T2474">
        <v>1</v>
      </c>
      <c r="AI2474">
        <v>1</v>
      </c>
      <c r="AJ2474">
        <f>SUM(Post[[#This Row],[47]:[75]])</f>
        <v>2</v>
      </c>
    </row>
    <row r="2475" spans="1:36" x14ac:dyDescent="0.2">
      <c r="A2475" t="s">
        <v>59</v>
      </c>
      <c r="B2475" t="s">
        <v>54</v>
      </c>
      <c r="C2475">
        <v>11897</v>
      </c>
      <c r="D2475" t="s">
        <v>7</v>
      </c>
      <c r="E2475" t="s">
        <v>8</v>
      </c>
      <c r="F2475" t="s">
        <v>9</v>
      </c>
      <c r="H2475">
        <v>1</v>
      </c>
      <c r="V2475">
        <v>1</v>
      </c>
      <c r="AJ2475">
        <f>SUM(Post[[#This Row],[47]:[75]])</f>
        <v>2</v>
      </c>
    </row>
    <row r="2476" spans="1:36" x14ac:dyDescent="0.2">
      <c r="A2476" t="s">
        <v>59</v>
      </c>
      <c r="B2476" t="s">
        <v>54</v>
      </c>
      <c r="C2476">
        <v>12540</v>
      </c>
      <c r="D2476" t="s">
        <v>7</v>
      </c>
      <c r="E2476" t="s">
        <v>8</v>
      </c>
      <c r="F2476" t="s">
        <v>23</v>
      </c>
      <c r="W2476">
        <v>1</v>
      </c>
      <c r="AJ2476">
        <f>SUM(Post[[#This Row],[47]:[75]])</f>
        <v>1</v>
      </c>
    </row>
    <row r="2477" spans="1:36" x14ac:dyDescent="0.2">
      <c r="A2477" t="s">
        <v>59</v>
      </c>
      <c r="B2477" t="s">
        <v>54</v>
      </c>
      <c r="C2477">
        <v>13860</v>
      </c>
      <c r="D2477" t="s">
        <v>7</v>
      </c>
      <c r="E2477" t="s">
        <v>8</v>
      </c>
      <c r="F2477" t="s">
        <v>23</v>
      </c>
      <c r="K2477">
        <v>1</v>
      </c>
      <c r="AJ2477">
        <f>SUM(Post[[#This Row],[47]:[75]])</f>
        <v>1</v>
      </c>
    </row>
    <row r="2478" spans="1:36" x14ac:dyDescent="0.2">
      <c r="A2478" t="s">
        <v>59</v>
      </c>
      <c r="B2478" t="s">
        <v>54</v>
      </c>
      <c r="C2478">
        <v>13860</v>
      </c>
      <c r="D2478" t="s">
        <v>7</v>
      </c>
      <c r="E2478" t="s">
        <v>8</v>
      </c>
      <c r="F2478" t="s">
        <v>9</v>
      </c>
      <c r="L2478">
        <v>1</v>
      </c>
      <c r="AJ2478">
        <f>SUM(Post[[#This Row],[47]:[75]])</f>
        <v>1</v>
      </c>
    </row>
    <row r="2479" spans="1:36" x14ac:dyDescent="0.2">
      <c r="A2479" t="s">
        <v>59</v>
      </c>
      <c r="B2479" t="s">
        <v>54</v>
      </c>
      <c r="C2479">
        <v>14536</v>
      </c>
      <c r="D2479" t="s">
        <v>7</v>
      </c>
      <c r="E2479" t="s">
        <v>8</v>
      </c>
      <c r="F2479" t="s">
        <v>30</v>
      </c>
      <c r="U2479">
        <v>1</v>
      </c>
      <c r="AH2479">
        <v>1</v>
      </c>
      <c r="AJ2479">
        <f>SUM(Post[[#This Row],[47]:[75]])</f>
        <v>2</v>
      </c>
    </row>
    <row r="2480" spans="1:36" x14ac:dyDescent="0.2">
      <c r="A2480" t="s">
        <v>59</v>
      </c>
      <c r="B2480" t="s">
        <v>54</v>
      </c>
      <c r="C2480">
        <v>21179</v>
      </c>
      <c r="D2480" t="s">
        <v>7</v>
      </c>
      <c r="E2480" t="s">
        <v>8</v>
      </c>
      <c r="F2480" t="s">
        <v>9</v>
      </c>
      <c r="O2480">
        <v>1</v>
      </c>
      <c r="AB2480">
        <v>1</v>
      </c>
      <c r="AJ2480">
        <f>SUM(Post[[#This Row],[47]:[75]])</f>
        <v>2</v>
      </c>
    </row>
    <row r="2481" spans="1:36" x14ac:dyDescent="0.2">
      <c r="A2481" t="s">
        <v>59</v>
      </c>
      <c r="B2481" t="s">
        <v>54</v>
      </c>
      <c r="C2481">
        <v>1475</v>
      </c>
      <c r="D2481" t="s">
        <v>22</v>
      </c>
      <c r="E2481" t="s">
        <v>8</v>
      </c>
      <c r="F2481" t="s">
        <v>9</v>
      </c>
      <c r="K2481">
        <v>1</v>
      </c>
      <c r="AG2481">
        <v>1</v>
      </c>
      <c r="AJ2481">
        <f>SUM(Post[[#This Row],[47]:[75]])</f>
        <v>2</v>
      </c>
    </row>
    <row r="2482" spans="1:36" x14ac:dyDescent="0.2">
      <c r="A2482" t="s">
        <v>59</v>
      </c>
      <c r="B2482" t="s">
        <v>54</v>
      </c>
      <c r="C2482">
        <v>5669</v>
      </c>
      <c r="D2482" t="s">
        <v>22</v>
      </c>
      <c r="E2482" t="s">
        <v>8</v>
      </c>
      <c r="F2482" t="s">
        <v>23</v>
      </c>
      <c r="I2482">
        <v>1</v>
      </c>
      <c r="W2482">
        <v>1</v>
      </c>
      <c r="AJ2482">
        <f>SUM(Post[[#This Row],[47]:[75]])</f>
        <v>2</v>
      </c>
    </row>
    <row r="2483" spans="1:36" x14ac:dyDescent="0.2">
      <c r="A2483" t="s">
        <v>59</v>
      </c>
      <c r="B2483" t="s">
        <v>54</v>
      </c>
      <c r="C2483">
        <v>5867</v>
      </c>
      <c r="D2483" t="s">
        <v>22</v>
      </c>
      <c r="E2483" t="s">
        <v>8</v>
      </c>
      <c r="F2483" t="s">
        <v>29</v>
      </c>
      <c r="Q2483">
        <v>2</v>
      </c>
      <c r="AF2483">
        <v>1</v>
      </c>
      <c r="AJ2483">
        <f>SUM(Post[[#This Row],[47]:[75]])</f>
        <v>3</v>
      </c>
    </row>
    <row r="2484" spans="1:36" x14ac:dyDescent="0.2">
      <c r="A2484" t="s">
        <v>59</v>
      </c>
      <c r="B2484" t="s">
        <v>54</v>
      </c>
      <c r="C2484">
        <v>6678</v>
      </c>
      <c r="D2484" t="s">
        <v>22</v>
      </c>
      <c r="E2484" t="s">
        <v>8</v>
      </c>
      <c r="F2484" t="s">
        <v>23</v>
      </c>
      <c r="V2484">
        <v>1</v>
      </c>
      <c r="AJ2484">
        <f>SUM(Post[[#This Row],[47]:[75]])</f>
        <v>1</v>
      </c>
    </row>
    <row r="2485" spans="1:36" x14ac:dyDescent="0.2">
      <c r="A2485" t="s">
        <v>59</v>
      </c>
      <c r="B2485" t="s">
        <v>54</v>
      </c>
      <c r="C2485">
        <v>6791</v>
      </c>
      <c r="D2485" t="s">
        <v>22</v>
      </c>
      <c r="E2485" t="s">
        <v>8</v>
      </c>
      <c r="F2485" t="s">
        <v>29</v>
      </c>
      <c r="K2485">
        <v>1</v>
      </c>
      <c r="O2485">
        <v>1</v>
      </c>
      <c r="Q2485">
        <v>1</v>
      </c>
      <c r="T2485">
        <v>1</v>
      </c>
      <c r="W2485">
        <v>1</v>
      </c>
      <c r="Z2485">
        <v>1</v>
      </c>
      <c r="AD2485">
        <v>1</v>
      </c>
      <c r="AG2485">
        <v>1</v>
      </c>
      <c r="AJ2485">
        <f>SUM(Post[[#This Row],[47]:[75]])</f>
        <v>8</v>
      </c>
    </row>
    <row r="2486" spans="1:36" x14ac:dyDescent="0.2">
      <c r="A2486" t="s">
        <v>59</v>
      </c>
      <c r="B2486" t="s">
        <v>54</v>
      </c>
      <c r="C2486">
        <v>9147</v>
      </c>
      <c r="D2486" t="s">
        <v>22</v>
      </c>
      <c r="E2486" t="s">
        <v>8</v>
      </c>
      <c r="F2486" t="s">
        <v>9</v>
      </c>
      <c r="G2486">
        <v>1</v>
      </c>
      <c r="AJ2486">
        <f>SUM(Post[[#This Row],[47]:[75]])</f>
        <v>1</v>
      </c>
    </row>
    <row r="2487" spans="1:36" x14ac:dyDescent="0.2">
      <c r="A2487" t="s">
        <v>59</v>
      </c>
      <c r="B2487" t="s">
        <v>54</v>
      </c>
      <c r="C2487">
        <v>9353</v>
      </c>
      <c r="D2487" t="s">
        <v>22</v>
      </c>
      <c r="E2487" t="s">
        <v>8</v>
      </c>
      <c r="F2487" t="s">
        <v>23</v>
      </c>
      <c r="AJ2487">
        <f>SUM(Post[[#This Row],[47]:[75]])</f>
        <v>0</v>
      </c>
    </row>
    <row r="2488" spans="1:36" x14ac:dyDescent="0.2">
      <c r="A2488" t="s">
        <v>59</v>
      </c>
      <c r="B2488" t="s">
        <v>54</v>
      </c>
      <c r="C2488">
        <v>10357</v>
      </c>
      <c r="D2488" t="s">
        <v>22</v>
      </c>
      <c r="E2488" t="s">
        <v>8</v>
      </c>
      <c r="F2488" t="s">
        <v>9</v>
      </c>
      <c r="AJ2488">
        <f>SUM(Post[[#This Row],[47]:[75]])</f>
        <v>0</v>
      </c>
    </row>
    <row r="2489" spans="1:36" x14ac:dyDescent="0.2">
      <c r="A2489" t="s">
        <v>59</v>
      </c>
      <c r="B2489" t="s">
        <v>54</v>
      </c>
      <c r="C2489">
        <v>11802</v>
      </c>
      <c r="D2489" t="s">
        <v>22</v>
      </c>
      <c r="E2489" t="s">
        <v>8</v>
      </c>
      <c r="F2489" t="s">
        <v>9</v>
      </c>
      <c r="G2489">
        <v>1</v>
      </c>
      <c r="W2489">
        <v>1</v>
      </c>
      <c r="AJ2489">
        <f>SUM(Post[[#This Row],[47]:[75]])</f>
        <v>2</v>
      </c>
    </row>
    <row r="2490" spans="1:36" x14ac:dyDescent="0.2">
      <c r="A2490" t="s">
        <v>59</v>
      </c>
      <c r="B2490" t="s">
        <v>54</v>
      </c>
      <c r="C2490">
        <v>12128</v>
      </c>
      <c r="D2490" t="s">
        <v>22</v>
      </c>
      <c r="E2490" t="s">
        <v>8</v>
      </c>
      <c r="F2490" t="s">
        <v>23</v>
      </c>
      <c r="R2490">
        <v>1</v>
      </c>
      <c r="S2490">
        <v>1</v>
      </c>
      <c r="AC2490">
        <v>1</v>
      </c>
      <c r="AJ2490">
        <f>SUM(Post[[#This Row],[47]:[75]])</f>
        <v>3</v>
      </c>
    </row>
    <row r="2491" spans="1:36" x14ac:dyDescent="0.2">
      <c r="A2491" t="s">
        <v>59</v>
      </c>
      <c r="B2491" t="s">
        <v>54</v>
      </c>
      <c r="C2491">
        <v>17161</v>
      </c>
      <c r="D2491" t="s">
        <v>22</v>
      </c>
      <c r="E2491" t="s">
        <v>8</v>
      </c>
      <c r="F2491" t="s">
        <v>23</v>
      </c>
      <c r="R2491">
        <v>1</v>
      </c>
      <c r="X2491">
        <v>4</v>
      </c>
      <c r="Y2491">
        <v>2</v>
      </c>
      <c r="AD2491">
        <v>1</v>
      </c>
      <c r="AI2491">
        <v>1</v>
      </c>
      <c r="AJ2491">
        <f>SUM(Post[[#This Row],[47]:[75]])</f>
        <v>9</v>
      </c>
    </row>
    <row r="2492" spans="1:36" x14ac:dyDescent="0.2">
      <c r="A2492" t="s">
        <v>59</v>
      </c>
      <c r="B2492" t="s">
        <v>54</v>
      </c>
      <c r="C2492">
        <v>20251</v>
      </c>
      <c r="D2492" t="s">
        <v>22</v>
      </c>
      <c r="E2492" t="s">
        <v>8</v>
      </c>
      <c r="F2492" t="s">
        <v>9</v>
      </c>
      <c r="H2492">
        <v>1</v>
      </c>
      <c r="R2492">
        <v>2</v>
      </c>
      <c r="T2492">
        <v>2</v>
      </c>
      <c r="V2492">
        <v>1</v>
      </c>
      <c r="AC2492">
        <v>1</v>
      </c>
      <c r="AJ2492">
        <f>SUM(Post[[#This Row],[47]:[75]])</f>
        <v>7</v>
      </c>
    </row>
    <row r="2493" spans="1:36" x14ac:dyDescent="0.2">
      <c r="A2493" t="s">
        <v>59</v>
      </c>
      <c r="B2493" t="s">
        <v>54</v>
      </c>
      <c r="C2493">
        <v>20588</v>
      </c>
      <c r="D2493" t="s">
        <v>22</v>
      </c>
      <c r="E2493" t="s">
        <v>8</v>
      </c>
      <c r="F2493" t="s">
        <v>9</v>
      </c>
      <c r="AJ2493">
        <f>SUM(Post[[#This Row],[47]:[75]])</f>
        <v>0</v>
      </c>
    </row>
    <row r="2494" spans="1:36" x14ac:dyDescent="0.2">
      <c r="A2494" t="s">
        <v>59</v>
      </c>
      <c r="B2494" t="s">
        <v>54</v>
      </c>
      <c r="C2494">
        <v>22538</v>
      </c>
      <c r="D2494" t="s">
        <v>22</v>
      </c>
      <c r="E2494" t="s">
        <v>8</v>
      </c>
      <c r="F2494" t="s">
        <v>29</v>
      </c>
      <c r="N2494">
        <v>1</v>
      </c>
      <c r="AB2494">
        <v>1</v>
      </c>
      <c r="AJ2494">
        <f>SUM(Post[[#This Row],[47]:[75]])</f>
        <v>2</v>
      </c>
    </row>
    <row r="2495" spans="1:36" x14ac:dyDescent="0.2">
      <c r="A2495" t="s">
        <v>59</v>
      </c>
      <c r="B2495" t="s">
        <v>54</v>
      </c>
      <c r="C2495">
        <v>31273</v>
      </c>
      <c r="D2495" t="s">
        <v>22</v>
      </c>
      <c r="E2495" t="s">
        <v>8</v>
      </c>
      <c r="F2495" t="s">
        <v>9</v>
      </c>
      <c r="N2495">
        <v>1</v>
      </c>
      <c r="AA2495">
        <v>1</v>
      </c>
      <c r="AJ2495">
        <f>SUM(Post[[#This Row],[47]:[75]])</f>
        <v>2</v>
      </c>
    </row>
    <row r="2496" spans="1:36" x14ac:dyDescent="0.2">
      <c r="A2496" t="s">
        <v>59</v>
      </c>
      <c r="B2496" t="s">
        <v>54</v>
      </c>
      <c r="C2496">
        <v>33633</v>
      </c>
      <c r="D2496" t="s">
        <v>22</v>
      </c>
      <c r="E2496" t="s">
        <v>8</v>
      </c>
      <c r="F2496" t="s">
        <v>29</v>
      </c>
      <c r="G2496">
        <v>1</v>
      </c>
      <c r="V2496">
        <v>1</v>
      </c>
      <c r="AJ2496">
        <f>SUM(Post[[#This Row],[47]:[75]])</f>
        <v>2</v>
      </c>
    </row>
    <row r="2497" spans="1:36" x14ac:dyDescent="0.2">
      <c r="A2497" t="s">
        <v>60</v>
      </c>
      <c r="B2497" t="s">
        <v>54</v>
      </c>
      <c r="C2497">
        <v>950</v>
      </c>
      <c r="D2497" t="s">
        <v>7</v>
      </c>
      <c r="E2497" t="s">
        <v>8</v>
      </c>
      <c r="F2497" t="s">
        <v>29</v>
      </c>
      <c r="AJ2497">
        <f>SUM(Post[[#This Row],[47]:[75]])</f>
        <v>0</v>
      </c>
    </row>
    <row r="2498" spans="1:36" x14ac:dyDescent="0.2">
      <c r="A2498" t="s">
        <v>60</v>
      </c>
      <c r="B2498" t="s">
        <v>54</v>
      </c>
      <c r="C2498">
        <v>1256</v>
      </c>
      <c r="D2498" t="s">
        <v>7</v>
      </c>
      <c r="E2498" t="s">
        <v>8</v>
      </c>
      <c r="F2498" t="s">
        <v>9</v>
      </c>
      <c r="L2498">
        <v>1</v>
      </c>
      <c r="T2498">
        <v>1</v>
      </c>
      <c r="AG2498">
        <v>1</v>
      </c>
      <c r="AJ2498">
        <f>SUM(Post[[#This Row],[47]:[75]])</f>
        <v>3</v>
      </c>
    </row>
    <row r="2499" spans="1:36" x14ac:dyDescent="0.2">
      <c r="A2499" t="s">
        <v>60</v>
      </c>
      <c r="B2499" t="s">
        <v>54</v>
      </c>
      <c r="C2499">
        <v>1389</v>
      </c>
      <c r="D2499" t="s">
        <v>7</v>
      </c>
      <c r="E2499" t="s">
        <v>10</v>
      </c>
      <c r="F2499" t="s">
        <v>11</v>
      </c>
      <c r="U2499">
        <v>1</v>
      </c>
      <c r="AJ2499">
        <f>SUM(Post[[#This Row],[47]:[75]])</f>
        <v>1</v>
      </c>
    </row>
    <row r="2500" spans="1:36" x14ac:dyDescent="0.2">
      <c r="A2500" t="s">
        <v>60</v>
      </c>
      <c r="B2500" t="s">
        <v>54</v>
      </c>
      <c r="C2500">
        <v>2184</v>
      </c>
      <c r="D2500" t="s">
        <v>7</v>
      </c>
      <c r="E2500" t="s">
        <v>14</v>
      </c>
      <c r="F2500" t="s">
        <v>21</v>
      </c>
      <c r="AJ2500">
        <f>SUM(Post[[#This Row],[47]:[75]])</f>
        <v>0</v>
      </c>
    </row>
    <row r="2501" spans="1:36" x14ac:dyDescent="0.2">
      <c r="A2501" t="s">
        <v>60</v>
      </c>
      <c r="B2501" t="s">
        <v>54</v>
      </c>
      <c r="C2501">
        <v>4714</v>
      </c>
      <c r="D2501" t="s">
        <v>7</v>
      </c>
      <c r="E2501" t="s">
        <v>14</v>
      </c>
      <c r="F2501" t="s">
        <v>35</v>
      </c>
      <c r="I2501">
        <v>1</v>
      </c>
      <c r="AJ2501">
        <f>SUM(Post[[#This Row],[47]:[75]])</f>
        <v>1</v>
      </c>
    </row>
    <row r="2502" spans="1:36" x14ac:dyDescent="0.2">
      <c r="A2502" t="s">
        <v>60</v>
      </c>
      <c r="B2502" t="s">
        <v>54</v>
      </c>
      <c r="C2502">
        <v>5037</v>
      </c>
      <c r="D2502" t="s">
        <v>7</v>
      </c>
      <c r="E2502" t="s">
        <v>8</v>
      </c>
      <c r="F2502" t="s">
        <v>23</v>
      </c>
      <c r="R2502">
        <v>1</v>
      </c>
      <c r="T2502">
        <v>1</v>
      </c>
      <c r="AH2502">
        <v>1</v>
      </c>
      <c r="AJ2502">
        <f>SUM(Post[[#This Row],[47]:[75]])</f>
        <v>3</v>
      </c>
    </row>
    <row r="2503" spans="1:36" x14ac:dyDescent="0.2">
      <c r="A2503" t="s">
        <v>60</v>
      </c>
      <c r="B2503" t="s">
        <v>54</v>
      </c>
      <c r="C2503">
        <v>6251</v>
      </c>
      <c r="D2503" t="s">
        <v>7</v>
      </c>
      <c r="E2503" t="s">
        <v>14</v>
      </c>
      <c r="F2503" t="s">
        <v>19</v>
      </c>
      <c r="P2503">
        <v>1</v>
      </c>
      <c r="AJ2503">
        <f>SUM(Post[[#This Row],[47]:[75]])</f>
        <v>1</v>
      </c>
    </row>
    <row r="2504" spans="1:36" x14ac:dyDescent="0.2">
      <c r="A2504" t="s">
        <v>60</v>
      </c>
      <c r="B2504" t="s">
        <v>54</v>
      </c>
      <c r="C2504">
        <v>7137</v>
      </c>
      <c r="D2504" t="s">
        <v>7</v>
      </c>
      <c r="E2504" t="s">
        <v>8</v>
      </c>
      <c r="F2504" t="s">
        <v>34</v>
      </c>
      <c r="P2504">
        <v>1</v>
      </c>
      <c r="AG2504">
        <v>1</v>
      </c>
      <c r="AJ2504">
        <f>SUM(Post[[#This Row],[47]:[75]])</f>
        <v>2</v>
      </c>
    </row>
    <row r="2505" spans="1:36" x14ac:dyDescent="0.2">
      <c r="A2505" t="s">
        <v>60</v>
      </c>
      <c r="B2505" t="s">
        <v>54</v>
      </c>
      <c r="C2505">
        <v>7880</v>
      </c>
      <c r="D2505" t="s">
        <v>7</v>
      </c>
      <c r="E2505" t="s">
        <v>14</v>
      </c>
      <c r="F2505" t="s">
        <v>35</v>
      </c>
      <c r="I2505">
        <v>1</v>
      </c>
      <c r="K2505">
        <v>1</v>
      </c>
      <c r="V2505">
        <v>1</v>
      </c>
      <c r="AG2505">
        <v>1</v>
      </c>
      <c r="AJ2505">
        <f>SUM(Post[[#This Row],[47]:[75]])</f>
        <v>4</v>
      </c>
    </row>
    <row r="2506" spans="1:36" x14ac:dyDescent="0.2">
      <c r="A2506" t="s">
        <v>60</v>
      </c>
      <c r="B2506" t="s">
        <v>54</v>
      </c>
      <c r="C2506">
        <v>8553</v>
      </c>
      <c r="D2506" t="s">
        <v>7</v>
      </c>
      <c r="E2506" t="s">
        <v>10</v>
      </c>
      <c r="F2506" t="s">
        <v>11</v>
      </c>
      <c r="AJ2506">
        <f>SUM(Post[[#This Row],[47]:[75]])</f>
        <v>0</v>
      </c>
    </row>
    <row r="2507" spans="1:36" x14ac:dyDescent="0.2">
      <c r="A2507" t="s">
        <v>60</v>
      </c>
      <c r="B2507" t="s">
        <v>54</v>
      </c>
      <c r="C2507">
        <v>8553</v>
      </c>
      <c r="D2507" t="s">
        <v>7</v>
      </c>
      <c r="E2507" t="s">
        <v>8</v>
      </c>
      <c r="F2507" t="s">
        <v>23</v>
      </c>
      <c r="V2507">
        <v>1</v>
      </c>
      <c r="AG2507">
        <v>2</v>
      </c>
      <c r="AJ2507">
        <f>SUM(Post[[#This Row],[47]:[75]])</f>
        <v>3</v>
      </c>
    </row>
    <row r="2508" spans="1:36" x14ac:dyDescent="0.2">
      <c r="A2508" t="s">
        <v>60</v>
      </c>
      <c r="B2508" t="s">
        <v>54</v>
      </c>
      <c r="C2508">
        <v>8553</v>
      </c>
      <c r="D2508" t="s">
        <v>7</v>
      </c>
      <c r="E2508" t="s">
        <v>14</v>
      </c>
      <c r="F2508" t="s">
        <v>21</v>
      </c>
      <c r="S2508">
        <v>1</v>
      </c>
      <c r="AG2508">
        <v>1</v>
      </c>
      <c r="AJ2508">
        <f>SUM(Post[[#This Row],[47]:[75]])</f>
        <v>2</v>
      </c>
    </row>
    <row r="2509" spans="1:36" x14ac:dyDescent="0.2">
      <c r="A2509" t="s">
        <v>60</v>
      </c>
      <c r="B2509" t="s">
        <v>54</v>
      </c>
      <c r="C2509">
        <v>9557</v>
      </c>
      <c r="D2509" t="s">
        <v>7</v>
      </c>
      <c r="E2509" t="s">
        <v>8</v>
      </c>
      <c r="F2509" t="s">
        <v>23</v>
      </c>
      <c r="AE2509">
        <v>1</v>
      </c>
      <c r="AJ2509">
        <f>SUM(Post[[#This Row],[47]:[75]])</f>
        <v>1</v>
      </c>
    </row>
    <row r="2510" spans="1:36" x14ac:dyDescent="0.2">
      <c r="A2510" t="s">
        <v>60</v>
      </c>
      <c r="B2510" t="s">
        <v>54</v>
      </c>
      <c r="C2510">
        <v>10861</v>
      </c>
      <c r="D2510" t="s">
        <v>7</v>
      </c>
      <c r="E2510" t="s">
        <v>14</v>
      </c>
      <c r="F2510" t="s">
        <v>31</v>
      </c>
      <c r="H2510">
        <v>1</v>
      </c>
      <c r="AJ2510">
        <f>SUM(Post[[#This Row],[47]:[75]])</f>
        <v>1</v>
      </c>
    </row>
    <row r="2511" spans="1:36" x14ac:dyDescent="0.2">
      <c r="A2511" t="s">
        <v>60</v>
      </c>
      <c r="B2511" t="s">
        <v>54</v>
      </c>
      <c r="C2511">
        <v>11641</v>
      </c>
      <c r="D2511" t="s">
        <v>7</v>
      </c>
      <c r="E2511" t="s">
        <v>8</v>
      </c>
      <c r="F2511" t="s">
        <v>23</v>
      </c>
      <c r="P2511">
        <v>1</v>
      </c>
      <c r="AD2511">
        <v>2</v>
      </c>
      <c r="AJ2511">
        <f>SUM(Post[[#This Row],[47]:[75]])</f>
        <v>3</v>
      </c>
    </row>
    <row r="2512" spans="1:36" x14ac:dyDescent="0.2">
      <c r="A2512" t="s">
        <v>60</v>
      </c>
      <c r="B2512" t="s">
        <v>54</v>
      </c>
      <c r="C2512">
        <v>12099</v>
      </c>
      <c r="D2512" t="s">
        <v>7</v>
      </c>
      <c r="E2512" t="s">
        <v>14</v>
      </c>
      <c r="F2512" t="s">
        <v>15</v>
      </c>
      <c r="G2512">
        <v>1</v>
      </c>
      <c r="I2512">
        <v>1</v>
      </c>
      <c r="K2512">
        <v>1</v>
      </c>
      <c r="L2512">
        <v>1</v>
      </c>
      <c r="N2512">
        <v>2</v>
      </c>
      <c r="O2512">
        <v>1</v>
      </c>
      <c r="P2512">
        <v>1</v>
      </c>
      <c r="R2512">
        <v>1</v>
      </c>
      <c r="T2512">
        <v>1</v>
      </c>
      <c r="W2512">
        <v>1</v>
      </c>
      <c r="X2512">
        <v>1</v>
      </c>
      <c r="Z2512">
        <v>1</v>
      </c>
      <c r="AD2512">
        <v>1</v>
      </c>
      <c r="AF2512">
        <v>1</v>
      </c>
      <c r="AH2512">
        <v>1</v>
      </c>
      <c r="AJ2512">
        <f>SUM(Post[[#This Row],[47]:[75]])</f>
        <v>16</v>
      </c>
    </row>
    <row r="2513" spans="1:36" x14ac:dyDescent="0.2">
      <c r="A2513" t="s">
        <v>60</v>
      </c>
      <c r="B2513" t="s">
        <v>54</v>
      </c>
      <c r="C2513">
        <v>13331</v>
      </c>
      <c r="D2513" t="s">
        <v>7</v>
      </c>
      <c r="E2513" t="s">
        <v>8</v>
      </c>
      <c r="F2513" t="s">
        <v>23</v>
      </c>
      <c r="I2513">
        <v>1</v>
      </c>
      <c r="N2513">
        <v>1</v>
      </c>
      <c r="Q2513">
        <v>1</v>
      </c>
      <c r="V2513">
        <v>1</v>
      </c>
      <c r="Z2513">
        <v>1</v>
      </c>
      <c r="AD2513">
        <v>1</v>
      </c>
      <c r="AI2513">
        <v>1</v>
      </c>
      <c r="AJ2513">
        <f>SUM(Post[[#This Row],[47]:[75]])</f>
        <v>7</v>
      </c>
    </row>
    <row r="2514" spans="1:36" x14ac:dyDescent="0.2">
      <c r="A2514" t="s">
        <v>60</v>
      </c>
      <c r="B2514" t="s">
        <v>54</v>
      </c>
      <c r="C2514">
        <v>13331</v>
      </c>
      <c r="D2514" t="s">
        <v>7</v>
      </c>
      <c r="E2514" t="s">
        <v>26</v>
      </c>
      <c r="F2514" t="s">
        <v>27</v>
      </c>
      <c r="I2514">
        <v>1</v>
      </c>
      <c r="N2514">
        <v>1</v>
      </c>
      <c r="Q2514">
        <v>1</v>
      </c>
      <c r="V2514">
        <v>1</v>
      </c>
      <c r="Z2514">
        <v>1</v>
      </c>
      <c r="AD2514">
        <v>1</v>
      </c>
      <c r="AI2514">
        <v>1</v>
      </c>
      <c r="AJ2514">
        <f>SUM(Post[[#This Row],[47]:[75]])</f>
        <v>7</v>
      </c>
    </row>
    <row r="2515" spans="1:36" x14ac:dyDescent="0.2">
      <c r="A2515" t="s">
        <v>60</v>
      </c>
      <c r="B2515" t="s">
        <v>54</v>
      </c>
      <c r="C2515">
        <v>14717</v>
      </c>
      <c r="D2515" t="s">
        <v>7</v>
      </c>
      <c r="E2515" t="s">
        <v>14</v>
      </c>
      <c r="F2515" t="s">
        <v>19</v>
      </c>
      <c r="G2515">
        <v>1</v>
      </c>
      <c r="J2515">
        <v>1</v>
      </c>
      <c r="O2515">
        <v>1</v>
      </c>
      <c r="T2515">
        <v>1</v>
      </c>
      <c r="X2515">
        <v>3</v>
      </c>
      <c r="AJ2515">
        <f>SUM(Post[[#This Row],[47]:[75]])</f>
        <v>7</v>
      </c>
    </row>
    <row r="2516" spans="1:36" x14ac:dyDescent="0.2">
      <c r="A2516" t="s">
        <v>60</v>
      </c>
      <c r="B2516" t="s">
        <v>54</v>
      </c>
      <c r="C2516">
        <v>16864</v>
      </c>
      <c r="D2516" t="s">
        <v>7</v>
      </c>
      <c r="E2516" t="s">
        <v>8</v>
      </c>
      <c r="F2516" t="s">
        <v>23</v>
      </c>
      <c r="J2516">
        <v>1</v>
      </c>
      <c r="L2516">
        <v>2</v>
      </c>
      <c r="AC2516">
        <v>1</v>
      </c>
      <c r="AJ2516">
        <f>SUM(Post[[#This Row],[47]:[75]])</f>
        <v>4</v>
      </c>
    </row>
    <row r="2517" spans="1:36" x14ac:dyDescent="0.2">
      <c r="A2517" t="s">
        <v>60</v>
      </c>
      <c r="B2517" t="s">
        <v>54</v>
      </c>
      <c r="C2517">
        <v>18103</v>
      </c>
      <c r="D2517" t="s">
        <v>7</v>
      </c>
      <c r="E2517" t="s">
        <v>17</v>
      </c>
      <c r="F2517" t="s">
        <v>18</v>
      </c>
      <c r="Y2517">
        <v>1</v>
      </c>
      <c r="AJ2517">
        <f>SUM(Post[[#This Row],[47]:[75]])</f>
        <v>1</v>
      </c>
    </row>
    <row r="2518" spans="1:36" x14ac:dyDescent="0.2">
      <c r="A2518" t="s">
        <v>60</v>
      </c>
      <c r="B2518" t="s">
        <v>54</v>
      </c>
      <c r="C2518">
        <v>18103</v>
      </c>
      <c r="D2518" t="s">
        <v>7</v>
      </c>
      <c r="E2518" t="s">
        <v>14</v>
      </c>
      <c r="F2518" t="s">
        <v>35</v>
      </c>
      <c r="K2518">
        <v>1</v>
      </c>
      <c r="Y2518">
        <v>1</v>
      </c>
      <c r="AJ2518">
        <f>SUM(Post[[#This Row],[47]:[75]])</f>
        <v>2</v>
      </c>
    </row>
    <row r="2519" spans="1:36" x14ac:dyDescent="0.2">
      <c r="A2519" t="s">
        <v>60</v>
      </c>
      <c r="B2519" t="s">
        <v>54</v>
      </c>
      <c r="C2519">
        <v>20179</v>
      </c>
      <c r="D2519" t="s">
        <v>7</v>
      </c>
      <c r="E2519" t="s">
        <v>14</v>
      </c>
      <c r="F2519" t="s">
        <v>35</v>
      </c>
      <c r="AJ2519">
        <f>SUM(Post[[#This Row],[47]:[75]])</f>
        <v>0</v>
      </c>
    </row>
    <row r="2520" spans="1:36" x14ac:dyDescent="0.2">
      <c r="A2520" t="s">
        <v>60</v>
      </c>
      <c r="B2520" t="s">
        <v>54</v>
      </c>
      <c r="C2520">
        <v>20697</v>
      </c>
      <c r="D2520" t="s">
        <v>7</v>
      </c>
      <c r="E2520" t="s">
        <v>8</v>
      </c>
      <c r="F2520" t="s">
        <v>9</v>
      </c>
      <c r="AJ2520">
        <f>SUM(Post[[#This Row],[47]:[75]])</f>
        <v>0</v>
      </c>
    </row>
    <row r="2521" spans="1:36" x14ac:dyDescent="0.2">
      <c r="A2521" t="s">
        <v>60</v>
      </c>
      <c r="B2521" t="s">
        <v>54</v>
      </c>
      <c r="C2521">
        <v>33087</v>
      </c>
      <c r="D2521" t="s">
        <v>7</v>
      </c>
      <c r="E2521" t="s">
        <v>14</v>
      </c>
      <c r="F2521" t="s">
        <v>20</v>
      </c>
      <c r="AJ2521">
        <f>SUM(Post[[#This Row],[47]:[75]])</f>
        <v>0</v>
      </c>
    </row>
    <row r="2522" spans="1:36" x14ac:dyDescent="0.2">
      <c r="A2522" t="s">
        <v>60</v>
      </c>
      <c r="B2522" t="s">
        <v>54</v>
      </c>
      <c r="C2522">
        <v>631</v>
      </c>
      <c r="D2522" t="s">
        <v>22</v>
      </c>
      <c r="E2522" t="s">
        <v>26</v>
      </c>
      <c r="F2522" t="s">
        <v>27</v>
      </c>
      <c r="P2522">
        <v>1</v>
      </c>
      <c r="AD2522">
        <v>1</v>
      </c>
      <c r="AJ2522">
        <f>SUM(Post[[#This Row],[47]:[75]])</f>
        <v>2</v>
      </c>
    </row>
    <row r="2523" spans="1:36" x14ac:dyDescent="0.2">
      <c r="A2523" t="s">
        <v>60</v>
      </c>
      <c r="B2523" t="s">
        <v>54</v>
      </c>
      <c r="C2523">
        <v>4530</v>
      </c>
      <c r="D2523" t="s">
        <v>22</v>
      </c>
      <c r="E2523" t="s">
        <v>14</v>
      </c>
      <c r="F2523" t="s">
        <v>19</v>
      </c>
      <c r="AJ2523">
        <f>SUM(Post[[#This Row],[47]:[75]])</f>
        <v>0</v>
      </c>
    </row>
    <row r="2524" spans="1:36" x14ac:dyDescent="0.2">
      <c r="A2524" t="s">
        <v>60</v>
      </c>
      <c r="B2524" t="s">
        <v>54</v>
      </c>
      <c r="C2524">
        <v>8520</v>
      </c>
      <c r="D2524" t="s">
        <v>22</v>
      </c>
      <c r="E2524" t="s">
        <v>8</v>
      </c>
      <c r="F2524" t="s">
        <v>9</v>
      </c>
      <c r="G2524">
        <v>1</v>
      </c>
      <c r="T2524">
        <v>1</v>
      </c>
      <c r="AB2524">
        <v>1</v>
      </c>
      <c r="AJ2524">
        <f>SUM(Post[[#This Row],[47]:[75]])</f>
        <v>3</v>
      </c>
    </row>
    <row r="2525" spans="1:36" x14ac:dyDescent="0.2">
      <c r="A2525" t="s">
        <v>60</v>
      </c>
      <c r="B2525" t="s">
        <v>54</v>
      </c>
      <c r="C2525">
        <v>12333</v>
      </c>
      <c r="D2525" t="s">
        <v>22</v>
      </c>
      <c r="E2525" t="s">
        <v>8</v>
      </c>
      <c r="F2525" t="s">
        <v>23</v>
      </c>
      <c r="G2525">
        <v>1</v>
      </c>
      <c r="K2525">
        <v>1</v>
      </c>
      <c r="P2525">
        <v>1</v>
      </c>
      <c r="T2525">
        <v>1</v>
      </c>
      <c r="X2525">
        <v>1</v>
      </c>
      <c r="AB2525">
        <v>1</v>
      </c>
      <c r="AF2525">
        <v>1</v>
      </c>
      <c r="AJ2525">
        <f>SUM(Post[[#This Row],[47]:[75]])</f>
        <v>7</v>
      </c>
    </row>
    <row r="2526" spans="1:36" x14ac:dyDescent="0.2">
      <c r="A2526" t="s">
        <v>60</v>
      </c>
      <c r="B2526" t="s">
        <v>54</v>
      </c>
      <c r="C2526">
        <v>14461</v>
      </c>
      <c r="D2526" t="s">
        <v>22</v>
      </c>
      <c r="E2526" t="s">
        <v>14</v>
      </c>
      <c r="F2526" t="s">
        <v>20</v>
      </c>
      <c r="Z2526">
        <v>2</v>
      </c>
      <c r="AJ2526">
        <f>SUM(Post[[#This Row],[47]:[75]])</f>
        <v>2</v>
      </c>
    </row>
    <row r="2527" spans="1:36" x14ac:dyDescent="0.2">
      <c r="A2527" t="s">
        <v>60</v>
      </c>
      <c r="B2527" t="s">
        <v>54</v>
      </c>
      <c r="C2527">
        <v>23731</v>
      </c>
      <c r="D2527" t="s">
        <v>22</v>
      </c>
      <c r="E2527" t="s">
        <v>8</v>
      </c>
      <c r="F2527" t="s">
        <v>23</v>
      </c>
      <c r="P2527">
        <v>1</v>
      </c>
      <c r="AE2527">
        <v>1</v>
      </c>
      <c r="AJ2527">
        <f>SUM(Post[[#This Row],[47]:[75]])</f>
        <v>2</v>
      </c>
    </row>
    <row r="2528" spans="1:36" x14ac:dyDescent="0.2">
      <c r="A2528" t="s">
        <v>60</v>
      </c>
      <c r="B2528" t="s">
        <v>54</v>
      </c>
      <c r="C2528">
        <v>67</v>
      </c>
      <c r="D2528" t="s">
        <v>7</v>
      </c>
      <c r="E2528" t="s">
        <v>10</v>
      </c>
      <c r="F2528" t="s">
        <v>11</v>
      </c>
      <c r="AC2528">
        <v>1</v>
      </c>
      <c r="AJ2528">
        <f>SUM(Post[[#This Row],[47]:[75]])</f>
        <v>1</v>
      </c>
    </row>
    <row r="2529" spans="1:36" x14ac:dyDescent="0.2">
      <c r="A2529" t="s">
        <v>60</v>
      </c>
      <c r="B2529" t="s">
        <v>54</v>
      </c>
      <c r="C2529">
        <v>67</v>
      </c>
      <c r="D2529" t="s">
        <v>7</v>
      </c>
      <c r="E2529" t="s">
        <v>14</v>
      </c>
      <c r="F2529" t="s">
        <v>20</v>
      </c>
      <c r="AJ2529">
        <f>SUM(Post[[#This Row],[47]:[75]])</f>
        <v>0</v>
      </c>
    </row>
    <row r="2530" spans="1:36" x14ac:dyDescent="0.2">
      <c r="A2530" t="s">
        <v>60</v>
      </c>
      <c r="B2530" t="s">
        <v>54</v>
      </c>
      <c r="C2530">
        <v>157</v>
      </c>
      <c r="D2530" t="s">
        <v>7</v>
      </c>
      <c r="E2530" t="s">
        <v>14</v>
      </c>
      <c r="F2530" t="s">
        <v>15</v>
      </c>
      <c r="AJ2530">
        <f>SUM(Post[[#This Row],[47]:[75]])</f>
        <v>0</v>
      </c>
    </row>
    <row r="2531" spans="1:36" x14ac:dyDescent="0.2">
      <c r="A2531" t="s">
        <v>60</v>
      </c>
      <c r="B2531" t="s">
        <v>54</v>
      </c>
      <c r="C2531">
        <v>157</v>
      </c>
      <c r="D2531" t="s">
        <v>7</v>
      </c>
      <c r="E2531" t="s">
        <v>14</v>
      </c>
      <c r="F2531" t="s">
        <v>19</v>
      </c>
      <c r="N2531">
        <v>1</v>
      </c>
      <c r="AG2531">
        <v>1</v>
      </c>
      <c r="AJ2531">
        <f>SUM(Post[[#This Row],[47]:[75]])</f>
        <v>2</v>
      </c>
    </row>
    <row r="2532" spans="1:36" x14ac:dyDescent="0.2">
      <c r="A2532" t="s">
        <v>60</v>
      </c>
      <c r="B2532" t="s">
        <v>54</v>
      </c>
      <c r="C2532">
        <v>157</v>
      </c>
      <c r="D2532" t="s">
        <v>7</v>
      </c>
      <c r="E2532" t="s">
        <v>14</v>
      </c>
      <c r="F2532" t="s">
        <v>20</v>
      </c>
      <c r="AJ2532">
        <f>SUM(Post[[#This Row],[47]:[75]])</f>
        <v>0</v>
      </c>
    </row>
    <row r="2533" spans="1:36" x14ac:dyDescent="0.2">
      <c r="A2533" t="s">
        <v>60</v>
      </c>
      <c r="B2533" t="s">
        <v>54</v>
      </c>
      <c r="C2533">
        <v>351</v>
      </c>
      <c r="D2533" t="s">
        <v>7</v>
      </c>
      <c r="E2533" t="s">
        <v>14</v>
      </c>
      <c r="F2533" t="s">
        <v>35</v>
      </c>
      <c r="Q2533">
        <v>2</v>
      </c>
      <c r="S2533">
        <v>1</v>
      </c>
      <c r="T2533">
        <v>1</v>
      </c>
      <c r="AJ2533">
        <f>SUM(Post[[#This Row],[47]:[75]])</f>
        <v>4</v>
      </c>
    </row>
    <row r="2534" spans="1:36" x14ac:dyDescent="0.2">
      <c r="A2534" t="s">
        <v>60</v>
      </c>
      <c r="B2534" t="s">
        <v>54</v>
      </c>
      <c r="C2534">
        <v>412</v>
      </c>
      <c r="D2534" t="s">
        <v>7</v>
      </c>
      <c r="E2534" t="s">
        <v>14</v>
      </c>
      <c r="F2534" t="s">
        <v>35</v>
      </c>
      <c r="H2534">
        <v>1</v>
      </c>
      <c r="AJ2534">
        <f>SUM(Post[[#This Row],[47]:[75]])</f>
        <v>1</v>
      </c>
    </row>
    <row r="2535" spans="1:36" x14ac:dyDescent="0.2">
      <c r="A2535" t="s">
        <v>60</v>
      </c>
      <c r="B2535" t="s">
        <v>54</v>
      </c>
      <c r="C2535">
        <v>412</v>
      </c>
      <c r="D2535" t="s">
        <v>7</v>
      </c>
      <c r="E2535" t="s">
        <v>14</v>
      </c>
      <c r="F2535" t="s">
        <v>19</v>
      </c>
      <c r="AJ2535">
        <f>SUM(Post[[#This Row],[47]:[75]])</f>
        <v>0</v>
      </c>
    </row>
    <row r="2536" spans="1:36" x14ac:dyDescent="0.2">
      <c r="A2536" t="s">
        <v>60</v>
      </c>
      <c r="B2536" t="s">
        <v>54</v>
      </c>
      <c r="C2536">
        <v>4535</v>
      </c>
      <c r="D2536" t="s">
        <v>7</v>
      </c>
      <c r="E2536" t="s">
        <v>14</v>
      </c>
      <c r="F2536" t="s">
        <v>35</v>
      </c>
      <c r="AJ2536">
        <f>SUM(Post[[#This Row],[47]:[75]])</f>
        <v>0</v>
      </c>
    </row>
    <row r="2537" spans="1:36" x14ac:dyDescent="0.2">
      <c r="A2537" t="s">
        <v>60</v>
      </c>
      <c r="B2537" t="s">
        <v>54</v>
      </c>
      <c r="C2537">
        <v>4535</v>
      </c>
      <c r="D2537" t="s">
        <v>7</v>
      </c>
      <c r="E2537" t="s">
        <v>14</v>
      </c>
      <c r="F2537" t="s">
        <v>19</v>
      </c>
      <c r="G2537">
        <v>1</v>
      </c>
      <c r="K2537">
        <v>1</v>
      </c>
      <c r="O2537">
        <v>1</v>
      </c>
      <c r="V2537">
        <v>1</v>
      </c>
      <c r="AJ2537">
        <f>SUM(Post[[#This Row],[47]:[75]])</f>
        <v>4</v>
      </c>
    </row>
    <row r="2538" spans="1:36" x14ac:dyDescent="0.2">
      <c r="A2538" t="s">
        <v>60</v>
      </c>
      <c r="B2538" t="s">
        <v>54</v>
      </c>
      <c r="C2538">
        <v>4535</v>
      </c>
      <c r="D2538" t="s">
        <v>7</v>
      </c>
      <c r="E2538" t="s">
        <v>14</v>
      </c>
      <c r="F2538" t="s">
        <v>20</v>
      </c>
      <c r="AJ2538">
        <f>SUM(Post[[#This Row],[47]:[75]])</f>
        <v>0</v>
      </c>
    </row>
    <row r="2539" spans="1:36" x14ac:dyDescent="0.2">
      <c r="A2539" t="s">
        <v>60</v>
      </c>
      <c r="B2539" t="s">
        <v>54</v>
      </c>
      <c r="C2539">
        <v>4807</v>
      </c>
      <c r="D2539" t="s">
        <v>7</v>
      </c>
      <c r="E2539" t="s">
        <v>8</v>
      </c>
      <c r="F2539" t="s">
        <v>23</v>
      </c>
      <c r="T2539">
        <v>1</v>
      </c>
      <c r="AI2539">
        <v>1</v>
      </c>
      <c r="AJ2539">
        <f>SUM(Post[[#This Row],[47]:[75]])</f>
        <v>2</v>
      </c>
    </row>
    <row r="2540" spans="1:36" x14ac:dyDescent="0.2">
      <c r="A2540" t="s">
        <v>60</v>
      </c>
      <c r="B2540" t="s">
        <v>54</v>
      </c>
      <c r="C2540">
        <v>5881</v>
      </c>
      <c r="D2540" t="s">
        <v>7</v>
      </c>
      <c r="E2540" t="s">
        <v>14</v>
      </c>
      <c r="F2540" t="s">
        <v>20</v>
      </c>
      <c r="P2540">
        <v>1</v>
      </c>
      <c r="AJ2540">
        <f>SUM(Post[[#This Row],[47]:[75]])</f>
        <v>1</v>
      </c>
    </row>
    <row r="2541" spans="1:36" x14ac:dyDescent="0.2">
      <c r="A2541" t="s">
        <v>60</v>
      </c>
      <c r="B2541" t="s">
        <v>54</v>
      </c>
      <c r="C2541">
        <v>6156</v>
      </c>
      <c r="D2541" t="s">
        <v>7</v>
      </c>
      <c r="E2541" t="s">
        <v>8</v>
      </c>
      <c r="F2541" t="s">
        <v>23</v>
      </c>
      <c r="T2541">
        <v>1</v>
      </c>
      <c r="AG2541">
        <v>1</v>
      </c>
      <c r="AJ2541">
        <f>SUM(Post[[#This Row],[47]:[75]])</f>
        <v>2</v>
      </c>
    </row>
    <row r="2542" spans="1:36" x14ac:dyDescent="0.2">
      <c r="A2542" t="s">
        <v>60</v>
      </c>
      <c r="B2542" t="s">
        <v>54</v>
      </c>
      <c r="C2542">
        <v>8096</v>
      </c>
      <c r="D2542" t="s">
        <v>7</v>
      </c>
      <c r="E2542" t="s">
        <v>14</v>
      </c>
      <c r="F2542" t="s">
        <v>21</v>
      </c>
      <c r="N2542">
        <v>1</v>
      </c>
      <c r="AB2542">
        <v>1</v>
      </c>
      <c r="AJ2542">
        <f>SUM(Post[[#This Row],[47]:[75]])</f>
        <v>2</v>
      </c>
    </row>
    <row r="2543" spans="1:36" x14ac:dyDescent="0.2">
      <c r="A2543" t="s">
        <v>60</v>
      </c>
      <c r="B2543" t="s">
        <v>54</v>
      </c>
      <c r="C2543">
        <v>8946</v>
      </c>
      <c r="D2543" t="s">
        <v>7</v>
      </c>
      <c r="E2543" t="s">
        <v>8</v>
      </c>
      <c r="F2543" t="s">
        <v>23</v>
      </c>
      <c r="R2543">
        <v>1</v>
      </c>
      <c r="AG2543">
        <v>1</v>
      </c>
      <c r="AJ2543">
        <f>SUM(Post[[#This Row],[47]:[75]])</f>
        <v>2</v>
      </c>
    </row>
    <row r="2544" spans="1:36" x14ac:dyDescent="0.2">
      <c r="A2544" t="s">
        <v>60</v>
      </c>
      <c r="B2544" t="s">
        <v>54</v>
      </c>
      <c r="C2544">
        <v>9490</v>
      </c>
      <c r="D2544" t="s">
        <v>7</v>
      </c>
      <c r="E2544" t="s">
        <v>14</v>
      </c>
      <c r="F2544" t="s">
        <v>35</v>
      </c>
      <c r="AJ2544">
        <f>SUM(Post[[#This Row],[47]:[75]])</f>
        <v>0</v>
      </c>
    </row>
    <row r="2545" spans="1:36" x14ac:dyDescent="0.2">
      <c r="A2545" t="s">
        <v>60</v>
      </c>
      <c r="B2545" t="s">
        <v>54</v>
      </c>
      <c r="C2545">
        <v>10939</v>
      </c>
      <c r="D2545" t="s">
        <v>7</v>
      </c>
      <c r="E2545" t="s">
        <v>10</v>
      </c>
      <c r="F2545" t="s">
        <v>11</v>
      </c>
      <c r="H2545">
        <v>1</v>
      </c>
      <c r="I2545">
        <v>1</v>
      </c>
      <c r="S2545">
        <v>1</v>
      </c>
      <c r="AA2545">
        <v>1</v>
      </c>
      <c r="AC2545">
        <v>1</v>
      </c>
      <c r="AG2545">
        <v>1</v>
      </c>
      <c r="AI2545">
        <v>1</v>
      </c>
      <c r="AJ2545">
        <f>SUM(Post[[#This Row],[47]:[75]])</f>
        <v>7</v>
      </c>
    </row>
    <row r="2546" spans="1:36" x14ac:dyDescent="0.2">
      <c r="A2546" t="s">
        <v>60</v>
      </c>
      <c r="B2546" t="s">
        <v>54</v>
      </c>
      <c r="C2546">
        <v>11554</v>
      </c>
      <c r="D2546" t="s">
        <v>7</v>
      </c>
      <c r="E2546" t="s">
        <v>14</v>
      </c>
      <c r="F2546" t="s">
        <v>20</v>
      </c>
      <c r="AJ2546">
        <f>SUM(Post[[#This Row],[47]:[75]])</f>
        <v>0</v>
      </c>
    </row>
    <row r="2547" spans="1:36" x14ac:dyDescent="0.2">
      <c r="A2547" t="s">
        <v>60</v>
      </c>
      <c r="B2547" t="s">
        <v>54</v>
      </c>
      <c r="C2547">
        <v>12413</v>
      </c>
      <c r="D2547" t="s">
        <v>7</v>
      </c>
      <c r="E2547" t="s">
        <v>14</v>
      </c>
      <c r="F2547" t="s">
        <v>35</v>
      </c>
      <c r="AJ2547">
        <f>SUM(Post[[#This Row],[47]:[75]])</f>
        <v>0</v>
      </c>
    </row>
    <row r="2548" spans="1:36" x14ac:dyDescent="0.2">
      <c r="A2548" t="s">
        <v>60</v>
      </c>
      <c r="B2548" t="s">
        <v>54</v>
      </c>
      <c r="C2548">
        <v>12413</v>
      </c>
      <c r="D2548" t="s">
        <v>7</v>
      </c>
      <c r="E2548" t="s">
        <v>14</v>
      </c>
      <c r="F2548" t="s">
        <v>19</v>
      </c>
      <c r="K2548">
        <v>1</v>
      </c>
      <c r="Z2548">
        <v>1</v>
      </c>
      <c r="AJ2548">
        <f>SUM(Post[[#This Row],[47]:[75]])</f>
        <v>2</v>
      </c>
    </row>
    <row r="2549" spans="1:36" x14ac:dyDescent="0.2">
      <c r="A2549" t="s">
        <v>60</v>
      </c>
      <c r="B2549" t="s">
        <v>54</v>
      </c>
      <c r="C2549">
        <v>12413</v>
      </c>
      <c r="D2549" t="s">
        <v>7</v>
      </c>
      <c r="E2549" t="s">
        <v>14</v>
      </c>
      <c r="F2549" t="s">
        <v>20</v>
      </c>
      <c r="AJ2549">
        <f>SUM(Post[[#This Row],[47]:[75]])</f>
        <v>0</v>
      </c>
    </row>
    <row r="2550" spans="1:36" x14ac:dyDescent="0.2">
      <c r="A2550" t="s">
        <v>60</v>
      </c>
      <c r="B2550" t="s">
        <v>54</v>
      </c>
      <c r="C2550">
        <v>15144</v>
      </c>
      <c r="D2550" t="s">
        <v>7</v>
      </c>
      <c r="E2550" t="s">
        <v>14</v>
      </c>
      <c r="F2550" t="s">
        <v>20</v>
      </c>
      <c r="AJ2550">
        <f>SUM(Post[[#This Row],[47]:[75]])</f>
        <v>0</v>
      </c>
    </row>
    <row r="2551" spans="1:36" x14ac:dyDescent="0.2">
      <c r="A2551" t="s">
        <v>60</v>
      </c>
      <c r="B2551" t="s">
        <v>54</v>
      </c>
      <c r="C2551">
        <v>15345</v>
      </c>
      <c r="D2551" t="s">
        <v>7</v>
      </c>
      <c r="E2551" t="s">
        <v>14</v>
      </c>
      <c r="F2551" t="s">
        <v>15</v>
      </c>
      <c r="J2551">
        <v>1</v>
      </c>
      <c r="Q2551">
        <v>1</v>
      </c>
      <c r="AE2551">
        <v>1</v>
      </c>
      <c r="AJ2551">
        <f>SUM(Post[[#This Row],[47]:[75]])</f>
        <v>3</v>
      </c>
    </row>
    <row r="2552" spans="1:36" x14ac:dyDescent="0.2">
      <c r="A2552" t="s">
        <v>60</v>
      </c>
      <c r="B2552" t="s">
        <v>54</v>
      </c>
      <c r="C2552">
        <v>15789</v>
      </c>
      <c r="D2552" t="s">
        <v>7</v>
      </c>
      <c r="E2552" t="s">
        <v>14</v>
      </c>
      <c r="F2552" t="s">
        <v>21</v>
      </c>
      <c r="U2552">
        <v>1</v>
      </c>
      <c r="AJ2552">
        <f>SUM(Post[[#This Row],[47]:[75]])</f>
        <v>1</v>
      </c>
    </row>
    <row r="2553" spans="1:36" x14ac:dyDescent="0.2">
      <c r="A2553" t="s">
        <v>60</v>
      </c>
      <c r="B2553" t="s">
        <v>54</v>
      </c>
      <c r="C2553">
        <v>15888</v>
      </c>
      <c r="D2553" t="s">
        <v>7</v>
      </c>
      <c r="E2553" t="s">
        <v>10</v>
      </c>
      <c r="F2553" t="s">
        <v>11</v>
      </c>
      <c r="AC2553">
        <v>1</v>
      </c>
      <c r="AJ2553">
        <f>SUM(Post[[#This Row],[47]:[75]])</f>
        <v>1</v>
      </c>
    </row>
    <row r="2554" spans="1:36" x14ac:dyDescent="0.2">
      <c r="A2554" t="s">
        <v>60</v>
      </c>
      <c r="B2554" t="s">
        <v>54</v>
      </c>
      <c r="C2554">
        <v>17904</v>
      </c>
      <c r="D2554" t="s">
        <v>7</v>
      </c>
      <c r="E2554" t="s">
        <v>14</v>
      </c>
      <c r="F2554" t="s">
        <v>20</v>
      </c>
      <c r="P2554">
        <v>1</v>
      </c>
      <c r="X2554">
        <v>1</v>
      </c>
      <c r="AE2554">
        <v>1</v>
      </c>
      <c r="AJ2554">
        <f>SUM(Post[[#This Row],[47]:[75]])</f>
        <v>3</v>
      </c>
    </row>
    <row r="2555" spans="1:36" x14ac:dyDescent="0.2">
      <c r="A2555" t="s">
        <v>60</v>
      </c>
      <c r="B2555" t="s">
        <v>54</v>
      </c>
      <c r="C2555">
        <v>18582</v>
      </c>
      <c r="D2555" t="s">
        <v>7</v>
      </c>
      <c r="E2555" t="s">
        <v>10</v>
      </c>
      <c r="F2555" t="s">
        <v>11</v>
      </c>
      <c r="AE2555">
        <v>1</v>
      </c>
      <c r="AJ2555">
        <f>SUM(Post[[#This Row],[47]:[75]])</f>
        <v>1</v>
      </c>
    </row>
    <row r="2556" spans="1:36" x14ac:dyDescent="0.2">
      <c r="A2556" t="s">
        <v>60</v>
      </c>
      <c r="B2556" t="s">
        <v>54</v>
      </c>
      <c r="C2556">
        <v>18582</v>
      </c>
      <c r="D2556" t="s">
        <v>7</v>
      </c>
      <c r="E2556" t="s">
        <v>14</v>
      </c>
      <c r="F2556" t="s">
        <v>35</v>
      </c>
      <c r="K2556">
        <v>1</v>
      </c>
      <c r="Z2556">
        <v>1</v>
      </c>
      <c r="AJ2556">
        <f>SUM(Post[[#This Row],[47]:[75]])</f>
        <v>2</v>
      </c>
    </row>
    <row r="2557" spans="1:36" x14ac:dyDescent="0.2">
      <c r="A2557" t="s">
        <v>60</v>
      </c>
      <c r="B2557" t="s">
        <v>54</v>
      </c>
      <c r="C2557">
        <v>19019</v>
      </c>
      <c r="D2557" t="s">
        <v>7</v>
      </c>
      <c r="E2557" t="s">
        <v>14</v>
      </c>
      <c r="F2557" t="s">
        <v>19</v>
      </c>
      <c r="AJ2557">
        <f>SUM(Post[[#This Row],[47]:[75]])</f>
        <v>0</v>
      </c>
    </row>
    <row r="2558" spans="1:36" x14ac:dyDescent="0.2">
      <c r="A2558" t="s">
        <v>60</v>
      </c>
      <c r="B2558" t="s">
        <v>54</v>
      </c>
      <c r="C2558">
        <v>20470</v>
      </c>
      <c r="D2558" t="s">
        <v>7</v>
      </c>
      <c r="E2558" t="s">
        <v>8</v>
      </c>
      <c r="F2558" t="s">
        <v>29</v>
      </c>
      <c r="O2558">
        <v>1</v>
      </c>
      <c r="AD2558">
        <v>1</v>
      </c>
      <c r="AJ2558">
        <f>SUM(Post[[#This Row],[47]:[75]])</f>
        <v>2</v>
      </c>
    </row>
    <row r="2559" spans="1:36" x14ac:dyDescent="0.2">
      <c r="A2559" t="s">
        <v>60</v>
      </c>
      <c r="B2559" t="s">
        <v>54</v>
      </c>
      <c r="C2559">
        <v>20602</v>
      </c>
      <c r="D2559" t="s">
        <v>7</v>
      </c>
      <c r="E2559" t="s">
        <v>14</v>
      </c>
      <c r="F2559" t="s">
        <v>19</v>
      </c>
      <c r="AJ2559">
        <f>SUM(Post[[#This Row],[47]:[75]])</f>
        <v>0</v>
      </c>
    </row>
    <row r="2560" spans="1:36" x14ac:dyDescent="0.2">
      <c r="A2560" t="s">
        <v>60</v>
      </c>
      <c r="B2560" t="s">
        <v>54</v>
      </c>
      <c r="C2560">
        <v>23737</v>
      </c>
      <c r="D2560" t="s">
        <v>7</v>
      </c>
      <c r="E2560" t="s">
        <v>14</v>
      </c>
      <c r="F2560" t="s">
        <v>31</v>
      </c>
      <c r="H2560">
        <v>1</v>
      </c>
      <c r="O2560">
        <v>1</v>
      </c>
      <c r="V2560">
        <v>1</v>
      </c>
      <c r="AA2560">
        <v>2</v>
      </c>
      <c r="AF2560">
        <v>1</v>
      </c>
      <c r="AJ2560">
        <f>SUM(Post[[#This Row],[47]:[75]])</f>
        <v>6</v>
      </c>
    </row>
    <row r="2561" spans="1:36" x14ac:dyDescent="0.2">
      <c r="A2561" t="s">
        <v>60</v>
      </c>
      <c r="B2561" t="s">
        <v>54</v>
      </c>
      <c r="C2561">
        <v>30068</v>
      </c>
      <c r="D2561" t="s">
        <v>7</v>
      </c>
      <c r="E2561" t="s">
        <v>14</v>
      </c>
      <c r="F2561" t="s">
        <v>19</v>
      </c>
      <c r="AJ2561">
        <f>SUM(Post[[#This Row],[47]:[75]])</f>
        <v>0</v>
      </c>
    </row>
    <row r="2562" spans="1:36" x14ac:dyDescent="0.2">
      <c r="A2562" t="s">
        <v>60</v>
      </c>
      <c r="B2562" t="s">
        <v>54</v>
      </c>
      <c r="C2562">
        <v>11622</v>
      </c>
      <c r="D2562" t="s">
        <v>22</v>
      </c>
      <c r="E2562" t="s">
        <v>14</v>
      </c>
      <c r="F2562" t="s">
        <v>20</v>
      </c>
      <c r="R2562">
        <v>1</v>
      </c>
      <c r="AI2562">
        <v>1</v>
      </c>
      <c r="AJ2562">
        <f>SUM(Post[[#This Row],[47]:[75]])</f>
        <v>2</v>
      </c>
    </row>
    <row r="2563" spans="1:36" x14ac:dyDescent="0.2">
      <c r="A2563" t="s">
        <v>60</v>
      </c>
      <c r="B2563" t="s">
        <v>54</v>
      </c>
      <c r="C2563">
        <v>13551</v>
      </c>
      <c r="D2563" t="s">
        <v>22</v>
      </c>
      <c r="E2563" t="s">
        <v>14</v>
      </c>
      <c r="F2563" t="s">
        <v>35</v>
      </c>
      <c r="AJ2563">
        <f>SUM(Post[[#This Row],[47]:[75]])</f>
        <v>0</v>
      </c>
    </row>
    <row r="2564" spans="1:36" x14ac:dyDescent="0.2">
      <c r="A2564" t="s">
        <v>60</v>
      </c>
      <c r="B2564" t="s">
        <v>54</v>
      </c>
      <c r="C2564">
        <v>14559</v>
      </c>
      <c r="D2564" t="s">
        <v>22</v>
      </c>
      <c r="E2564" t="s">
        <v>14</v>
      </c>
      <c r="F2564" t="s">
        <v>21</v>
      </c>
      <c r="AJ2564">
        <f>SUM(Post[[#This Row],[47]:[75]])</f>
        <v>0</v>
      </c>
    </row>
    <row r="2565" spans="1:36" x14ac:dyDescent="0.2">
      <c r="A2565" t="s">
        <v>60</v>
      </c>
      <c r="B2565" t="s">
        <v>54</v>
      </c>
      <c r="C2565">
        <v>15387</v>
      </c>
      <c r="D2565" t="s">
        <v>22</v>
      </c>
      <c r="E2565" t="s">
        <v>8</v>
      </c>
      <c r="F2565" t="s">
        <v>23</v>
      </c>
      <c r="J2565">
        <v>1</v>
      </c>
      <c r="S2565">
        <v>1</v>
      </c>
      <c r="Y2565">
        <v>1</v>
      </c>
      <c r="AG2565">
        <v>2</v>
      </c>
      <c r="AJ2565">
        <f>SUM(Post[[#This Row],[47]:[75]])</f>
        <v>5</v>
      </c>
    </row>
    <row r="2566" spans="1:36" x14ac:dyDescent="0.2">
      <c r="A2566" t="s">
        <v>60</v>
      </c>
      <c r="B2566" t="s">
        <v>54</v>
      </c>
      <c r="C2566">
        <v>29354</v>
      </c>
      <c r="D2566" t="s">
        <v>22</v>
      </c>
      <c r="E2566" t="s">
        <v>37</v>
      </c>
      <c r="F2566" t="s">
        <v>39</v>
      </c>
      <c r="Q2566">
        <v>1</v>
      </c>
      <c r="AG2566">
        <v>1</v>
      </c>
      <c r="AJ2566">
        <f>SUM(Post[[#This Row],[47]:[75]])</f>
        <v>2</v>
      </c>
    </row>
    <row r="2567" spans="1:36" x14ac:dyDescent="0.2">
      <c r="A2567" t="s">
        <v>60</v>
      </c>
      <c r="B2567" t="s">
        <v>54</v>
      </c>
      <c r="C2567">
        <v>29354</v>
      </c>
      <c r="D2567" t="s">
        <v>22</v>
      </c>
      <c r="E2567" t="s">
        <v>37</v>
      </c>
      <c r="F2567" t="s">
        <v>38</v>
      </c>
      <c r="AJ2567">
        <f>SUM(Post[[#This Row],[47]:[75]])</f>
        <v>0</v>
      </c>
    </row>
    <row r="2568" spans="1:36" x14ac:dyDescent="0.2">
      <c r="A2568" t="s">
        <v>60</v>
      </c>
      <c r="B2568" t="s">
        <v>54</v>
      </c>
      <c r="C2568">
        <v>10573</v>
      </c>
      <c r="D2568" t="s">
        <v>7</v>
      </c>
      <c r="E2568" t="s">
        <v>14</v>
      </c>
      <c r="F2568" t="s">
        <v>20</v>
      </c>
      <c r="N2568">
        <v>1</v>
      </c>
      <c r="AB2568">
        <v>1</v>
      </c>
      <c r="AJ2568">
        <f>SUM(Post[[#This Row],[47]:[75]])</f>
        <v>2</v>
      </c>
    </row>
    <row r="2569" spans="1:36" x14ac:dyDescent="0.2">
      <c r="A2569" t="s">
        <v>60</v>
      </c>
      <c r="B2569" t="s">
        <v>54</v>
      </c>
      <c r="C2569">
        <v>12630</v>
      </c>
      <c r="D2569" t="s">
        <v>7</v>
      </c>
      <c r="E2569" t="s">
        <v>10</v>
      </c>
      <c r="F2569" t="s">
        <v>11</v>
      </c>
      <c r="AA2569">
        <v>2</v>
      </c>
      <c r="AI2569">
        <v>2</v>
      </c>
      <c r="AJ2569">
        <f>SUM(Post[[#This Row],[47]:[75]])</f>
        <v>4</v>
      </c>
    </row>
    <row r="2570" spans="1:36" x14ac:dyDescent="0.2">
      <c r="A2570" t="s">
        <v>60</v>
      </c>
      <c r="B2570" t="s">
        <v>54</v>
      </c>
      <c r="C2570">
        <v>12630</v>
      </c>
      <c r="D2570" t="s">
        <v>7</v>
      </c>
      <c r="E2570" t="s">
        <v>14</v>
      </c>
      <c r="F2570" t="s">
        <v>20</v>
      </c>
      <c r="V2570">
        <v>1</v>
      </c>
      <c r="AJ2570">
        <f>SUM(Post[[#This Row],[47]:[75]])</f>
        <v>1</v>
      </c>
    </row>
    <row r="2571" spans="1:36" x14ac:dyDescent="0.2">
      <c r="A2571" t="s">
        <v>60</v>
      </c>
      <c r="B2571" t="s">
        <v>54</v>
      </c>
      <c r="C2571">
        <v>33179</v>
      </c>
      <c r="D2571" t="s">
        <v>7</v>
      </c>
      <c r="E2571" t="s">
        <v>14</v>
      </c>
      <c r="F2571" t="s">
        <v>20</v>
      </c>
      <c r="Z2571">
        <v>1</v>
      </c>
      <c r="AJ2571">
        <f>SUM(Post[[#This Row],[47]:[75]])</f>
        <v>1</v>
      </c>
    </row>
    <row r="2572" spans="1:36" x14ac:dyDescent="0.2">
      <c r="A2572" t="s">
        <v>60</v>
      </c>
      <c r="B2572" t="s">
        <v>54</v>
      </c>
      <c r="C2572">
        <v>32437</v>
      </c>
      <c r="D2572" t="s">
        <v>22</v>
      </c>
      <c r="E2572" t="s">
        <v>14</v>
      </c>
      <c r="F2572" t="s">
        <v>35</v>
      </c>
      <c r="AJ2572">
        <f>SUM(Post[[#This Row],[47]:[75]])</f>
        <v>0</v>
      </c>
    </row>
    <row r="2573" spans="1:36" x14ac:dyDescent="0.2">
      <c r="A2573" t="s">
        <v>60</v>
      </c>
      <c r="B2573" t="s">
        <v>54</v>
      </c>
      <c r="C2573">
        <v>11975</v>
      </c>
      <c r="D2573" t="s">
        <v>7</v>
      </c>
      <c r="E2573" t="s">
        <v>14</v>
      </c>
      <c r="F2573" t="s">
        <v>15</v>
      </c>
      <c r="H2573">
        <v>1</v>
      </c>
      <c r="X2573">
        <v>1</v>
      </c>
      <c r="AJ2573">
        <f>SUM(Post[[#This Row],[47]:[75]])</f>
        <v>2</v>
      </c>
    </row>
    <row r="2574" spans="1:36" x14ac:dyDescent="0.2">
      <c r="A2574" t="s">
        <v>60</v>
      </c>
      <c r="B2574" t="s">
        <v>54</v>
      </c>
      <c r="C2574">
        <v>6156</v>
      </c>
      <c r="D2574" t="s">
        <v>7</v>
      </c>
      <c r="E2574" t="s">
        <v>14</v>
      </c>
      <c r="F2574" t="s">
        <v>20</v>
      </c>
      <c r="K2574">
        <v>1</v>
      </c>
      <c r="X2574">
        <v>1</v>
      </c>
      <c r="AG2574">
        <v>1</v>
      </c>
      <c r="AJ2574">
        <f>SUM(Post[[#This Row],[47]:[75]])</f>
        <v>3</v>
      </c>
    </row>
    <row r="2575" spans="1:36" x14ac:dyDescent="0.2">
      <c r="A2575" t="s">
        <v>60</v>
      </c>
      <c r="B2575" t="s">
        <v>54</v>
      </c>
      <c r="C2575">
        <v>8946</v>
      </c>
      <c r="D2575" t="s">
        <v>7</v>
      </c>
      <c r="E2575" t="s">
        <v>14</v>
      </c>
      <c r="F2575" t="s">
        <v>20</v>
      </c>
      <c r="AJ2575">
        <f>SUM(Post[[#This Row],[47]:[75]])</f>
        <v>0</v>
      </c>
    </row>
    <row r="2576" spans="1:36" x14ac:dyDescent="0.2">
      <c r="A2576" t="s">
        <v>60</v>
      </c>
      <c r="B2576" t="s">
        <v>54</v>
      </c>
      <c r="C2576">
        <v>11166</v>
      </c>
      <c r="D2576" t="s">
        <v>7</v>
      </c>
      <c r="E2576" t="s">
        <v>14</v>
      </c>
      <c r="F2576" t="s">
        <v>35</v>
      </c>
      <c r="H2576">
        <v>1</v>
      </c>
      <c r="V2576">
        <v>1</v>
      </c>
      <c r="AJ2576">
        <f>SUM(Post[[#This Row],[47]:[75]])</f>
        <v>2</v>
      </c>
    </row>
    <row r="2577" spans="1:36" x14ac:dyDescent="0.2">
      <c r="A2577" t="s">
        <v>60</v>
      </c>
      <c r="B2577" t="s">
        <v>54</v>
      </c>
      <c r="C2577">
        <v>11166</v>
      </c>
      <c r="D2577" t="s">
        <v>7</v>
      </c>
      <c r="E2577" t="s">
        <v>14</v>
      </c>
      <c r="F2577" t="s">
        <v>15</v>
      </c>
      <c r="AJ2577">
        <f>SUM(Post[[#This Row],[47]:[75]])</f>
        <v>0</v>
      </c>
    </row>
    <row r="2578" spans="1:36" x14ac:dyDescent="0.2">
      <c r="A2578" t="s">
        <v>60</v>
      </c>
      <c r="B2578" t="s">
        <v>54</v>
      </c>
      <c r="C2578">
        <v>23749</v>
      </c>
      <c r="D2578" t="s">
        <v>7</v>
      </c>
      <c r="E2578" t="s">
        <v>14</v>
      </c>
      <c r="F2578" t="s">
        <v>20</v>
      </c>
      <c r="U2578">
        <v>1</v>
      </c>
      <c r="AJ2578">
        <f>SUM(Post[[#This Row],[47]:[75]])</f>
        <v>1</v>
      </c>
    </row>
    <row r="2579" spans="1:36" x14ac:dyDescent="0.2">
      <c r="A2579" t="s">
        <v>60</v>
      </c>
      <c r="B2579" t="s">
        <v>54</v>
      </c>
      <c r="C2579">
        <v>66</v>
      </c>
      <c r="D2579" t="s">
        <v>22</v>
      </c>
      <c r="E2579" t="s">
        <v>10</v>
      </c>
      <c r="F2579" t="s">
        <v>11</v>
      </c>
      <c r="AJ2579">
        <f>SUM(Post[[#This Row],[47]:[75]])</f>
        <v>0</v>
      </c>
    </row>
    <row r="2580" spans="1:36" x14ac:dyDescent="0.2">
      <c r="A2580" t="s">
        <v>60</v>
      </c>
      <c r="B2580" t="s">
        <v>54</v>
      </c>
      <c r="C2580">
        <v>66</v>
      </c>
      <c r="D2580" t="s">
        <v>22</v>
      </c>
      <c r="E2580" t="s">
        <v>14</v>
      </c>
      <c r="F2580" t="s">
        <v>35</v>
      </c>
      <c r="G2580">
        <v>3</v>
      </c>
      <c r="AJ2580">
        <f>SUM(Post[[#This Row],[47]:[75]])</f>
        <v>3</v>
      </c>
    </row>
    <row r="2581" spans="1:36" x14ac:dyDescent="0.2">
      <c r="A2581" t="s">
        <v>60</v>
      </c>
      <c r="B2581" t="s">
        <v>54</v>
      </c>
      <c r="C2581">
        <v>66</v>
      </c>
      <c r="D2581" t="s">
        <v>22</v>
      </c>
      <c r="E2581" t="s">
        <v>14</v>
      </c>
      <c r="F2581" t="s">
        <v>21</v>
      </c>
      <c r="AJ2581">
        <f>SUM(Post[[#This Row],[47]:[75]])</f>
        <v>0</v>
      </c>
    </row>
    <row r="2582" spans="1:36" x14ac:dyDescent="0.2">
      <c r="A2582" t="s">
        <v>60</v>
      </c>
      <c r="B2582" t="s">
        <v>54</v>
      </c>
      <c r="C2582">
        <v>11165</v>
      </c>
      <c r="D2582" t="s">
        <v>22</v>
      </c>
      <c r="E2582" t="s">
        <v>32</v>
      </c>
      <c r="F2582" t="s">
        <v>33</v>
      </c>
      <c r="G2582">
        <v>1</v>
      </c>
      <c r="K2582">
        <v>1</v>
      </c>
      <c r="Q2582">
        <v>2</v>
      </c>
      <c r="U2582">
        <v>1</v>
      </c>
      <c r="Z2582">
        <v>1</v>
      </c>
      <c r="AG2582">
        <v>1</v>
      </c>
      <c r="AJ2582">
        <f>SUM(Post[[#This Row],[47]:[75]])</f>
        <v>7</v>
      </c>
    </row>
    <row r="2583" spans="1:36" x14ac:dyDescent="0.2">
      <c r="A2583" t="s">
        <v>60</v>
      </c>
      <c r="B2583" t="s">
        <v>54</v>
      </c>
      <c r="C2583">
        <v>11165</v>
      </c>
      <c r="D2583" t="s">
        <v>22</v>
      </c>
      <c r="E2583" t="s">
        <v>14</v>
      </c>
      <c r="F2583" t="s">
        <v>35</v>
      </c>
      <c r="G2583">
        <v>1</v>
      </c>
      <c r="K2583">
        <v>1</v>
      </c>
      <c r="Q2583">
        <v>2</v>
      </c>
      <c r="U2583">
        <v>1</v>
      </c>
      <c r="Z2583">
        <v>1</v>
      </c>
      <c r="AG2583">
        <v>1</v>
      </c>
      <c r="AJ2583">
        <f>SUM(Post[[#This Row],[47]:[75]])</f>
        <v>7</v>
      </c>
    </row>
    <row r="2584" spans="1:36" x14ac:dyDescent="0.2">
      <c r="A2584" t="s">
        <v>60</v>
      </c>
      <c r="B2584" t="s">
        <v>54</v>
      </c>
      <c r="C2584">
        <v>2025</v>
      </c>
      <c r="D2584" t="s">
        <v>7</v>
      </c>
      <c r="E2584" t="s">
        <v>8</v>
      </c>
      <c r="F2584" t="s">
        <v>29</v>
      </c>
      <c r="T2584">
        <v>1</v>
      </c>
      <c r="AG2584">
        <v>1</v>
      </c>
      <c r="AJ2584">
        <f>SUM(Post[[#This Row],[47]:[75]])</f>
        <v>2</v>
      </c>
    </row>
    <row r="2585" spans="1:36" x14ac:dyDescent="0.2">
      <c r="A2585" t="s">
        <v>60</v>
      </c>
      <c r="B2585" t="s">
        <v>54</v>
      </c>
      <c r="C2585">
        <v>2025</v>
      </c>
      <c r="D2585" t="s">
        <v>7</v>
      </c>
      <c r="E2585" t="s">
        <v>26</v>
      </c>
      <c r="F2585" t="s">
        <v>27</v>
      </c>
      <c r="H2585">
        <v>1</v>
      </c>
      <c r="V2585">
        <v>1</v>
      </c>
      <c r="AJ2585">
        <f>SUM(Post[[#This Row],[47]:[75]])</f>
        <v>2</v>
      </c>
    </row>
    <row r="2586" spans="1:36" x14ac:dyDescent="0.2">
      <c r="A2586" t="s">
        <v>60</v>
      </c>
      <c r="B2586" t="s">
        <v>54</v>
      </c>
      <c r="C2586">
        <v>3525</v>
      </c>
      <c r="D2586" t="s">
        <v>7</v>
      </c>
      <c r="E2586" t="s">
        <v>8</v>
      </c>
      <c r="F2586" t="s">
        <v>23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G2586">
        <v>1</v>
      </c>
      <c r="AH2586">
        <v>1</v>
      </c>
      <c r="AJ2586">
        <f>SUM(Post[[#This Row],[47]:[75]])</f>
        <v>26</v>
      </c>
    </row>
    <row r="2587" spans="1:36" x14ac:dyDescent="0.2">
      <c r="A2587" t="s">
        <v>60</v>
      </c>
      <c r="B2587" t="s">
        <v>54</v>
      </c>
      <c r="C2587">
        <v>4607</v>
      </c>
      <c r="D2587" t="s">
        <v>7</v>
      </c>
      <c r="E2587" t="s">
        <v>8</v>
      </c>
      <c r="F2587" t="s">
        <v>23</v>
      </c>
      <c r="S2587">
        <v>1</v>
      </c>
      <c r="AE2587">
        <v>1</v>
      </c>
      <c r="AJ2587">
        <f>SUM(Post[[#This Row],[47]:[75]])</f>
        <v>2</v>
      </c>
    </row>
    <row r="2588" spans="1:36" x14ac:dyDescent="0.2">
      <c r="A2588" t="s">
        <v>60</v>
      </c>
      <c r="B2588" t="s">
        <v>54</v>
      </c>
      <c r="C2588">
        <v>4692</v>
      </c>
      <c r="D2588" t="s">
        <v>7</v>
      </c>
      <c r="E2588" t="s">
        <v>8</v>
      </c>
      <c r="F2588" t="s">
        <v>23</v>
      </c>
      <c r="K2588">
        <v>1</v>
      </c>
      <c r="Z2588">
        <v>1</v>
      </c>
      <c r="AA2588">
        <v>1</v>
      </c>
      <c r="AJ2588">
        <f>SUM(Post[[#This Row],[47]:[75]])</f>
        <v>3</v>
      </c>
    </row>
    <row r="2589" spans="1:36" x14ac:dyDescent="0.2">
      <c r="A2589" t="s">
        <v>60</v>
      </c>
      <c r="B2589" t="s">
        <v>54</v>
      </c>
      <c r="C2589">
        <v>6513</v>
      </c>
      <c r="D2589" t="s">
        <v>7</v>
      </c>
      <c r="E2589" t="s">
        <v>37</v>
      </c>
      <c r="F2589" t="s">
        <v>55</v>
      </c>
      <c r="AJ2589">
        <f>SUM(Post[[#This Row],[47]:[75]])</f>
        <v>0</v>
      </c>
    </row>
    <row r="2590" spans="1:36" x14ac:dyDescent="0.2">
      <c r="A2590" t="s">
        <v>60</v>
      </c>
      <c r="B2590" t="s">
        <v>54</v>
      </c>
      <c r="C2590">
        <v>6513</v>
      </c>
      <c r="D2590" t="s">
        <v>7</v>
      </c>
      <c r="E2590" t="s">
        <v>37</v>
      </c>
      <c r="F2590" t="s">
        <v>39</v>
      </c>
      <c r="K2590">
        <v>1</v>
      </c>
      <c r="Y2590">
        <v>1</v>
      </c>
      <c r="AJ2590">
        <f>SUM(Post[[#This Row],[47]:[75]])</f>
        <v>2</v>
      </c>
    </row>
    <row r="2591" spans="1:36" x14ac:dyDescent="0.2">
      <c r="A2591" t="s">
        <v>60</v>
      </c>
      <c r="B2591" t="s">
        <v>54</v>
      </c>
      <c r="C2591">
        <v>7880</v>
      </c>
      <c r="D2591" t="s">
        <v>7</v>
      </c>
      <c r="E2591" t="s">
        <v>8</v>
      </c>
      <c r="F2591" t="s">
        <v>23</v>
      </c>
      <c r="G2591">
        <v>1</v>
      </c>
      <c r="U2591">
        <v>1</v>
      </c>
      <c r="AJ2591">
        <f>SUM(Post[[#This Row],[47]:[75]])</f>
        <v>2</v>
      </c>
    </row>
    <row r="2592" spans="1:36" x14ac:dyDescent="0.2">
      <c r="A2592" t="s">
        <v>60</v>
      </c>
      <c r="B2592" t="s">
        <v>54</v>
      </c>
      <c r="C2592">
        <v>7979</v>
      </c>
      <c r="D2592" t="s">
        <v>7</v>
      </c>
      <c r="E2592" t="s">
        <v>8</v>
      </c>
      <c r="F2592" t="s">
        <v>34</v>
      </c>
      <c r="G2592">
        <v>1</v>
      </c>
      <c r="AJ2592">
        <f>SUM(Post[[#This Row],[47]:[75]])</f>
        <v>1</v>
      </c>
    </row>
    <row r="2593" spans="1:36" x14ac:dyDescent="0.2">
      <c r="A2593" t="s">
        <v>60</v>
      </c>
      <c r="B2593" t="s">
        <v>54</v>
      </c>
      <c r="C2593">
        <v>8846</v>
      </c>
      <c r="D2593" t="s">
        <v>7</v>
      </c>
      <c r="E2593" t="s">
        <v>8</v>
      </c>
      <c r="F2593" t="s">
        <v>23</v>
      </c>
      <c r="T2593">
        <v>1</v>
      </c>
      <c r="AG2593">
        <v>1</v>
      </c>
      <c r="AJ2593">
        <f>SUM(Post[[#This Row],[47]:[75]])</f>
        <v>2</v>
      </c>
    </row>
    <row r="2594" spans="1:36" x14ac:dyDescent="0.2">
      <c r="A2594" t="s">
        <v>60</v>
      </c>
      <c r="B2594" t="s">
        <v>54</v>
      </c>
      <c r="C2594">
        <v>8846</v>
      </c>
      <c r="D2594" t="s">
        <v>7</v>
      </c>
      <c r="E2594" t="s">
        <v>8</v>
      </c>
      <c r="F2594" t="s">
        <v>9</v>
      </c>
      <c r="AJ2594">
        <f>SUM(Post[[#This Row],[47]:[75]])</f>
        <v>0</v>
      </c>
    </row>
    <row r="2595" spans="1:36" x14ac:dyDescent="0.2">
      <c r="A2595" t="s">
        <v>60</v>
      </c>
      <c r="B2595" t="s">
        <v>54</v>
      </c>
      <c r="C2595">
        <v>9363</v>
      </c>
      <c r="D2595" t="s">
        <v>7</v>
      </c>
      <c r="E2595" t="s">
        <v>8</v>
      </c>
      <c r="F2595" t="s">
        <v>23</v>
      </c>
      <c r="H2595">
        <v>1</v>
      </c>
      <c r="X2595">
        <v>1</v>
      </c>
      <c r="AJ2595">
        <f>SUM(Post[[#This Row],[47]:[75]])</f>
        <v>2</v>
      </c>
    </row>
    <row r="2596" spans="1:36" x14ac:dyDescent="0.2">
      <c r="A2596" t="s">
        <v>60</v>
      </c>
      <c r="B2596" t="s">
        <v>54</v>
      </c>
      <c r="C2596">
        <v>10544</v>
      </c>
      <c r="D2596" t="s">
        <v>7</v>
      </c>
      <c r="E2596" t="s">
        <v>8</v>
      </c>
      <c r="F2596" t="s">
        <v>23</v>
      </c>
      <c r="P2596">
        <v>1</v>
      </c>
      <c r="AD2596">
        <v>1</v>
      </c>
      <c r="AJ2596">
        <f>SUM(Post[[#This Row],[47]:[75]])</f>
        <v>2</v>
      </c>
    </row>
    <row r="2597" spans="1:36" x14ac:dyDescent="0.2">
      <c r="A2597" t="s">
        <v>60</v>
      </c>
      <c r="B2597" t="s">
        <v>54</v>
      </c>
      <c r="C2597">
        <v>10573</v>
      </c>
      <c r="D2597" t="s">
        <v>7</v>
      </c>
      <c r="E2597" t="s">
        <v>8</v>
      </c>
      <c r="F2597" t="s">
        <v>23</v>
      </c>
      <c r="R2597">
        <v>1</v>
      </c>
      <c r="AE2597">
        <v>1</v>
      </c>
      <c r="AJ2597">
        <f>SUM(Post[[#This Row],[47]:[75]])</f>
        <v>2</v>
      </c>
    </row>
    <row r="2598" spans="1:36" x14ac:dyDescent="0.2">
      <c r="A2598" t="s">
        <v>60</v>
      </c>
      <c r="B2598" t="s">
        <v>54</v>
      </c>
      <c r="C2598">
        <v>10783</v>
      </c>
      <c r="D2598" t="s">
        <v>7</v>
      </c>
      <c r="E2598" t="s">
        <v>8</v>
      </c>
      <c r="F2598" t="s">
        <v>23</v>
      </c>
      <c r="J2598">
        <v>1</v>
      </c>
      <c r="T2598">
        <v>1</v>
      </c>
      <c r="AA2598">
        <v>1</v>
      </c>
      <c r="AJ2598">
        <f>SUM(Post[[#This Row],[47]:[75]])</f>
        <v>3</v>
      </c>
    </row>
    <row r="2599" spans="1:36" x14ac:dyDescent="0.2">
      <c r="A2599" t="s">
        <v>60</v>
      </c>
      <c r="B2599" t="s">
        <v>54</v>
      </c>
      <c r="C2599">
        <v>12099</v>
      </c>
      <c r="D2599" t="s">
        <v>7</v>
      </c>
      <c r="E2599" t="s">
        <v>26</v>
      </c>
      <c r="F2599" t="s">
        <v>27</v>
      </c>
      <c r="G2599">
        <v>1</v>
      </c>
      <c r="I2599">
        <v>1</v>
      </c>
      <c r="K2599">
        <v>1</v>
      </c>
      <c r="L2599">
        <v>1</v>
      </c>
      <c r="N2599">
        <v>2</v>
      </c>
      <c r="O2599">
        <v>1</v>
      </c>
      <c r="P2599">
        <v>1</v>
      </c>
      <c r="R2599">
        <v>1</v>
      </c>
      <c r="T2599">
        <v>1</v>
      </c>
      <c r="W2599">
        <v>1</v>
      </c>
      <c r="X2599">
        <v>1</v>
      </c>
      <c r="Z2599">
        <v>1</v>
      </c>
      <c r="AD2599">
        <v>1</v>
      </c>
      <c r="AF2599">
        <v>1</v>
      </c>
      <c r="AH2599">
        <v>1</v>
      </c>
      <c r="AJ2599">
        <f>SUM(Post[[#This Row],[47]:[75]])</f>
        <v>16</v>
      </c>
    </row>
    <row r="2600" spans="1:36" x14ac:dyDescent="0.2">
      <c r="A2600" t="s">
        <v>60</v>
      </c>
      <c r="B2600" t="s">
        <v>54</v>
      </c>
      <c r="C2600">
        <v>13232</v>
      </c>
      <c r="D2600" t="s">
        <v>7</v>
      </c>
      <c r="E2600" t="s">
        <v>8</v>
      </c>
      <c r="F2600" t="s">
        <v>23</v>
      </c>
      <c r="T2600">
        <v>1</v>
      </c>
      <c r="AH2600">
        <v>1</v>
      </c>
      <c r="AJ2600">
        <f>SUM(Post[[#This Row],[47]:[75]])</f>
        <v>2</v>
      </c>
    </row>
    <row r="2601" spans="1:36" x14ac:dyDescent="0.2">
      <c r="A2601" t="s">
        <v>60</v>
      </c>
      <c r="B2601" t="s">
        <v>54</v>
      </c>
      <c r="C2601">
        <v>16942</v>
      </c>
      <c r="D2601" t="s">
        <v>7</v>
      </c>
      <c r="E2601" t="s">
        <v>8</v>
      </c>
      <c r="F2601" t="s">
        <v>9</v>
      </c>
      <c r="T2601">
        <v>1</v>
      </c>
      <c r="AJ2601">
        <f>SUM(Post[[#This Row],[47]:[75]])</f>
        <v>1</v>
      </c>
    </row>
    <row r="2602" spans="1:36" x14ac:dyDescent="0.2">
      <c r="A2602" t="s">
        <v>60</v>
      </c>
      <c r="B2602" t="s">
        <v>54</v>
      </c>
      <c r="C2602">
        <v>18252</v>
      </c>
      <c r="D2602" t="s">
        <v>7</v>
      </c>
      <c r="E2602" t="s">
        <v>8</v>
      </c>
      <c r="F2602" t="s">
        <v>23</v>
      </c>
      <c r="H2602">
        <v>1</v>
      </c>
      <c r="K2602">
        <v>1</v>
      </c>
      <c r="AC2602">
        <v>1</v>
      </c>
      <c r="AJ2602">
        <f>SUM(Post[[#This Row],[47]:[75]])</f>
        <v>3</v>
      </c>
    </row>
    <row r="2603" spans="1:36" x14ac:dyDescent="0.2">
      <c r="A2603" t="s">
        <v>60</v>
      </c>
      <c r="B2603" t="s">
        <v>54</v>
      </c>
      <c r="C2603">
        <v>21703</v>
      </c>
      <c r="D2603" t="s">
        <v>7</v>
      </c>
      <c r="E2603" t="s">
        <v>8</v>
      </c>
      <c r="F2603" t="s">
        <v>29</v>
      </c>
      <c r="AA2603">
        <v>1</v>
      </c>
      <c r="AJ2603">
        <f>SUM(Post[[#This Row],[47]:[75]])</f>
        <v>1</v>
      </c>
    </row>
    <row r="2604" spans="1:36" x14ac:dyDescent="0.2">
      <c r="A2604" t="s">
        <v>60</v>
      </c>
      <c r="B2604" t="s">
        <v>54</v>
      </c>
      <c r="C2604">
        <v>30756</v>
      </c>
      <c r="D2604" t="s">
        <v>7</v>
      </c>
      <c r="E2604" t="s">
        <v>8</v>
      </c>
      <c r="F2604" t="s">
        <v>23</v>
      </c>
      <c r="I2604">
        <v>1</v>
      </c>
      <c r="V2604">
        <v>1</v>
      </c>
      <c r="Y2604">
        <v>1</v>
      </c>
      <c r="AJ2604">
        <f>SUM(Post[[#This Row],[47]:[75]])</f>
        <v>3</v>
      </c>
    </row>
    <row r="2605" spans="1:36" x14ac:dyDescent="0.2">
      <c r="A2605" t="s">
        <v>60</v>
      </c>
      <c r="B2605" t="s">
        <v>54</v>
      </c>
      <c r="C2605">
        <v>33179</v>
      </c>
      <c r="D2605" t="s">
        <v>7</v>
      </c>
      <c r="E2605" t="s">
        <v>8</v>
      </c>
      <c r="F2605" t="s">
        <v>23</v>
      </c>
      <c r="N2605">
        <v>1</v>
      </c>
      <c r="AC2605">
        <v>1</v>
      </c>
      <c r="AJ2605">
        <f>SUM(Post[[#This Row],[47]:[75]])</f>
        <v>2</v>
      </c>
    </row>
    <row r="2606" spans="1:36" x14ac:dyDescent="0.2">
      <c r="A2606" t="s">
        <v>60</v>
      </c>
      <c r="B2606" t="s">
        <v>54</v>
      </c>
      <c r="C2606">
        <v>842</v>
      </c>
      <c r="D2606" t="s">
        <v>22</v>
      </c>
      <c r="E2606" t="s">
        <v>8</v>
      </c>
      <c r="F2606" t="s">
        <v>23</v>
      </c>
      <c r="L2606">
        <v>1</v>
      </c>
      <c r="AC2606">
        <v>1</v>
      </c>
      <c r="AJ2606">
        <f>SUM(Post[[#This Row],[47]:[75]])</f>
        <v>2</v>
      </c>
    </row>
    <row r="2607" spans="1:36" x14ac:dyDescent="0.2">
      <c r="A2607" t="s">
        <v>60</v>
      </c>
      <c r="B2607" t="s">
        <v>54</v>
      </c>
      <c r="C2607">
        <v>5751</v>
      </c>
      <c r="D2607" t="s">
        <v>22</v>
      </c>
      <c r="E2607" t="s">
        <v>8</v>
      </c>
      <c r="F2607" t="s">
        <v>23</v>
      </c>
      <c r="P2607">
        <v>1</v>
      </c>
      <c r="AJ2607">
        <f>SUM(Post[[#This Row],[47]:[75]])</f>
        <v>1</v>
      </c>
    </row>
    <row r="2608" spans="1:36" x14ac:dyDescent="0.2">
      <c r="A2608" t="s">
        <v>60</v>
      </c>
      <c r="B2608" t="s">
        <v>54</v>
      </c>
      <c r="C2608">
        <v>7251</v>
      </c>
      <c r="D2608" t="s">
        <v>22</v>
      </c>
      <c r="E2608" t="s">
        <v>8</v>
      </c>
      <c r="F2608" t="s">
        <v>23</v>
      </c>
      <c r="I2608">
        <v>1</v>
      </c>
      <c r="N2608">
        <v>1</v>
      </c>
      <c r="R2608">
        <v>1</v>
      </c>
      <c r="W2608">
        <v>1</v>
      </c>
      <c r="AA2608">
        <v>1</v>
      </c>
      <c r="AF2608">
        <v>1</v>
      </c>
      <c r="AJ2608">
        <f>SUM(Post[[#This Row],[47]:[75]])</f>
        <v>6</v>
      </c>
    </row>
    <row r="2609" spans="1:36" x14ac:dyDescent="0.2">
      <c r="A2609" t="s">
        <v>60</v>
      </c>
      <c r="B2609" t="s">
        <v>54</v>
      </c>
      <c r="C2609">
        <v>13714</v>
      </c>
      <c r="D2609" t="s">
        <v>22</v>
      </c>
      <c r="E2609" t="s">
        <v>8</v>
      </c>
      <c r="F2609" t="s">
        <v>9</v>
      </c>
      <c r="O2609">
        <v>1</v>
      </c>
      <c r="AA2609">
        <v>1</v>
      </c>
      <c r="AJ2609">
        <f>SUM(Post[[#This Row],[47]:[75]])</f>
        <v>2</v>
      </c>
    </row>
    <row r="2610" spans="1:36" x14ac:dyDescent="0.2">
      <c r="A2610" t="s">
        <v>60</v>
      </c>
      <c r="B2610" t="s">
        <v>54</v>
      </c>
      <c r="C2610">
        <v>18940</v>
      </c>
      <c r="D2610" t="s">
        <v>22</v>
      </c>
      <c r="E2610" t="s">
        <v>8</v>
      </c>
      <c r="F2610" t="s">
        <v>23</v>
      </c>
      <c r="Q2610">
        <v>1</v>
      </c>
      <c r="AJ2610">
        <f>SUM(Post[[#This Row],[47]:[75]])</f>
        <v>1</v>
      </c>
    </row>
    <row r="2611" spans="1:36" x14ac:dyDescent="0.2">
      <c r="A2611" t="s">
        <v>60</v>
      </c>
      <c r="B2611" t="s">
        <v>54</v>
      </c>
      <c r="C2611">
        <v>1207</v>
      </c>
      <c r="D2611" t="s">
        <v>7</v>
      </c>
      <c r="E2611" t="s">
        <v>8</v>
      </c>
      <c r="F2611" t="s">
        <v>23</v>
      </c>
      <c r="AJ2611">
        <f>SUM(Post[[#This Row],[47]:[75]])</f>
        <v>0</v>
      </c>
    </row>
    <row r="2612" spans="1:36" x14ac:dyDescent="0.2">
      <c r="A2612" t="s">
        <v>60</v>
      </c>
      <c r="B2612" t="s">
        <v>54</v>
      </c>
      <c r="C2612">
        <v>10939</v>
      </c>
      <c r="D2612" t="s">
        <v>7</v>
      </c>
      <c r="E2612" t="s">
        <v>8</v>
      </c>
      <c r="F2612" t="s">
        <v>34</v>
      </c>
      <c r="R2612">
        <v>1</v>
      </c>
      <c r="AI2612">
        <v>1</v>
      </c>
      <c r="AJ2612">
        <f>SUM(Post[[#This Row],[47]:[75]])</f>
        <v>2</v>
      </c>
    </row>
    <row r="2613" spans="1:36" x14ac:dyDescent="0.2">
      <c r="A2613" t="s">
        <v>60</v>
      </c>
      <c r="B2613" t="s">
        <v>54</v>
      </c>
      <c r="C2613">
        <v>17928</v>
      </c>
      <c r="D2613" t="s">
        <v>7</v>
      </c>
      <c r="E2613" t="s">
        <v>8</v>
      </c>
      <c r="F2613" t="s">
        <v>30</v>
      </c>
      <c r="AJ2613">
        <f>SUM(Post[[#This Row],[47]:[75]])</f>
        <v>0</v>
      </c>
    </row>
    <row r="2614" spans="1:36" x14ac:dyDescent="0.2">
      <c r="A2614" t="s">
        <v>60</v>
      </c>
      <c r="B2614" t="s">
        <v>54</v>
      </c>
      <c r="C2614">
        <v>30068</v>
      </c>
      <c r="D2614" t="s">
        <v>7</v>
      </c>
      <c r="E2614" t="s">
        <v>8</v>
      </c>
      <c r="F2614" t="s">
        <v>29</v>
      </c>
      <c r="G2614">
        <v>1</v>
      </c>
      <c r="W2614">
        <v>1</v>
      </c>
      <c r="AJ2614">
        <f>SUM(Post[[#This Row],[47]:[75]])</f>
        <v>2</v>
      </c>
    </row>
    <row r="2615" spans="1:36" x14ac:dyDescent="0.2">
      <c r="A2615" t="s">
        <v>60</v>
      </c>
      <c r="B2615" t="s">
        <v>54</v>
      </c>
      <c r="C2615">
        <v>791</v>
      </c>
      <c r="D2615" t="s">
        <v>22</v>
      </c>
      <c r="E2615" t="s">
        <v>8</v>
      </c>
      <c r="F2615" t="s">
        <v>9</v>
      </c>
      <c r="AC2615">
        <v>1</v>
      </c>
      <c r="AJ2615">
        <f>SUM(Post[[#This Row],[47]:[75]])</f>
        <v>1</v>
      </c>
    </row>
    <row r="2616" spans="1:36" x14ac:dyDescent="0.2">
      <c r="A2616" t="s">
        <v>61</v>
      </c>
      <c r="B2616" t="s">
        <v>54</v>
      </c>
      <c r="C2616">
        <v>2224</v>
      </c>
      <c r="D2616" t="s">
        <v>7</v>
      </c>
      <c r="E2616" t="s">
        <v>10</v>
      </c>
      <c r="F2616" t="s">
        <v>11</v>
      </c>
      <c r="AJ2616">
        <f>SUM(Post[[#This Row],[47]:[75]])</f>
        <v>0</v>
      </c>
    </row>
    <row r="2617" spans="1:36" x14ac:dyDescent="0.2">
      <c r="A2617" t="s">
        <v>61</v>
      </c>
      <c r="B2617" t="s">
        <v>54</v>
      </c>
      <c r="C2617">
        <v>2224</v>
      </c>
      <c r="D2617" t="s">
        <v>7</v>
      </c>
      <c r="E2617" t="s">
        <v>14</v>
      </c>
      <c r="F2617" t="s">
        <v>20</v>
      </c>
      <c r="AJ2617">
        <f>SUM(Post[[#This Row],[47]:[75]])</f>
        <v>0</v>
      </c>
    </row>
    <row r="2618" spans="1:36" x14ac:dyDescent="0.2">
      <c r="A2618" t="s">
        <v>61</v>
      </c>
      <c r="B2618" t="s">
        <v>54</v>
      </c>
      <c r="C2618">
        <v>3246</v>
      </c>
      <c r="D2618" t="s">
        <v>7</v>
      </c>
      <c r="E2618" t="s">
        <v>10</v>
      </c>
      <c r="F2618" t="s">
        <v>11</v>
      </c>
      <c r="AJ2618">
        <f>SUM(Post[[#This Row],[47]:[75]])</f>
        <v>0</v>
      </c>
    </row>
    <row r="2619" spans="1:36" x14ac:dyDescent="0.2">
      <c r="A2619" t="s">
        <v>61</v>
      </c>
      <c r="B2619" t="s">
        <v>54</v>
      </c>
      <c r="C2619">
        <v>3342</v>
      </c>
      <c r="D2619" t="s">
        <v>7</v>
      </c>
      <c r="E2619" t="s">
        <v>10</v>
      </c>
      <c r="F2619" t="s">
        <v>11</v>
      </c>
      <c r="I2619">
        <v>1</v>
      </c>
      <c r="N2619">
        <v>1</v>
      </c>
      <c r="R2619">
        <v>1</v>
      </c>
      <c r="S2619">
        <v>2</v>
      </c>
      <c r="V2619">
        <v>1</v>
      </c>
      <c r="AA2619">
        <v>1</v>
      </c>
      <c r="AE2619">
        <v>1</v>
      </c>
      <c r="AJ2619">
        <f>SUM(Post[[#This Row],[47]:[75]])</f>
        <v>8</v>
      </c>
    </row>
    <row r="2620" spans="1:36" x14ac:dyDescent="0.2">
      <c r="A2620" t="s">
        <v>61</v>
      </c>
      <c r="B2620" t="s">
        <v>54</v>
      </c>
      <c r="C2620">
        <v>3342</v>
      </c>
      <c r="D2620" t="s">
        <v>7</v>
      </c>
      <c r="E2620" t="s">
        <v>8</v>
      </c>
      <c r="F2620" t="s">
        <v>30</v>
      </c>
      <c r="I2620">
        <v>1</v>
      </c>
      <c r="N2620">
        <v>1</v>
      </c>
      <c r="R2620">
        <v>2</v>
      </c>
      <c r="S2620">
        <v>2</v>
      </c>
      <c r="V2620">
        <v>1</v>
      </c>
      <c r="AA2620">
        <v>1</v>
      </c>
      <c r="AE2620">
        <v>1</v>
      </c>
      <c r="AJ2620">
        <f>SUM(Post[[#This Row],[47]:[75]])</f>
        <v>9</v>
      </c>
    </row>
    <row r="2621" spans="1:36" x14ac:dyDescent="0.2">
      <c r="A2621" t="s">
        <v>61</v>
      </c>
      <c r="B2621" t="s">
        <v>54</v>
      </c>
      <c r="C2621">
        <v>6168</v>
      </c>
      <c r="D2621" t="s">
        <v>7</v>
      </c>
      <c r="E2621" t="s">
        <v>8</v>
      </c>
      <c r="F2621" t="s">
        <v>23</v>
      </c>
      <c r="J2621">
        <v>1</v>
      </c>
      <c r="U2621">
        <v>1</v>
      </c>
      <c r="AJ2621">
        <f>SUM(Post[[#This Row],[47]:[75]])</f>
        <v>2</v>
      </c>
    </row>
    <row r="2622" spans="1:36" x14ac:dyDescent="0.2">
      <c r="A2622" t="s">
        <v>61</v>
      </c>
      <c r="B2622" t="s">
        <v>54</v>
      </c>
      <c r="C2622">
        <v>10436</v>
      </c>
      <c r="D2622" t="s">
        <v>7</v>
      </c>
      <c r="E2622" t="s">
        <v>10</v>
      </c>
      <c r="F2622" t="s">
        <v>11</v>
      </c>
      <c r="AJ2622">
        <f>SUM(Post[[#This Row],[47]:[75]])</f>
        <v>0</v>
      </c>
    </row>
    <row r="2623" spans="1:36" x14ac:dyDescent="0.2">
      <c r="A2623" t="s">
        <v>61</v>
      </c>
      <c r="B2623" t="s">
        <v>54</v>
      </c>
      <c r="C2623">
        <v>12113</v>
      </c>
      <c r="D2623" t="s">
        <v>7</v>
      </c>
      <c r="E2623" t="s">
        <v>8</v>
      </c>
      <c r="F2623" t="s">
        <v>9</v>
      </c>
      <c r="I2623">
        <v>2</v>
      </c>
      <c r="AB2623">
        <v>1</v>
      </c>
      <c r="AJ2623">
        <f>SUM(Post[[#This Row],[47]:[75]])</f>
        <v>3</v>
      </c>
    </row>
    <row r="2624" spans="1:36" x14ac:dyDescent="0.2">
      <c r="A2624" t="s">
        <v>61</v>
      </c>
      <c r="B2624" t="s">
        <v>54</v>
      </c>
      <c r="C2624">
        <v>15806</v>
      </c>
      <c r="D2624" t="s">
        <v>7</v>
      </c>
      <c r="E2624" t="s">
        <v>8</v>
      </c>
      <c r="F2624" t="s">
        <v>23</v>
      </c>
      <c r="J2624">
        <v>1</v>
      </c>
      <c r="X2624">
        <v>1</v>
      </c>
      <c r="AJ2624">
        <f>SUM(Post[[#This Row],[47]:[75]])</f>
        <v>2</v>
      </c>
    </row>
    <row r="2625" spans="1:36" x14ac:dyDescent="0.2">
      <c r="A2625" t="s">
        <v>61</v>
      </c>
      <c r="B2625" t="s">
        <v>54</v>
      </c>
      <c r="C2625">
        <v>16770</v>
      </c>
      <c r="D2625" t="s">
        <v>7</v>
      </c>
      <c r="E2625" t="s">
        <v>14</v>
      </c>
      <c r="F2625" t="s">
        <v>35</v>
      </c>
      <c r="AJ2625">
        <f>SUM(Post[[#This Row],[47]:[75]])</f>
        <v>0</v>
      </c>
    </row>
    <row r="2626" spans="1:36" x14ac:dyDescent="0.2">
      <c r="A2626" t="s">
        <v>61</v>
      </c>
      <c r="B2626" t="s">
        <v>54</v>
      </c>
      <c r="C2626">
        <v>16946</v>
      </c>
      <c r="D2626" t="s">
        <v>7</v>
      </c>
      <c r="E2626" t="s">
        <v>8</v>
      </c>
      <c r="F2626" t="s">
        <v>9</v>
      </c>
      <c r="H2626">
        <v>1</v>
      </c>
      <c r="AJ2626">
        <f>SUM(Post[[#This Row],[47]:[75]])</f>
        <v>1</v>
      </c>
    </row>
    <row r="2627" spans="1:36" x14ac:dyDescent="0.2">
      <c r="A2627" t="s">
        <v>61</v>
      </c>
      <c r="B2627" t="s">
        <v>54</v>
      </c>
      <c r="C2627">
        <v>1973</v>
      </c>
      <c r="D2627" t="s">
        <v>22</v>
      </c>
      <c r="E2627" t="s">
        <v>8</v>
      </c>
      <c r="F2627" t="s">
        <v>23</v>
      </c>
      <c r="I2627">
        <v>1</v>
      </c>
      <c r="U2627">
        <v>1</v>
      </c>
      <c r="AJ2627">
        <f>SUM(Post[[#This Row],[47]:[75]])</f>
        <v>2</v>
      </c>
    </row>
    <row r="2628" spans="1:36" x14ac:dyDescent="0.2">
      <c r="A2628" t="s">
        <v>61</v>
      </c>
      <c r="B2628" t="s">
        <v>54</v>
      </c>
      <c r="C2628">
        <v>6572</v>
      </c>
      <c r="D2628" t="s">
        <v>22</v>
      </c>
      <c r="E2628" t="s">
        <v>10</v>
      </c>
      <c r="F2628" t="s">
        <v>11</v>
      </c>
      <c r="K2628">
        <v>1</v>
      </c>
      <c r="P2628">
        <v>1</v>
      </c>
      <c r="X2628">
        <v>1</v>
      </c>
      <c r="AJ2628">
        <f>SUM(Post[[#This Row],[47]:[75]])</f>
        <v>3</v>
      </c>
    </row>
    <row r="2629" spans="1:36" x14ac:dyDescent="0.2">
      <c r="A2629" t="s">
        <v>61</v>
      </c>
      <c r="B2629" t="s">
        <v>54</v>
      </c>
      <c r="C2629">
        <v>6572</v>
      </c>
      <c r="D2629" t="s">
        <v>22</v>
      </c>
      <c r="E2629" t="s">
        <v>14</v>
      </c>
      <c r="F2629" t="s">
        <v>31</v>
      </c>
      <c r="AI2629">
        <v>1</v>
      </c>
      <c r="AJ2629">
        <f>SUM(Post[[#This Row],[47]:[75]])</f>
        <v>1</v>
      </c>
    </row>
    <row r="2630" spans="1:36" x14ac:dyDescent="0.2">
      <c r="A2630" t="s">
        <v>61</v>
      </c>
      <c r="B2630" t="s">
        <v>54</v>
      </c>
      <c r="C2630">
        <v>6964</v>
      </c>
      <c r="D2630" t="s">
        <v>22</v>
      </c>
      <c r="E2630" t="s">
        <v>8</v>
      </c>
      <c r="F2630" t="s">
        <v>23</v>
      </c>
      <c r="O2630">
        <v>1</v>
      </c>
      <c r="AB2630">
        <v>1</v>
      </c>
      <c r="AJ2630">
        <f>SUM(Post[[#This Row],[47]:[75]])</f>
        <v>2</v>
      </c>
    </row>
    <row r="2631" spans="1:36" x14ac:dyDescent="0.2">
      <c r="A2631" t="s">
        <v>61</v>
      </c>
      <c r="B2631" t="s">
        <v>54</v>
      </c>
      <c r="C2631">
        <v>7069</v>
      </c>
      <c r="D2631" t="s">
        <v>22</v>
      </c>
      <c r="E2631" t="s">
        <v>8</v>
      </c>
      <c r="F2631" t="s">
        <v>23</v>
      </c>
      <c r="AE2631">
        <v>1</v>
      </c>
      <c r="AJ2631">
        <f>SUM(Post[[#This Row],[47]:[75]])</f>
        <v>1</v>
      </c>
    </row>
    <row r="2632" spans="1:36" x14ac:dyDescent="0.2">
      <c r="A2632" t="s">
        <v>61</v>
      </c>
      <c r="B2632" t="s">
        <v>54</v>
      </c>
      <c r="C2632">
        <v>7642</v>
      </c>
      <c r="D2632" t="s">
        <v>22</v>
      </c>
      <c r="E2632" t="s">
        <v>14</v>
      </c>
      <c r="F2632" t="s">
        <v>21</v>
      </c>
      <c r="P2632">
        <v>1</v>
      </c>
      <c r="AJ2632">
        <f>SUM(Post[[#This Row],[47]:[75]])</f>
        <v>1</v>
      </c>
    </row>
    <row r="2633" spans="1:36" x14ac:dyDescent="0.2">
      <c r="A2633" t="s">
        <v>61</v>
      </c>
      <c r="B2633" t="s">
        <v>54</v>
      </c>
      <c r="C2633">
        <v>7972</v>
      </c>
      <c r="D2633" t="s">
        <v>22</v>
      </c>
      <c r="E2633" t="s">
        <v>8</v>
      </c>
      <c r="F2633" t="s">
        <v>23</v>
      </c>
      <c r="R2633">
        <v>1</v>
      </c>
      <c r="AE2633">
        <v>1</v>
      </c>
      <c r="AJ2633">
        <f>SUM(Post[[#This Row],[47]:[75]])</f>
        <v>2</v>
      </c>
    </row>
    <row r="2634" spans="1:36" x14ac:dyDescent="0.2">
      <c r="A2634" t="s">
        <v>61</v>
      </c>
      <c r="B2634" t="s">
        <v>54</v>
      </c>
      <c r="C2634">
        <v>7972</v>
      </c>
      <c r="D2634" t="s">
        <v>22</v>
      </c>
      <c r="E2634" t="s">
        <v>8</v>
      </c>
      <c r="F2634" t="s">
        <v>9</v>
      </c>
      <c r="AJ2634">
        <f>SUM(Post[[#This Row],[47]:[75]])</f>
        <v>0</v>
      </c>
    </row>
    <row r="2635" spans="1:36" x14ac:dyDescent="0.2">
      <c r="A2635" t="s">
        <v>61</v>
      </c>
      <c r="B2635" t="s">
        <v>54</v>
      </c>
      <c r="C2635">
        <v>8430</v>
      </c>
      <c r="D2635" t="s">
        <v>22</v>
      </c>
      <c r="E2635" t="s">
        <v>8</v>
      </c>
      <c r="F2635" t="s">
        <v>29</v>
      </c>
      <c r="K2635">
        <v>1</v>
      </c>
      <c r="AA2635">
        <v>1</v>
      </c>
      <c r="AE2635">
        <v>1</v>
      </c>
      <c r="AJ2635">
        <f>SUM(Post[[#This Row],[47]:[75]])</f>
        <v>3</v>
      </c>
    </row>
    <row r="2636" spans="1:36" x14ac:dyDescent="0.2">
      <c r="A2636" t="s">
        <v>61</v>
      </c>
      <c r="B2636" t="s">
        <v>54</v>
      </c>
      <c r="C2636">
        <v>8799</v>
      </c>
      <c r="D2636" t="s">
        <v>22</v>
      </c>
      <c r="E2636" t="s">
        <v>8</v>
      </c>
      <c r="F2636" t="s">
        <v>23</v>
      </c>
      <c r="U2636">
        <v>1</v>
      </c>
      <c r="V2636">
        <v>1</v>
      </c>
      <c r="AJ2636">
        <f>SUM(Post[[#This Row],[47]:[75]])</f>
        <v>2</v>
      </c>
    </row>
    <row r="2637" spans="1:36" x14ac:dyDescent="0.2">
      <c r="A2637" t="s">
        <v>61</v>
      </c>
      <c r="B2637" t="s">
        <v>54</v>
      </c>
      <c r="C2637">
        <v>9357</v>
      </c>
      <c r="D2637" t="s">
        <v>22</v>
      </c>
      <c r="E2637" t="s">
        <v>8</v>
      </c>
      <c r="F2637" t="s">
        <v>23</v>
      </c>
      <c r="J2637">
        <v>1</v>
      </c>
      <c r="Q2637">
        <v>1</v>
      </c>
      <c r="V2637">
        <v>1</v>
      </c>
      <c r="AA2637">
        <v>1</v>
      </c>
      <c r="AE2637">
        <v>1</v>
      </c>
      <c r="AF2637">
        <v>1</v>
      </c>
      <c r="AJ2637">
        <f>SUM(Post[[#This Row],[47]:[75]])</f>
        <v>6</v>
      </c>
    </row>
    <row r="2638" spans="1:36" x14ac:dyDescent="0.2">
      <c r="A2638" t="s">
        <v>61</v>
      </c>
      <c r="B2638" t="s">
        <v>54</v>
      </c>
      <c r="C2638">
        <v>9767</v>
      </c>
      <c r="D2638" t="s">
        <v>22</v>
      </c>
      <c r="E2638" t="s">
        <v>8</v>
      </c>
      <c r="F2638" t="s">
        <v>23</v>
      </c>
      <c r="I2638">
        <v>1</v>
      </c>
      <c r="AD2638">
        <v>1</v>
      </c>
      <c r="AJ2638">
        <f>SUM(Post[[#This Row],[47]:[75]])</f>
        <v>2</v>
      </c>
    </row>
    <row r="2639" spans="1:36" x14ac:dyDescent="0.2">
      <c r="A2639" t="s">
        <v>61</v>
      </c>
      <c r="B2639" t="s">
        <v>54</v>
      </c>
      <c r="C2639">
        <v>12112</v>
      </c>
      <c r="D2639" t="s">
        <v>22</v>
      </c>
      <c r="E2639" t="s">
        <v>8</v>
      </c>
      <c r="F2639" t="s">
        <v>9</v>
      </c>
      <c r="I2639">
        <v>2</v>
      </c>
      <c r="AB2639">
        <v>1</v>
      </c>
      <c r="AJ2639">
        <f>SUM(Post[[#This Row],[47]:[75]])</f>
        <v>3</v>
      </c>
    </row>
    <row r="2640" spans="1:36" x14ac:dyDescent="0.2">
      <c r="A2640" t="s">
        <v>61</v>
      </c>
      <c r="B2640" t="s">
        <v>54</v>
      </c>
      <c r="C2640">
        <v>12209</v>
      </c>
      <c r="D2640" t="s">
        <v>22</v>
      </c>
      <c r="E2640" t="s">
        <v>8</v>
      </c>
      <c r="F2640" t="s">
        <v>9</v>
      </c>
      <c r="S2640">
        <v>1</v>
      </c>
      <c r="AJ2640">
        <f>SUM(Post[[#This Row],[47]:[75]])</f>
        <v>1</v>
      </c>
    </row>
    <row r="2641" spans="1:36" x14ac:dyDescent="0.2">
      <c r="A2641" t="s">
        <v>61</v>
      </c>
      <c r="B2641" t="s">
        <v>54</v>
      </c>
      <c r="C2641">
        <v>13027</v>
      </c>
      <c r="D2641" t="s">
        <v>22</v>
      </c>
      <c r="E2641" t="s">
        <v>8</v>
      </c>
      <c r="F2641" t="s">
        <v>23</v>
      </c>
      <c r="I2641">
        <v>1</v>
      </c>
      <c r="Y2641">
        <v>1</v>
      </c>
      <c r="AJ2641">
        <f>SUM(Post[[#This Row],[47]:[75]])</f>
        <v>2</v>
      </c>
    </row>
    <row r="2642" spans="1:36" x14ac:dyDescent="0.2">
      <c r="A2642" t="s">
        <v>61</v>
      </c>
      <c r="B2642" t="s">
        <v>54</v>
      </c>
      <c r="C2642">
        <v>13823</v>
      </c>
      <c r="D2642" t="s">
        <v>22</v>
      </c>
      <c r="E2642" t="s">
        <v>8</v>
      </c>
      <c r="F2642" t="s">
        <v>23</v>
      </c>
      <c r="I2642">
        <v>1</v>
      </c>
      <c r="N2642">
        <v>1</v>
      </c>
      <c r="AJ2642">
        <f>SUM(Post[[#This Row],[47]:[75]])</f>
        <v>2</v>
      </c>
    </row>
    <row r="2643" spans="1:36" x14ac:dyDescent="0.2">
      <c r="A2643" t="s">
        <v>61</v>
      </c>
      <c r="B2643" t="s">
        <v>54</v>
      </c>
      <c r="C2643">
        <v>13823</v>
      </c>
      <c r="D2643" t="s">
        <v>22</v>
      </c>
      <c r="E2643" t="s">
        <v>8</v>
      </c>
      <c r="F2643" t="s">
        <v>30</v>
      </c>
      <c r="O2643">
        <v>1</v>
      </c>
      <c r="R2643">
        <v>1</v>
      </c>
      <c r="W2643">
        <v>2</v>
      </c>
      <c r="X2643">
        <v>1</v>
      </c>
      <c r="Y2643">
        <v>2</v>
      </c>
      <c r="Z2643">
        <v>1</v>
      </c>
      <c r="AA2643">
        <v>1</v>
      </c>
      <c r="AB2643">
        <v>1</v>
      </c>
      <c r="AD2643">
        <v>1</v>
      </c>
      <c r="AE2643">
        <v>1</v>
      </c>
      <c r="AF2643">
        <v>2</v>
      </c>
      <c r="AG2643">
        <v>1</v>
      </c>
      <c r="AH2643">
        <v>1</v>
      </c>
      <c r="AI2643">
        <v>1</v>
      </c>
      <c r="AJ2643">
        <f>SUM(Post[[#This Row],[47]:[75]])</f>
        <v>17</v>
      </c>
    </row>
    <row r="2644" spans="1:36" x14ac:dyDescent="0.2">
      <c r="A2644" t="s">
        <v>61</v>
      </c>
      <c r="B2644" t="s">
        <v>54</v>
      </c>
      <c r="C2644">
        <v>13823</v>
      </c>
      <c r="D2644" t="s">
        <v>22</v>
      </c>
      <c r="E2644" t="s">
        <v>8</v>
      </c>
      <c r="F2644" t="s">
        <v>9</v>
      </c>
      <c r="AJ2644">
        <f>SUM(Post[[#This Row],[47]:[75]])</f>
        <v>0</v>
      </c>
    </row>
    <row r="2645" spans="1:36" x14ac:dyDescent="0.2">
      <c r="A2645" t="s">
        <v>61</v>
      </c>
      <c r="B2645" t="s">
        <v>54</v>
      </c>
      <c r="C2645">
        <v>13965</v>
      </c>
      <c r="D2645" t="s">
        <v>22</v>
      </c>
      <c r="E2645" t="s">
        <v>14</v>
      </c>
      <c r="F2645" t="s">
        <v>35</v>
      </c>
      <c r="AJ2645">
        <f>SUM(Post[[#This Row],[47]:[75]])</f>
        <v>0</v>
      </c>
    </row>
    <row r="2646" spans="1:36" x14ac:dyDescent="0.2">
      <c r="A2646" t="s">
        <v>61</v>
      </c>
      <c r="B2646" t="s">
        <v>54</v>
      </c>
      <c r="C2646">
        <v>14834</v>
      </c>
      <c r="D2646" t="s">
        <v>22</v>
      </c>
      <c r="E2646" t="s">
        <v>8</v>
      </c>
      <c r="F2646" t="s">
        <v>29</v>
      </c>
      <c r="K2646">
        <v>2</v>
      </c>
      <c r="R2646">
        <v>1</v>
      </c>
      <c r="AJ2646">
        <f>SUM(Post[[#This Row],[47]:[75]])</f>
        <v>3</v>
      </c>
    </row>
    <row r="2647" spans="1:36" x14ac:dyDescent="0.2">
      <c r="A2647" t="s">
        <v>61</v>
      </c>
      <c r="B2647" t="s">
        <v>54</v>
      </c>
      <c r="C2647">
        <v>16780</v>
      </c>
      <c r="D2647" t="s">
        <v>22</v>
      </c>
      <c r="E2647" t="s">
        <v>10</v>
      </c>
      <c r="F2647" t="s">
        <v>11</v>
      </c>
      <c r="Q2647">
        <v>1</v>
      </c>
      <c r="AJ2647">
        <f>SUM(Post[[#This Row],[47]:[75]])</f>
        <v>1</v>
      </c>
    </row>
    <row r="2648" spans="1:36" x14ac:dyDescent="0.2">
      <c r="A2648" t="s">
        <v>61</v>
      </c>
      <c r="B2648" t="s">
        <v>54</v>
      </c>
      <c r="C2648">
        <v>32776</v>
      </c>
      <c r="D2648" t="s">
        <v>22</v>
      </c>
      <c r="E2648" t="s">
        <v>8</v>
      </c>
      <c r="F2648" t="s">
        <v>9</v>
      </c>
      <c r="G2648">
        <v>1</v>
      </c>
      <c r="K2648">
        <v>1</v>
      </c>
      <c r="P2648">
        <v>1</v>
      </c>
      <c r="U2648">
        <v>1</v>
      </c>
      <c r="Z2648">
        <v>1</v>
      </c>
      <c r="AE2648">
        <v>1</v>
      </c>
      <c r="AI2648">
        <v>1</v>
      </c>
      <c r="AJ2648">
        <f>SUM(Post[[#This Row],[47]:[75]])</f>
        <v>7</v>
      </c>
    </row>
    <row r="2649" spans="1:36" x14ac:dyDescent="0.2">
      <c r="A2649" t="s">
        <v>61</v>
      </c>
      <c r="B2649" t="s">
        <v>54</v>
      </c>
      <c r="C2649">
        <v>2399</v>
      </c>
      <c r="D2649" t="s">
        <v>7</v>
      </c>
      <c r="E2649" t="s">
        <v>10</v>
      </c>
      <c r="F2649" t="s">
        <v>11</v>
      </c>
      <c r="AH2649">
        <v>1</v>
      </c>
      <c r="AJ2649">
        <f>SUM(Post[[#This Row],[47]:[75]])</f>
        <v>1</v>
      </c>
    </row>
    <row r="2650" spans="1:36" x14ac:dyDescent="0.2">
      <c r="A2650" t="s">
        <v>61</v>
      </c>
      <c r="B2650" t="s">
        <v>54</v>
      </c>
      <c r="C2650">
        <v>2776</v>
      </c>
      <c r="D2650" t="s">
        <v>7</v>
      </c>
      <c r="E2650" t="s">
        <v>8</v>
      </c>
      <c r="F2650" t="s">
        <v>23</v>
      </c>
      <c r="I2650">
        <v>1</v>
      </c>
      <c r="Z2650">
        <v>1</v>
      </c>
      <c r="AJ2650">
        <f>SUM(Post[[#This Row],[47]:[75]])</f>
        <v>2</v>
      </c>
    </row>
    <row r="2651" spans="1:36" x14ac:dyDescent="0.2">
      <c r="A2651" t="s">
        <v>61</v>
      </c>
      <c r="B2651" t="s">
        <v>54</v>
      </c>
      <c r="C2651">
        <v>2817</v>
      </c>
      <c r="D2651" t="s">
        <v>7</v>
      </c>
      <c r="E2651" t="s">
        <v>10</v>
      </c>
      <c r="F2651" t="s">
        <v>11</v>
      </c>
      <c r="S2651">
        <v>1</v>
      </c>
      <c r="AJ2651">
        <f>SUM(Post[[#This Row],[47]:[75]])</f>
        <v>1</v>
      </c>
    </row>
    <row r="2652" spans="1:36" x14ac:dyDescent="0.2">
      <c r="A2652" t="s">
        <v>61</v>
      </c>
      <c r="B2652" t="s">
        <v>54</v>
      </c>
      <c r="C2652">
        <v>3278</v>
      </c>
      <c r="D2652" t="s">
        <v>7</v>
      </c>
      <c r="E2652" t="s">
        <v>8</v>
      </c>
      <c r="F2652" t="s">
        <v>23</v>
      </c>
      <c r="G2652">
        <v>1</v>
      </c>
      <c r="K2652">
        <v>1</v>
      </c>
      <c r="Q2652">
        <v>1</v>
      </c>
      <c r="V2652">
        <v>1</v>
      </c>
      <c r="Y2652">
        <v>1</v>
      </c>
      <c r="AD2652">
        <v>1</v>
      </c>
      <c r="AH2652">
        <v>1</v>
      </c>
      <c r="AJ2652">
        <f>SUM(Post[[#This Row],[47]:[75]])</f>
        <v>7</v>
      </c>
    </row>
    <row r="2653" spans="1:36" x14ac:dyDescent="0.2">
      <c r="A2653" t="s">
        <v>61</v>
      </c>
      <c r="B2653" t="s">
        <v>54</v>
      </c>
      <c r="C2653">
        <v>3682</v>
      </c>
      <c r="D2653" t="s">
        <v>7</v>
      </c>
      <c r="E2653" t="s">
        <v>14</v>
      </c>
      <c r="F2653" t="s">
        <v>35</v>
      </c>
      <c r="I2653">
        <v>1</v>
      </c>
      <c r="N2653">
        <v>1</v>
      </c>
      <c r="AJ2653">
        <f>SUM(Post[[#This Row],[47]:[75]])</f>
        <v>2</v>
      </c>
    </row>
    <row r="2654" spans="1:36" x14ac:dyDescent="0.2">
      <c r="A2654" t="s">
        <v>61</v>
      </c>
      <c r="B2654" t="s">
        <v>54</v>
      </c>
      <c r="C2654">
        <v>3995</v>
      </c>
      <c r="D2654" t="s">
        <v>7</v>
      </c>
      <c r="E2654" t="s">
        <v>12</v>
      </c>
      <c r="F2654" t="s">
        <v>13</v>
      </c>
      <c r="AA2654">
        <v>1</v>
      </c>
      <c r="AJ2654">
        <f>SUM(Post[[#This Row],[47]:[75]])</f>
        <v>1</v>
      </c>
    </row>
    <row r="2655" spans="1:36" x14ac:dyDescent="0.2">
      <c r="A2655" t="s">
        <v>61</v>
      </c>
      <c r="B2655" t="s">
        <v>54</v>
      </c>
      <c r="C2655">
        <v>4048</v>
      </c>
      <c r="D2655" t="s">
        <v>7</v>
      </c>
      <c r="E2655" t="s">
        <v>8</v>
      </c>
      <c r="F2655" t="s">
        <v>23</v>
      </c>
      <c r="Q2655">
        <v>1</v>
      </c>
      <c r="AC2655">
        <v>1</v>
      </c>
      <c r="AG2655">
        <v>1</v>
      </c>
      <c r="AJ2655">
        <f>SUM(Post[[#This Row],[47]:[75]])</f>
        <v>3</v>
      </c>
    </row>
    <row r="2656" spans="1:36" x14ac:dyDescent="0.2">
      <c r="A2656" t="s">
        <v>61</v>
      </c>
      <c r="B2656" t="s">
        <v>54</v>
      </c>
      <c r="C2656">
        <v>5375</v>
      </c>
      <c r="D2656" t="s">
        <v>7</v>
      </c>
      <c r="E2656" t="s">
        <v>14</v>
      </c>
      <c r="F2656" t="s">
        <v>20</v>
      </c>
      <c r="J2656">
        <v>2</v>
      </c>
      <c r="X2656">
        <v>1</v>
      </c>
      <c r="AJ2656">
        <f>SUM(Post[[#This Row],[47]:[75]])</f>
        <v>3</v>
      </c>
    </row>
    <row r="2657" spans="1:36" x14ac:dyDescent="0.2">
      <c r="A2657" t="s">
        <v>61</v>
      </c>
      <c r="B2657" t="s">
        <v>54</v>
      </c>
      <c r="C2657">
        <v>5583</v>
      </c>
      <c r="D2657" t="s">
        <v>7</v>
      </c>
      <c r="E2657" t="s">
        <v>10</v>
      </c>
      <c r="F2657" t="s">
        <v>11</v>
      </c>
      <c r="O2657">
        <v>3</v>
      </c>
      <c r="AJ2657">
        <f>SUM(Post[[#This Row],[47]:[75]])</f>
        <v>3</v>
      </c>
    </row>
    <row r="2658" spans="1:36" x14ac:dyDescent="0.2">
      <c r="A2658" t="s">
        <v>61</v>
      </c>
      <c r="B2658" t="s">
        <v>54</v>
      </c>
      <c r="C2658">
        <v>5583</v>
      </c>
      <c r="D2658" t="s">
        <v>7</v>
      </c>
      <c r="E2658" t="s">
        <v>14</v>
      </c>
      <c r="F2658" t="s">
        <v>35</v>
      </c>
      <c r="AJ2658">
        <f>SUM(Post[[#This Row],[47]:[75]])</f>
        <v>0</v>
      </c>
    </row>
    <row r="2659" spans="1:36" x14ac:dyDescent="0.2">
      <c r="A2659" t="s">
        <v>61</v>
      </c>
      <c r="B2659" t="s">
        <v>54</v>
      </c>
      <c r="C2659">
        <v>6164</v>
      </c>
      <c r="D2659" t="s">
        <v>7</v>
      </c>
      <c r="E2659" t="s">
        <v>8</v>
      </c>
      <c r="F2659" t="s">
        <v>23</v>
      </c>
      <c r="O2659">
        <v>1</v>
      </c>
      <c r="V2659">
        <v>1</v>
      </c>
      <c r="AE2659">
        <v>1</v>
      </c>
      <c r="AJ2659">
        <f>SUM(Post[[#This Row],[47]:[75]])</f>
        <v>3</v>
      </c>
    </row>
    <row r="2660" spans="1:36" x14ac:dyDescent="0.2">
      <c r="A2660" t="s">
        <v>61</v>
      </c>
      <c r="B2660" t="s">
        <v>54</v>
      </c>
      <c r="C2660">
        <v>6353</v>
      </c>
      <c r="D2660" t="s">
        <v>7</v>
      </c>
      <c r="E2660" t="s">
        <v>14</v>
      </c>
      <c r="F2660" t="s">
        <v>35</v>
      </c>
      <c r="G2660">
        <v>1</v>
      </c>
      <c r="AB2660">
        <v>1</v>
      </c>
      <c r="AJ2660">
        <f>SUM(Post[[#This Row],[47]:[75]])</f>
        <v>2</v>
      </c>
    </row>
    <row r="2661" spans="1:36" x14ac:dyDescent="0.2">
      <c r="A2661" t="s">
        <v>61</v>
      </c>
      <c r="B2661" t="s">
        <v>54</v>
      </c>
      <c r="C2661">
        <v>6737</v>
      </c>
      <c r="D2661" t="s">
        <v>7</v>
      </c>
      <c r="E2661" t="s">
        <v>14</v>
      </c>
      <c r="F2661" t="s">
        <v>35</v>
      </c>
      <c r="AJ2661">
        <f>SUM(Post[[#This Row],[47]:[75]])</f>
        <v>0</v>
      </c>
    </row>
    <row r="2662" spans="1:36" x14ac:dyDescent="0.2">
      <c r="A2662" t="s">
        <v>61</v>
      </c>
      <c r="B2662" t="s">
        <v>54</v>
      </c>
      <c r="C2662">
        <v>6737</v>
      </c>
      <c r="D2662" t="s">
        <v>7</v>
      </c>
      <c r="E2662" t="s">
        <v>14</v>
      </c>
      <c r="F2662" t="s">
        <v>21</v>
      </c>
      <c r="AG2662">
        <v>1</v>
      </c>
      <c r="AI2662">
        <v>1</v>
      </c>
      <c r="AJ2662">
        <f>SUM(Post[[#This Row],[47]:[75]])</f>
        <v>2</v>
      </c>
    </row>
    <row r="2663" spans="1:36" x14ac:dyDescent="0.2">
      <c r="A2663" t="s">
        <v>61</v>
      </c>
      <c r="B2663" t="s">
        <v>54</v>
      </c>
      <c r="C2663">
        <v>6887</v>
      </c>
      <c r="D2663" t="s">
        <v>7</v>
      </c>
      <c r="E2663" t="s">
        <v>14</v>
      </c>
      <c r="F2663" t="s">
        <v>35</v>
      </c>
      <c r="G2663">
        <v>1</v>
      </c>
      <c r="U2663">
        <v>1</v>
      </c>
      <c r="Z2663">
        <v>1</v>
      </c>
      <c r="AE2663">
        <v>1</v>
      </c>
      <c r="AI2663">
        <v>1</v>
      </c>
      <c r="AJ2663">
        <f>SUM(Post[[#This Row],[47]:[75]])</f>
        <v>5</v>
      </c>
    </row>
    <row r="2664" spans="1:36" x14ac:dyDescent="0.2">
      <c r="A2664" t="s">
        <v>61</v>
      </c>
      <c r="B2664" t="s">
        <v>54</v>
      </c>
      <c r="C2664">
        <v>6973</v>
      </c>
      <c r="D2664" t="s">
        <v>7</v>
      </c>
      <c r="E2664" t="s">
        <v>14</v>
      </c>
      <c r="F2664" t="s">
        <v>21</v>
      </c>
      <c r="G2664">
        <v>1</v>
      </c>
      <c r="L2664">
        <v>1</v>
      </c>
      <c r="R2664">
        <v>1</v>
      </c>
      <c r="AA2664">
        <v>1</v>
      </c>
      <c r="AG2664">
        <v>1</v>
      </c>
      <c r="AJ2664">
        <f>SUM(Post[[#This Row],[47]:[75]])</f>
        <v>5</v>
      </c>
    </row>
    <row r="2665" spans="1:36" x14ac:dyDescent="0.2">
      <c r="A2665" t="s">
        <v>61</v>
      </c>
      <c r="B2665" t="s">
        <v>54</v>
      </c>
      <c r="C2665">
        <v>7464</v>
      </c>
      <c r="D2665" t="s">
        <v>7</v>
      </c>
      <c r="E2665" t="s">
        <v>8</v>
      </c>
      <c r="F2665" t="s">
        <v>29</v>
      </c>
      <c r="AJ2665">
        <f>SUM(Post[[#This Row],[47]:[75]])</f>
        <v>0</v>
      </c>
    </row>
    <row r="2666" spans="1:36" x14ac:dyDescent="0.2">
      <c r="A2666" t="s">
        <v>61</v>
      </c>
      <c r="B2666" t="s">
        <v>54</v>
      </c>
      <c r="C2666">
        <v>7617</v>
      </c>
      <c r="D2666" t="s">
        <v>7</v>
      </c>
      <c r="E2666" t="s">
        <v>10</v>
      </c>
      <c r="F2666" t="s">
        <v>11</v>
      </c>
      <c r="H2666">
        <v>1</v>
      </c>
      <c r="AE2666">
        <v>1</v>
      </c>
      <c r="AJ2666">
        <f>SUM(Post[[#This Row],[47]:[75]])</f>
        <v>2</v>
      </c>
    </row>
    <row r="2667" spans="1:36" x14ac:dyDescent="0.2">
      <c r="A2667" t="s">
        <v>61</v>
      </c>
      <c r="B2667" t="s">
        <v>54</v>
      </c>
      <c r="C2667">
        <v>7617</v>
      </c>
      <c r="D2667" t="s">
        <v>7</v>
      </c>
      <c r="E2667" t="s">
        <v>14</v>
      </c>
      <c r="F2667" t="s">
        <v>15</v>
      </c>
      <c r="AJ2667">
        <f>SUM(Post[[#This Row],[47]:[75]])</f>
        <v>0</v>
      </c>
    </row>
    <row r="2668" spans="1:36" x14ac:dyDescent="0.2">
      <c r="A2668" t="s">
        <v>61</v>
      </c>
      <c r="B2668" t="s">
        <v>54</v>
      </c>
      <c r="C2668">
        <v>9768</v>
      </c>
      <c r="D2668" t="s">
        <v>7</v>
      </c>
      <c r="E2668" t="s">
        <v>10</v>
      </c>
      <c r="F2668" t="s">
        <v>11</v>
      </c>
      <c r="U2668">
        <v>1</v>
      </c>
      <c r="AJ2668">
        <f>SUM(Post[[#This Row],[47]:[75]])</f>
        <v>1</v>
      </c>
    </row>
    <row r="2669" spans="1:36" x14ac:dyDescent="0.2">
      <c r="A2669" t="s">
        <v>61</v>
      </c>
      <c r="B2669" t="s">
        <v>54</v>
      </c>
      <c r="C2669">
        <v>10601</v>
      </c>
      <c r="D2669" t="s">
        <v>7</v>
      </c>
      <c r="E2669" t="s">
        <v>8</v>
      </c>
      <c r="F2669" t="s">
        <v>23</v>
      </c>
      <c r="R2669">
        <v>1</v>
      </c>
      <c r="T2669">
        <v>1</v>
      </c>
      <c r="V2669">
        <v>1</v>
      </c>
      <c r="X2669">
        <v>1</v>
      </c>
      <c r="Z2669">
        <v>1</v>
      </c>
      <c r="AB2669">
        <v>1</v>
      </c>
      <c r="AD2669">
        <v>1</v>
      </c>
      <c r="AF2669">
        <v>1</v>
      </c>
      <c r="AH2669">
        <v>1</v>
      </c>
      <c r="AJ2669">
        <f>SUM(Post[[#This Row],[47]:[75]])</f>
        <v>9</v>
      </c>
    </row>
    <row r="2670" spans="1:36" x14ac:dyDescent="0.2">
      <c r="A2670" t="s">
        <v>61</v>
      </c>
      <c r="B2670" t="s">
        <v>54</v>
      </c>
      <c r="C2670">
        <v>10601</v>
      </c>
      <c r="D2670" t="s">
        <v>7</v>
      </c>
      <c r="E2670" t="s">
        <v>14</v>
      </c>
      <c r="F2670" t="s">
        <v>20</v>
      </c>
      <c r="Q2670">
        <v>1</v>
      </c>
      <c r="T2670">
        <v>2</v>
      </c>
      <c r="V2670">
        <v>1</v>
      </c>
      <c r="X2670">
        <v>1</v>
      </c>
      <c r="Z2670">
        <v>1</v>
      </c>
      <c r="AB2670">
        <v>1</v>
      </c>
      <c r="AD2670">
        <v>1</v>
      </c>
      <c r="AF2670">
        <v>1</v>
      </c>
      <c r="AH2670">
        <v>1</v>
      </c>
      <c r="AJ2670">
        <f>SUM(Post[[#This Row],[47]:[75]])</f>
        <v>10</v>
      </c>
    </row>
    <row r="2671" spans="1:36" x14ac:dyDescent="0.2">
      <c r="A2671" t="s">
        <v>61</v>
      </c>
      <c r="B2671" t="s">
        <v>54</v>
      </c>
      <c r="C2671">
        <v>10831</v>
      </c>
      <c r="D2671" t="s">
        <v>7</v>
      </c>
      <c r="E2671" t="s">
        <v>8</v>
      </c>
      <c r="F2671" t="s">
        <v>9</v>
      </c>
      <c r="G2671">
        <v>1</v>
      </c>
      <c r="V2671">
        <v>1</v>
      </c>
      <c r="AJ2671">
        <f>SUM(Post[[#This Row],[47]:[75]])</f>
        <v>2</v>
      </c>
    </row>
    <row r="2672" spans="1:36" x14ac:dyDescent="0.2">
      <c r="A2672" t="s">
        <v>61</v>
      </c>
      <c r="B2672" t="s">
        <v>54</v>
      </c>
      <c r="C2672">
        <v>11780</v>
      </c>
      <c r="D2672" t="s">
        <v>7</v>
      </c>
      <c r="E2672" t="s">
        <v>14</v>
      </c>
      <c r="F2672" t="s">
        <v>35</v>
      </c>
      <c r="K2672">
        <v>1</v>
      </c>
      <c r="AJ2672">
        <f>SUM(Post[[#This Row],[47]:[75]])</f>
        <v>1</v>
      </c>
    </row>
    <row r="2673" spans="1:36" x14ac:dyDescent="0.2">
      <c r="A2673" t="s">
        <v>61</v>
      </c>
      <c r="B2673" t="s">
        <v>54</v>
      </c>
      <c r="C2673">
        <v>12523</v>
      </c>
      <c r="D2673" t="s">
        <v>7</v>
      </c>
      <c r="E2673" t="s">
        <v>14</v>
      </c>
      <c r="F2673" t="s">
        <v>19</v>
      </c>
      <c r="N2673">
        <v>1</v>
      </c>
      <c r="AJ2673">
        <f>SUM(Post[[#This Row],[47]:[75]])</f>
        <v>1</v>
      </c>
    </row>
    <row r="2674" spans="1:36" x14ac:dyDescent="0.2">
      <c r="A2674" t="s">
        <v>61</v>
      </c>
      <c r="B2674" t="s">
        <v>54</v>
      </c>
      <c r="C2674">
        <v>12523</v>
      </c>
      <c r="D2674" t="s">
        <v>7</v>
      </c>
      <c r="E2674" t="s">
        <v>14</v>
      </c>
      <c r="F2674" t="s">
        <v>20</v>
      </c>
      <c r="AJ2674">
        <f>SUM(Post[[#This Row],[47]:[75]])</f>
        <v>0</v>
      </c>
    </row>
    <row r="2675" spans="1:36" x14ac:dyDescent="0.2">
      <c r="A2675" t="s">
        <v>61</v>
      </c>
      <c r="B2675" t="s">
        <v>54</v>
      </c>
      <c r="C2675">
        <v>12719</v>
      </c>
      <c r="D2675" t="s">
        <v>7</v>
      </c>
      <c r="E2675" t="s">
        <v>14</v>
      </c>
      <c r="F2675" t="s">
        <v>20</v>
      </c>
      <c r="R2675">
        <v>1</v>
      </c>
      <c r="T2675">
        <v>1</v>
      </c>
      <c r="W2675">
        <v>2</v>
      </c>
      <c r="AA2675">
        <v>1</v>
      </c>
      <c r="AC2675">
        <v>1</v>
      </c>
      <c r="AH2675">
        <v>1</v>
      </c>
      <c r="AJ2675">
        <f>SUM(Post[[#This Row],[47]:[75]])</f>
        <v>7</v>
      </c>
    </row>
    <row r="2676" spans="1:36" x14ac:dyDescent="0.2">
      <c r="A2676" t="s">
        <v>61</v>
      </c>
      <c r="B2676" t="s">
        <v>54</v>
      </c>
      <c r="C2676">
        <v>13280</v>
      </c>
      <c r="D2676" t="s">
        <v>7</v>
      </c>
      <c r="E2676" t="s">
        <v>14</v>
      </c>
      <c r="F2676" t="s">
        <v>35</v>
      </c>
      <c r="L2676">
        <v>2</v>
      </c>
      <c r="Z2676">
        <v>1</v>
      </c>
      <c r="AJ2676">
        <f>SUM(Post[[#This Row],[47]:[75]])</f>
        <v>3</v>
      </c>
    </row>
    <row r="2677" spans="1:36" x14ac:dyDescent="0.2">
      <c r="A2677" t="s">
        <v>61</v>
      </c>
      <c r="B2677" t="s">
        <v>54</v>
      </c>
      <c r="C2677">
        <v>13713</v>
      </c>
      <c r="D2677" t="s">
        <v>7</v>
      </c>
      <c r="E2677" t="s">
        <v>8</v>
      </c>
      <c r="F2677" t="s">
        <v>23</v>
      </c>
      <c r="S2677">
        <v>1</v>
      </c>
      <c r="AF2677">
        <v>1</v>
      </c>
      <c r="AJ2677">
        <f>SUM(Post[[#This Row],[47]:[75]])</f>
        <v>2</v>
      </c>
    </row>
    <row r="2678" spans="1:36" x14ac:dyDescent="0.2">
      <c r="A2678" t="s">
        <v>61</v>
      </c>
      <c r="B2678" t="s">
        <v>54</v>
      </c>
      <c r="C2678">
        <v>13713</v>
      </c>
      <c r="D2678" t="s">
        <v>7</v>
      </c>
      <c r="E2678" t="s">
        <v>14</v>
      </c>
      <c r="F2678" t="s">
        <v>19</v>
      </c>
      <c r="S2678">
        <v>1</v>
      </c>
      <c r="AF2678">
        <v>1</v>
      </c>
      <c r="AJ2678">
        <f>SUM(Post[[#This Row],[47]:[75]])</f>
        <v>2</v>
      </c>
    </row>
    <row r="2679" spans="1:36" x14ac:dyDescent="0.2">
      <c r="A2679" t="s">
        <v>61</v>
      </c>
      <c r="B2679" t="s">
        <v>54</v>
      </c>
      <c r="C2679">
        <v>13713</v>
      </c>
      <c r="D2679" t="s">
        <v>7</v>
      </c>
      <c r="E2679" t="s">
        <v>14</v>
      </c>
      <c r="F2679" t="s">
        <v>20</v>
      </c>
      <c r="AJ2679">
        <f>SUM(Post[[#This Row],[47]:[75]])</f>
        <v>0</v>
      </c>
    </row>
    <row r="2680" spans="1:36" x14ac:dyDescent="0.2">
      <c r="A2680" t="s">
        <v>61</v>
      </c>
      <c r="B2680" t="s">
        <v>54</v>
      </c>
      <c r="C2680">
        <v>14300</v>
      </c>
      <c r="D2680" t="s">
        <v>7</v>
      </c>
      <c r="E2680" t="s">
        <v>10</v>
      </c>
      <c r="F2680" t="s">
        <v>11</v>
      </c>
      <c r="I2680">
        <v>2</v>
      </c>
      <c r="AJ2680">
        <f>SUM(Post[[#This Row],[47]:[75]])</f>
        <v>2</v>
      </c>
    </row>
    <row r="2681" spans="1:36" x14ac:dyDescent="0.2">
      <c r="A2681" t="s">
        <v>61</v>
      </c>
      <c r="B2681" t="s">
        <v>54</v>
      </c>
      <c r="C2681">
        <v>14300</v>
      </c>
      <c r="D2681" t="s">
        <v>7</v>
      </c>
      <c r="E2681" t="s">
        <v>17</v>
      </c>
      <c r="F2681" t="s">
        <v>18</v>
      </c>
      <c r="I2681">
        <v>1</v>
      </c>
      <c r="AC2681">
        <v>1</v>
      </c>
      <c r="AJ2681">
        <f>SUM(Post[[#This Row],[47]:[75]])</f>
        <v>2</v>
      </c>
    </row>
    <row r="2682" spans="1:36" x14ac:dyDescent="0.2">
      <c r="A2682" t="s">
        <v>61</v>
      </c>
      <c r="B2682" t="s">
        <v>54</v>
      </c>
      <c r="C2682">
        <v>14300</v>
      </c>
      <c r="D2682" t="s">
        <v>7</v>
      </c>
      <c r="E2682" t="s">
        <v>14</v>
      </c>
      <c r="F2682" t="s">
        <v>35</v>
      </c>
      <c r="AJ2682">
        <f>SUM(Post[[#This Row],[47]:[75]])</f>
        <v>0</v>
      </c>
    </row>
    <row r="2683" spans="1:36" x14ac:dyDescent="0.2">
      <c r="A2683" t="s">
        <v>61</v>
      </c>
      <c r="B2683" t="s">
        <v>54</v>
      </c>
      <c r="C2683">
        <v>16313</v>
      </c>
      <c r="D2683" t="s">
        <v>7</v>
      </c>
      <c r="E2683" t="s">
        <v>8</v>
      </c>
      <c r="F2683" t="s">
        <v>23</v>
      </c>
      <c r="R2683">
        <v>1</v>
      </c>
      <c r="AJ2683">
        <f>SUM(Post[[#This Row],[47]:[75]])</f>
        <v>1</v>
      </c>
    </row>
    <row r="2684" spans="1:36" x14ac:dyDescent="0.2">
      <c r="A2684" t="s">
        <v>61</v>
      </c>
      <c r="B2684" t="s">
        <v>54</v>
      </c>
      <c r="C2684">
        <v>16570</v>
      </c>
      <c r="D2684" t="s">
        <v>7</v>
      </c>
      <c r="E2684" t="s">
        <v>14</v>
      </c>
      <c r="F2684" t="s">
        <v>35</v>
      </c>
      <c r="O2684">
        <v>1</v>
      </c>
      <c r="U2684">
        <v>1</v>
      </c>
      <c r="AE2684">
        <v>1</v>
      </c>
      <c r="AJ2684">
        <f>SUM(Post[[#This Row],[47]:[75]])</f>
        <v>3</v>
      </c>
    </row>
    <row r="2685" spans="1:36" x14ac:dyDescent="0.2">
      <c r="A2685" t="s">
        <v>61</v>
      </c>
      <c r="B2685" t="s">
        <v>54</v>
      </c>
      <c r="C2685">
        <v>16759</v>
      </c>
      <c r="D2685" t="s">
        <v>7</v>
      </c>
      <c r="E2685" t="s">
        <v>8</v>
      </c>
      <c r="F2685" t="s">
        <v>23</v>
      </c>
      <c r="G2685">
        <v>1</v>
      </c>
      <c r="J2685">
        <v>1</v>
      </c>
      <c r="T2685">
        <v>1</v>
      </c>
      <c r="AJ2685">
        <f>SUM(Post[[#This Row],[47]:[75]])</f>
        <v>3</v>
      </c>
    </row>
    <row r="2686" spans="1:36" x14ac:dyDescent="0.2">
      <c r="A2686" t="s">
        <v>61</v>
      </c>
      <c r="B2686" t="s">
        <v>54</v>
      </c>
      <c r="C2686">
        <v>16827</v>
      </c>
      <c r="D2686" t="s">
        <v>7</v>
      </c>
      <c r="E2686" t="s">
        <v>17</v>
      </c>
      <c r="F2686" t="s">
        <v>18</v>
      </c>
      <c r="Q2686">
        <v>2</v>
      </c>
      <c r="AJ2686">
        <f>SUM(Post[[#This Row],[47]:[75]])</f>
        <v>2</v>
      </c>
    </row>
    <row r="2687" spans="1:36" x14ac:dyDescent="0.2">
      <c r="A2687" t="s">
        <v>61</v>
      </c>
      <c r="B2687" t="s">
        <v>54</v>
      </c>
      <c r="C2687">
        <v>16827</v>
      </c>
      <c r="D2687" t="s">
        <v>7</v>
      </c>
      <c r="E2687" t="s">
        <v>14</v>
      </c>
      <c r="F2687" t="s">
        <v>35</v>
      </c>
      <c r="AD2687">
        <v>1</v>
      </c>
      <c r="AJ2687">
        <f>SUM(Post[[#This Row],[47]:[75]])</f>
        <v>1</v>
      </c>
    </row>
    <row r="2688" spans="1:36" x14ac:dyDescent="0.2">
      <c r="A2688" t="s">
        <v>61</v>
      </c>
      <c r="B2688" t="s">
        <v>54</v>
      </c>
      <c r="C2688">
        <v>16924</v>
      </c>
      <c r="D2688" t="s">
        <v>7</v>
      </c>
      <c r="E2688" t="s">
        <v>14</v>
      </c>
      <c r="F2688" t="s">
        <v>20</v>
      </c>
      <c r="O2688">
        <v>1</v>
      </c>
      <c r="AJ2688">
        <f>SUM(Post[[#This Row],[47]:[75]])</f>
        <v>1</v>
      </c>
    </row>
    <row r="2689" spans="1:36" x14ac:dyDescent="0.2">
      <c r="A2689" t="s">
        <v>61</v>
      </c>
      <c r="B2689" t="s">
        <v>54</v>
      </c>
      <c r="C2689">
        <v>17333</v>
      </c>
      <c r="D2689" t="s">
        <v>7</v>
      </c>
      <c r="E2689" t="s">
        <v>14</v>
      </c>
      <c r="F2689" t="s">
        <v>20</v>
      </c>
      <c r="AE2689">
        <v>2</v>
      </c>
      <c r="AJ2689">
        <f>SUM(Post[[#This Row],[47]:[75]])</f>
        <v>2</v>
      </c>
    </row>
    <row r="2690" spans="1:36" x14ac:dyDescent="0.2">
      <c r="A2690" t="s">
        <v>61</v>
      </c>
      <c r="B2690" t="s">
        <v>54</v>
      </c>
      <c r="C2690">
        <v>18696</v>
      </c>
      <c r="D2690" t="s">
        <v>7</v>
      </c>
      <c r="E2690" t="s">
        <v>8</v>
      </c>
      <c r="F2690" t="s">
        <v>23</v>
      </c>
      <c r="Q2690">
        <v>1</v>
      </c>
      <c r="AJ2690">
        <f>SUM(Post[[#This Row],[47]:[75]])</f>
        <v>1</v>
      </c>
    </row>
    <row r="2691" spans="1:36" x14ac:dyDescent="0.2">
      <c r="A2691" t="s">
        <v>61</v>
      </c>
      <c r="B2691" t="s">
        <v>54</v>
      </c>
      <c r="C2691">
        <v>20038</v>
      </c>
      <c r="D2691" t="s">
        <v>7</v>
      </c>
      <c r="E2691" t="s">
        <v>8</v>
      </c>
      <c r="F2691" t="s">
        <v>23</v>
      </c>
      <c r="AJ2691">
        <f>SUM(Post[[#This Row],[47]:[75]])</f>
        <v>0</v>
      </c>
    </row>
    <row r="2692" spans="1:36" x14ac:dyDescent="0.2">
      <c r="A2692" t="s">
        <v>61</v>
      </c>
      <c r="B2692" t="s">
        <v>54</v>
      </c>
      <c r="C2692">
        <v>20038</v>
      </c>
      <c r="D2692" t="s">
        <v>7</v>
      </c>
      <c r="E2692" t="s">
        <v>8</v>
      </c>
      <c r="F2692" t="s">
        <v>9</v>
      </c>
      <c r="G2692">
        <v>1</v>
      </c>
      <c r="V2692">
        <v>1</v>
      </c>
      <c r="Y2692">
        <v>1</v>
      </c>
      <c r="AJ2692">
        <f>SUM(Post[[#This Row],[47]:[75]])</f>
        <v>3</v>
      </c>
    </row>
    <row r="2693" spans="1:36" x14ac:dyDescent="0.2">
      <c r="A2693" t="s">
        <v>61</v>
      </c>
      <c r="B2693" t="s">
        <v>54</v>
      </c>
      <c r="C2693">
        <v>20038</v>
      </c>
      <c r="D2693" t="s">
        <v>7</v>
      </c>
      <c r="E2693" t="s">
        <v>14</v>
      </c>
      <c r="F2693" t="s">
        <v>35</v>
      </c>
      <c r="AJ2693">
        <f>SUM(Post[[#This Row],[47]:[75]])</f>
        <v>0</v>
      </c>
    </row>
    <row r="2694" spans="1:36" x14ac:dyDescent="0.2">
      <c r="A2694" t="s">
        <v>61</v>
      </c>
      <c r="B2694" t="s">
        <v>54</v>
      </c>
      <c r="C2694">
        <v>20038</v>
      </c>
      <c r="D2694" t="s">
        <v>7</v>
      </c>
      <c r="E2694" t="s">
        <v>14</v>
      </c>
      <c r="F2694" t="s">
        <v>20</v>
      </c>
      <c r="K2694">
        <v>2</v>
      </c>
      <c r="Q2694">
        <v>3</v>
      </c>
      <c r="V2694">
        <v>1</v>
      </c>
      <c r="Y2694">
        <v>1</v>
      </c>
      <c r="AD2694">
        <v>1</v>
      </c>
      <c r="AJ2694">
        <f>SUM(Post[[#This Row],[47]:[75]])</f>
        <v>8</v>
      </c>
    </row>
    <row r="2695" spans="1:36" x14ac:dyDescent="0.2">
      <c r="A2695" t="s">
        <v>61</v>
      </c>
      <c r="B2695" t="s">
        <v>54</v>
      </c>
      <c r="C2695">
        <v>22088</v>
      </c>
      <c r="D2695" t="s">
        <v>7</v>
      </c>
      <c r="E2695" t="s">
        <v>12</v>
      </c>
      <c r="F2695" t="s">
        <v>13</v>
      </c>
      <c r="AD2695">
        <v>1</v>
      </c>
      <c r="AJ2695">
        <f>SUM(Post[[#This Row],[47]:[75]])</f>
        <v>1</v>
      </c>
    </row>
    <row r="2696" spans="1:36" x14ac:dyDescent="0.2">
      <c r="A2696" t="s">
        <v>61</v>
      </c>
      <c r="B2696" t="s">
        <v>54</v>
      </c>
      <c r="C2696">
        <v>29152</v>
      </c>
      <c r="D2696" t="s">
        <v>7</v>
      </c>
      <c r="E2696" t="s">
        <v>37</v>
      </c>
      <c r="F2696" t="s">
        <v>43</v>
      </c>
      <c r="AJ2696">
        <f>SUM(Post[[#This Row],[47]:[75]])</f>
        <v>0</v>
      </c>
    </row>
    <row r="2697" spans="1:36" x14ac:dyDescent="0.2">
      <c r="A2697" t="s">
        <v>61</v>
      </c>
      <c r="B2697" t="s">
        <v>54</v>
      </c>
      <c r="C2697">
        <v>29152</v>
      </c>
      <c r="D2697" t="s">
        <v>7</v>
      </c>
      <c r="E2697" t="s">
        <v>10</v>
      </c>
      <c r="F2697" t="s">
        <v>11</v>
      </c>
      <c r="AJ2697">
        <f>SUM(Post[[#This Row],[47]:[75]])</f>
        <v>0</v>
      </c>
    </row>
    <row r="2698" spans="1:36" x14ac:dyDescent="0.2">
      <c r="A2698" t="s">
        <v>61</v>
      </c>
      <c r="B2698" t="s">
        <v>54</v>
      </c>
      <c r="C2698">
        <v>29152</v>
      </c>
      <c r="D2698" t="s">
        <v>7</v>
      </c>
      <c r="E2698" t="s">
        <v>8</v>
      </c>
      <c r="F2698" t="s">
        <v>9</v>
      </c>
      <c r="AJ2698">
        <f>SUM(Post[[#This Row],[47]:[75]])</f>
        <v>0</v>
      </c>
    </row>
    <row r="2699" spans="1:36" x14ac:dyDescent="0.2">
      <c r="A2699" t="s">
        <v>61</v>
      </c>
      <c r="B2699" t="s">
        <v>54</v>
      </c>
      <c r="C2699">
        <v>29152</v>
      </c>
      <c r="D2699" t="s">
        <v>7</v>
      </c>
      <c r="E2699" t="s">
        <v>14</v>
      </c>
      <c r="F2699" t="s">
        <v>35</v>
      </c>
      <c r="AJ2699">
        <f>SUM(Post[[#This Row],[47]:[75]])</f>
        <v>0</v>
      </c>
    </row>
    <row r="2700" spans="1:36" x14ac:dyDescent="0.2">
      <c r="A2700" t="s">
        <v>61</v>
      </c>
      <c r="B2700" t="s">
        <v>54</v>
      </c>
      <c r="C2700">
        <v>29746</v>
      </c>
      <c r="D2700" t="s">
        <v>7</v>
      </c>
      <c r="E2700" t="s">
        <v>14</v>
      </c>
      <c r="F2700" t="s">
        <v>20</v>
      </c>
      <c r="AJ2700">
        <f>SUM(Post[[#This Row],[47]:[75]])</f>
        <v>0</v>
      </c>
    </row>
    <row r="2701" spans="1:36" x14ac:dyDescent="0.2">
      <c r="A2701" t="s">
        <v>61</v>
      </c>
      <c r="B2701" t="s">
        <v>54</v>
      </c>
      <c r="C2701">
        <v>263</v>
      </c>
      <c r="D2701" t="s">
        <v>22</v>
      </c>
      <c r="E2701" t="s">
        <v>14</v>
      </c>
      <c r="F2701" t="s">
        <v>20</v>
      </c>
      <c r="N2701">
        <v>1</v>
      </c>
      <c r="AE2701">
        <v>1</v>
      </c>
      <c r="AJ2701">
        <f>SUM(Post[[#This Row],[47]:[75]])</f>
        <v>2</v>
      </c>
    </row>
    <row r="2702" spans="1:36" x14ac:dyDescent="0.2">
      <c r="A2702" t="s">
        <v>61</v>
      </c>
      <c r="B2702" t="s">
        <v>54</v>
      </c>
      <c r="C2702">
        <v>1022</v>
      </c>
      <c r="D2702" t="s">
        <v>22</v>
      </c>
      <c r="E2702" t="s">
        <v>10</v>
      </c>
      <c r="F2702" t="s">
        <v>11</v>
      </c>
      <c r="AJ2702">
        <f>SUM(Post[[#This Row],[47]:[75]])</f>
        <v>0</v>
      </c>
    </row>
    <row r="2703" spans="1:36" x14ac:dyDescent="0.2">
      <c r="A2703" t="s">
        <v>61</v>
      </c>
      <c r="B2703" t="s">
        <v>54</v>
      </c>
      <c r="C2703">
        <v>1924</v>
      </c>
      <c r="D2703" t="s">
        <v>22</v>
      </c>
      <c r="E2703" t="s">
        <v>10</v>
      </c>
      <c r="F2703" t="s">
        <v>11</v>
      </c>
      <c r="AJ2703">
        <f>SUM(Post[[#This Row],[47]:[75]])</f>
        <v>0</v>
      </c>
    </row>
    <row r="2704" spans="1:36" x14ac:dyDescent="0.2">
      <c r="A2704" t="s">
        <v>61</v>
      </c>
      <c r="B2704" t="s">
        <v>54</v>
      </c>
      <c r="C2704">
        <v>1924</v>
      </c>
      <c r="D2704" t="s">
        <v>22</v>
      </c>
      <c r="E2704" t="s">
        <v>14</v>
      </c>
      <c r="F2704" t="s">
        <v>21</v>
      </c>
      <c r="AJ2704">
        <f>SUM(Post[[#This Row],[47]:[75]])</f>
        <v>0</v>
      </c>
    </row>
    <row r="2705" spans="1:36" x14ac:dyDescent="0.2">
      <c r="A2705" t="s">
        <v>61</v>
      </c>
      <c r="B2705" t="s">
        <v>54</v>
      </c>
      <c r="C2705">
        <v>2160</v>
      </c>
      <c r="D2705" t="s">
        <v>22</v>
      </c>
      <c r="E2705" t="s">
        <v>37</v>
      </c>
      <c r="F2705" t="s">
        <v>38</v>
      </c>
      <c r="R2705">
        <v>1</v>
      </c>
      <c r="Y2705">
        <v>1</v>
      </c>
      <c r="AG2705">
        <v>1</v>
      </c>
      <c r="AJ2705">
        <f>SUM(Post[[#This Row],[47]:[75]])</f>
        <v>3</v>
      </c>
    </row>
    <row r="2706" spans="1:36" x14ac:dyDescent="0.2">
      <c r="A2706" t="s">
        <v>61</v>
      </c>
      <c r="B2706" t="s">
        <v>54</v>
      </c>
      <c r="C2706">
        <v>2989</v>
      </c>
      <c r="D2706" t="s">
        <v>22</v>
      </c>
      <c r="E2706" t="s">
        <v>14</v>
      </c>
      <c r="F2706" t="s">
        <v>20</v>
      </c>
      <c r="P2706">
        <v>1</v>
      </c>
      <c r="S2706">
        <v>2</v>
      </c>
      <c r="AJ2706">
        <f>SUM(Post[[#This Row],[47]:[75]])</f>
        <v>3</v>
      </c>
    </row>
    <row r="2707" spans="1:36" x14ac:dyDescent="0.2">
      <c r="A2707" t="s">
        <v>61</v>
      </c>
      <c r="B2707" t="s">
        <v>54</v>
      </c>
      <c r="C2707">
        <v>3345</v>
      </c>
      <c r="D2707" t="s">
        <v>22</v>
      </c>
      <c r="E2707" t="s">
        <v>14</v>
      </c>
      <c r="F2707" t="s">
        <v>20</v>
      </c>
      <c r="AJ2707">
        <f>SUM(Post[[#This Row],[47]:[75]])</f>
        <v>0</v>
      </c>
    </row>
    <row r="2708" spans="1:36" x14ac:dyDescent="0.2">
      <c r="A2708" t="s">
        <v>61</v>
      </c>
      <c r="B2708" t="s">
        <v>54</v>
      </c>
      <c r="C2708">
        <v>3683</v>
      </c>
      <c r="D2708" t="s">
        <v>22</v>
      </c>
      <c r="E2708" t="s">
        <v>8</v>
      </c>
      <c r="F2708" t="s">
        <v>23</v>
      </c>
      <c r="H2708">
        <v>1</v>
      </c>
      <c r="N2708">
        <v>1</v>
      </c>
      <c r="R2708">
        <v>1</v>
      </c>
      <c r="V2708">
        <v>1</v>
      </c>
      <c r="AA2708">
        <v>1</v>
      </c>
      <c r="AE2708">
        <v>1</v>
      </c>
      <c r="AJ2708">
        <f>SUM(Post[[#This Row],[47]:[75]])</f>
        <v>6</v>
      </c>
    </row>
    <row r="2709" spans="1:36" x14ac:dyDescent="0.2">
      <c r="A2709" t="s">
        <v>61</v>
      </c>
      <c r="B2709" t="s">
        <v>54</v>
      </c>
      <c r="C2709">
        <v>3859</v>
      </c>
      <c r="D2709" t="s">
        <v>22</v>
      </c>
      <c r="E2709" t="s">
        <v>8</v>
      </c>
      <c r="F2709" t="s">
        <v>9</v>
      </c>
      <c r="R2709">
        <v>1</v>
      </c>
      <c r="AE2709">
        <v>2</v>
      </c>
      <c r="AJ2709">
        <f>SUM(Post[[#This Row],[47]:[75]])</f>
        <v>3</v>
      </c>
    </row>
    <row r="2710" spans="1:36" x14ac:dyDescent="0.2">
      <c r="A2710" t="s">
        <v>61</v>
      </c>
      <c r="B2710" t="s">
        <v>54</v>
      </c>
      <c r="C2710">
        <v>3889</v>
      </c>
      <c r="D2710" t="s">
        <v>22</v>
      </c>
      <c r="E2710" t="s">
        <v>8</v>
      </c>
      <c r="F2710" t="s">
        <v>9</v>
      </c>
      <c r="H2710">
        <v>1</v>
      </c>
      <c r="N2710">
        <v>1</v>
      </c>
      <c r="R2710">
        <v>1</v>
      </c>
      <c r="V2710">
        <v>1</v>
      </c>
      <c r="AA2710">
        <v>1</v>
      </c>
      <c r="AE2710">
        <v>1</v>
      </c>
      <c r="AJ2710">
        <f>SUM(Post[[#This Row],[47]:[75]])</f>
        <v>6</v>
      </c>
    </row>
    <row r="2711" spans="1:36" x14ac:dyDescent="0.2">
      <c r="A2711" t="s">
        <v>61</v>
      </c>
      <c r="B2711" t="s">
        <v>54</v>
      </c>
      <c r="C2711">
        <v>4047</v>
      </c>
      <c r="D2711" t="s">
        <v>22</v>
      </c>
      <c r="E2711" t="s">
        <v>40</v>
      </c>
      <c r="F2711" t="s">
        <v>41</v>
      </c>
      <c r="X2711">
        <v>1</v>
      </c>
      <c r="AJ2711">
        <f>SUM(Post[[#This Row],[47]:[75]])</f>
        <v>1</v>
      </c>
    </row>
    <row r="2712" spans="1:36" x14ac:dyDescent="0.2">
      <c r="A2712" t="s">
        <v>61</v>
      </c>
      <c r="B2712" t="s">
        <v>54</v>
      </c>
      <c r="C2712">
        <v>4214</v>
      </c>
      <c r="D2712" t="s">
        <v>22</v>
      </c>
      <c r="E2712" t="s">
        <v>8</v>
      </c>
      <c r="F2712" t="s">
        <v>29</v>
      </c>
      <c r="K2712">
        <v>1</v>
      </c>
      <c r="AC2712">
        <v>1</v>
      </c>
      <c r="AF2712">
        <v>1</v>
      </c>
      <c r="AJ2712">
        <f>SUM(Post[[#This Row],[47]:[75]])</f>
        <v>3</v>
      </c>
    </row>
    <row r="2713" spans="1:36" x14ac:dyDescent="0.2">
      <c r="A2713" t="s">
        <v>61</v>
      </c>
      <c r="B2713" t="s">
        <v>54</v>
      </c>
      <c r="C2713">
        <v>4584</v>
      </c>
      <c r="D2713" t="s">
        <v>22</v>
      </c>
      <c r="E2713" t="s">
        <v>8</v>
      </c>
      <c r="F2713" t="s">
        <v>23</v>
      </c>
      <c r="Q2713">
        <v>1</v>
      </c>
      <c r="AC2713">
        <v>1</v>
      </c>
      <c r="AJ2713">
        <f>SUM(Post[[#This Row],[47]:[75]])</f>
        <v>2</v>
      </c>
    </row>
    <row r="2714" spans="1:36" x14ac:dyDescent="0.2">
      <c r="A2714" t="s">
        <v>61</v>
      </c>
      <c r="B2714" t="s">
        <v>54</v>
      </c>
      <c r="C2714">
        <v>4765</v>
      </c>
      <c r="D2714" t="s">
        <v>22</v>
      </c>
      <c r="E2714" t="s">
        <v>8</v>
      </c>
      <c r="F2714" t="s">
        <v>23</v>
      </c>
      <c r="AI2714">
        <v>1</v>
      </c>
      <c r="AJ2714">
        <f>SUM(Post[[#This Row],[47]:[75]])</f>
        <v>1</v>
      </c>
    </row>
    <row r="2715" spans="1:36" x14ac:dyDescent="0.2">
      <c r="A2715" t="s">
        <v>61</v>
      </c>
      <c r="B2715" t="s">
        <v>54</v>
      </c>
      <c r="C2715">
        <v>4765</v>
      </c>
      <c r="D2715" t="s">
        <v>22</v>
      </c>
      <c r="E2715" t="s">
        <v>14</v>
      </c>
      <c r="F2715" t="s">
        <v>20</v>
      </c>
      <c r="H2715">
        <v>2</v>
      </c>
      <c r="U2715">
        <v>1</v>
      </c>
      <c r="AJ2715">
        <f>SUM(Post[[#This Row],[47]:[75]])</f>
        <v>3</v>
      </c>
    </row>
    <row r="2716" spans="1:36" x14ac:dyDescent="0.2">
      <c r="A2716" t="s">
        <v>61</v>
      </c>
      <c r="B2716" t="s">
        <v>54</v>
      </c>
      <c r="C2716">
        <v>5083</v>
      </c>
      <c r="D2716" t="s">
        <v>22</v>
      </c>
      <c r="E2716" t="s">
        <v>14</v>
      </c>
      <c r="F2716" t="s">
        <v>20</v>
      </c>
      <c r="L2716">
        <v>2</v>
      </c>
      <c r="AJ2716">
        <f>SUM(Post[[#This Row],[47]:[75]])</f>
        <v>2</v>
      </c>
    </row>
    <row r="2717" spans="1:36" x14ac:dyDescent="0.2">
      <c r="A2717" t="s">
        <v>61</v>
      </c>
      <c r="B2717" t="s">
        <v>54</v>
      </c>
      <c r="C2717">
        <v>5307</v>
      </c>
      <c r="D2717" t="s">
        <v>22</v>
      </c>
      <c r="E2717" t="s">
        <v>14</v>
      </c>
      <c r="F2717" t="s">
        <v>31</v>
      </c>
      <c r="K2717">
        <v>1</v>
      </c>
      <c r="L2717">
        <v>1</v>
      </c>
      <c r="R2717">
        <v>1</v>
      </c>
      <c r="V2717">
        <v>2</v>
      </c>
      <c r="Z2717">
        <v>1</v>
      </c>
      <c r="AE2717">
        <v>1</v>
      </c>
      <c r="AJ2717">
        <f>SUM(Post[[#This Row],[47]:[75]])</f>
        <v>7</v>
      </c>
    </row>
    <row r="2718" spans="1:36" x14ac:dyDescent="0.2">
      <c r="A2718" t="s">
        <v>61</v>
      </c>
      <c r="B2718" t="s">
        <v>54</v>
      </c>
      <c r="C2718">
        <v>5376</v>
      </c>
      <c r="D2718" t="s">
        <v>22</v>
      </c>
      <c r="E2718" t="s">
        <v>8</v>
      </c>
      <c r="F2718" t="s">
        <v>9</v>
      </c>
      <c r="N2718">
        <v>1</v>
      </c>
      <c r="AA2718">
        <v>1</v>
      </c>
      <c r="AJ2718">
        <f>SUM(Post[[#This Row],[47]:[75]])</f>
        <v>2</v>
      </c>
    </row>
    <row r="2719" spans="1:36" x14ac:dyDescent="0.2">
      <c r="A2719" t="s">
        <v>61</v>
      </c>
      <c r="B2719" t="s">
        <v>54</v>
      </c>
      <c r="C2719">
        <v>5454</v>
      </c>
      <c r="D2719" t="s">
        <v>22</v>
      </c>
      <c r="E2719" t="s">
        <v>14</v>
      </c>
      <c r="F2719" t="s">
        <v>35</v>
      </c>
      <c r="N2719">
        <v>2</v>
      </c>
      <c r="AJ2719">
        <f>SUM(Post[[#This Row],[47]:[75]])</f>
        <v>2</v>
      </c>
    </row>
    <row r="2720" spans="1:36" x14ac:dyDescent="0.2">
      <c r="A2720" t="s">
        <v>61</v>
      </c>
      <c r="B2720" t="s">
        <v>54</v>
      </c>
      <c r="C2720">
        <v>6041</v>
      </c>
      <c r="D2720" t="s">
        <v>22</v>
      </c>
      <c r="E2720" t="s">
        <v>14</v>
      </c>
      <c r="F2720" t="s">
        <v>20</v>
      </c>
      <c r="I2720">
        <v>1</v>
      </c>
      <c r="W2720">
        <v>2</v>
      </c>
      <c r="AA2720">
        <v>1</v>
      </c>
      <c r="AF2720">
        <v>1</v>
      </c>
      <c r="AJ2720">
        <f>SUM(Post[[#This Row],[47]:[75]])</f>
        <v>5</v>
      </c>
    </row>
    <row r="2721" spans="1:36" x14ac:dyDescent="0.2">
      <c r="A2721" t="s">
        <v>61</v>
      </c>
      <c r="B2721" t="s">
        <v>54</v>
      </c>
      <c r="C2721">
        <v>6313</v>
      </c>
      <c r="D2721" t="s">
        <v>22</v>
      </c>
      <c r="E2721" t="s">
        <v>8</v>
      </c>
      <c r="F2721" t="s">
        <v>30</v>
      </c>
      <c r="N2721">
        <v>1</v>
      </c>
      <c r="Z2721">
        <v>1</v>
      </c>
      <c r="AJ2721">
        <f>SUM(Post[[#This Row],[47]:[75]])</f>
        <v>2</v>
      </c>
    </row>
    <row r="2722" spans="1:36" x14ac:dyDescent="0.2">
      <c r="A2722" t="s">
        <v>61</v>
      </c>
      <c r="B2722" t="s">
        <v>54</v>
      </c>
      <c r="C2722">
        <v>6850</v>
      </c>
      <c r="D2722" t="s">
        <v>22</v>
      </c>
      <c r="E2722" t="s">
        <v>8</v>
      </c>
      <c r="F2722" t="s">
        <v>29</v>
      </c>
      <c r="U2722">
        <v>1</v>
      </c>
      <c r="AH2722">
        <v>1</v>
      </c>
      <c r="AJ2722">
        <f>SUM(Post[[#This Row],[47]:[75]])</f>
        <v>2</v>
      </c>
    </row>
    <row r="2723" spans="1:36" x14ac:dyDescent="0.2">
      <c r="A2723" t="s">
        <v>61</v>
      </c>
      <c r="B2723" t="s">
        <v>54</v>
      </c>
      <c r="C2723">
        <v>7463</v>
      </c>
      <c r="D2723" t="s">
        <v>22</v>
      </c>
      <c r="E2723" t="s">
        <v>8</v>
      </c>
      <c r="F2723" t="s">
        <v>23</v>
      </c>
      <c r="K2723">
        <v>1</v>
      </c>
      <c r="AC2723">
        <v>1</v>
      </c>
      <c r="AJ2723">
        <f>SUM(Post[[#This Row],[47]:[75]])</f>
        <v>2</v>
      </c>
    </row>
    <row r="2724" spans="1:36" x14ac:dyDescent="0.2">
      <c r="A2724" t="s">
        <v>61</v>
      </c>
      <c r="B2724" t="s">
        <v>54</v>
      </c>
      <c r="C2724">
        <v>7723</v>
      </c>
      <c r="D2724" t="s">
        <v>22</v>
      </c>
      <c r="E2724" t="s">
        <v>8</v>
      </c>
      <c r="F2724" t="s">
        <v>9</v>
      </c>
      <c r="O2724">
        <v>1</v>
      </c>
      <c r="Z2724">
        <v>1</v>
      </c>
      <c r="AA2724">
        <v>1</v>
      </c>
      <c r="AJ2724">
        <f>SUM(Post[[#This Row],[47]:[75]])</f>
        <v>3</v>
      </c>
    </row>
    <row r="2725" spans="1:36" x14ac:dyDescent="0.2">
      <c r="A2725" t="s">
        <v>61</v>
      </c>
      <c r="B2725" t="s">
        <v>54</v>
      </c>
      <c r="C2725">
        <v>7723</v>
      </c>
      <c r="D2725" t="s">
        <v>22</v>
      </c>
      <c r="E2725" t="s">
        <v>14</v>
      </c>
      <c r="F2725" t="s">
        <v>35</v>
      </c>
      <c r="AJ2725">
        <f>SUM(Post[[#This Row],[47]:[75]])</f>
        <v>0</v>
      </c>
    </row>
    <row r="2726" spans="1:36" x14ac:dyDescent="0.2">
      <c r="A2726" t="s">
        <v>61</v>
      </c>
      <c r="B2726" t="s">
        <v>54</v>
      </c>
      <c r="C2726">
        <v>7815</v>
      </c>
      <c r="D2726" t="s">
        <v>22</v>
      </c>
      <c r="E2726" t="s">
        <v>14</v>
      </c>
      <c r="F2726" t="s">
        <v>35</v>
      </c>
      <c r="AC2726">
        <v>1</v>
      </c>
      <c r="AJ2726">
        <f>SUM(Post[[#This Row],[47]:[75]])</f>
        <v>1</v>
      </c>
    </row>
    <row r="2727" spans="1:36" x14ac:dyDescent="0.2">
      <c r="A2727" t="s">
        <v>61</v>
      </c>
      <c r="B2727" t="s">
        <v>54</v>
      </c>
      <c r="C2727">
        <v>8053</v>
      </c>
      <c r="D2727" t="s">
        <v>22</v>
      </c>
      <c r="E2727" t="s">
        <v>8</v>
      </c>
      <c r="F2727" t="s">
        <v>23</v>
      </c>
      <c r="G2727">
        <v>1</v>
      </c>
      <c r="L2727">
        <v>2</v>
      </c>
      <c r="V2727">
        <v>1</v>
      </c>
      <c r="AA2727">
        <v>1</v>
      </c>
      <c r="AE2727">
        <v>1</v>
      </c>
      <c r="AI2727">
        <v>1</v>
      </c>
      <c r="AJ2727">
        <f>SUM(Post[[#This Row],[47]:[75]])</f>
        <v>7</v>
      </c>
    </row>
    <row r="2728" spans="1:36" x14ac:dyDescent="0.2">
      <c r="A2728" t="s">
        <v>61</v>
      </c>
      <c r="B2728" t="s">
        <v>54</v>
      </c>
      <c r="C2728">
        <v>8184</v>
      </c>
      <c r="D2728" t="s">
        <v>22</v>
      </c>
      <c r="E2728" t="s">
        <v>10</v>
      </c>
      <c r="F2728" t="s">
        <v>11</v>
      </c>
      <c r="Y2728">
        <v>1</v>
      </c>
      <c r="AJ2728">
        <f>SUM(Post[[#This Row],[47]:[75]])</f>
        <v>1</v>
      </c>
    </row>
    <row r="2729" spans="1:36" x14ac:dyDescent="0.2">
      <c r="A2729" t="s">
        <v>61</v>
      </c>
      <c r="B2729" t="s">
        <v>54</v>
      </c>
      <c r="C2729">
        <v>8536</v>
      </c>
      <c r="D2729" t="s">
        <v>22</v>
      </c>
      <c r="E2729" t="s">
        <v>8</v>
      </c>
      <c r="F2729" t="s">
        <v>29</v>
      </c>
      <c r="G2729">
        <v>1</v>
      </c>
      <c r="K2729">
        <v>1</v>
      </c>
      <c r="Q2729">
        <v>1</v>
      </c>
      <c r="U2729">
        <v>1</v>
      </c>
      <c r="Z2729">
        <v>1</v>
      </c>
      <c r="AE2729">
        <v>1</v>
      </c>
      <c r="AJ2729">
        <f>SUM(Post[[#This Row],[47]:[75]])</f>
        <v>6</v>
      </c>
    </row>
    <row r="2730" spans="1:36" x14ac:dyDescent="0.2">
      <c r="A2730" t="s">
        <v>61</v>
      </c>
      <c r="B2730" t="s">
        <v>54</v>
      </c>
      <c r="C2730">
        <v>10208</v>
      </c>
      <c r="D2730" t="s">
        <v>22</v>
      </c>
      <c r="E2730" t="s">
        <v>14</v>
      </c>
      <c r="F2730" t="s">
        <v>35</v>
      </c>
      <c r="G2730">
        <v>1</v>
      </c>
      <c r="O2730">
        <v>2</v>
      </c>
      <c r="R2730">
        <v>1</v>
      </c>
      <c r="AJ2730">
        <f>SUM(Post[[#This Row],[47]:[75]])</f>
        <v>4</v>
      </c>
    </row>
    <row r="2731" spans="1:36" x14ac:dyDescent="0.2">
      <c r="A2731" t="s">
        <v>61</v>
      </c>
      <c r="B2731" t="s">
        <v>54</v>
      </c>
      <c r="C2731">
        <v>10208</v>
      </c>
      <c r="D2731" t="s">
        <v>22</v>
      </c>
      <c r="E2731" t="s">
        <v>14</v>
      </c>
      <c r="F2731" t="s">
        <v>20</v>
      </c>
      <c r="U2731">
        <v>1</v>
      </c>
      <c r="AC2731">
        <v>1</v>
      </c>
      <c r="AJ2731">
        <f>SUM(Post[[#This Row],[47]:[75]])</f>
        <v>2</v>
      </c>
    </row>
    <row r="2732" spans="1:36" x14ac:dyDescent="0.2">
      <c r="A2732" t="s">
        <v>61</v>
      </c>
      <c r="B2732" t="s">
        <v>54</v>
      </c>
      <c r="C2732">
        <v>11279</v>
      </c>
      <c r="D2732" t="s">
        <v>22</v>
      </c>
      <c r="E2732" t="s">
        <v>8</v>
      </c>
      <c r="F2732" t="s">
        <v>23</v>
      </c>
      <c r="J2732">
        <v>1</v>
      </c>
      <c r="O2732">
        <v>1</v>
      </c>
      <c r="T2732">
        <v>1</v>
      </c>
      <c r="Y2732">
        <v>1</v>
      </c>
      <c r="AC2732">
        <v>1</v>
      </c>
      <c r="AH2732">
        <v>1</v>
      </c>
      <c r="AJ2732">
        <f>SUM(Post[[#This Row],[47]:[75]])</f>
        <v>6</v>
      </c>
    </row>
    <row r="2733" spans="1:36" x14ac:dyDescent="0.2">
      <c r="A2733" t="s">
        <v>61</v>
      </c>
      <c r="B2733" t="s">
        <v>54</v>
      </c>
      <c r="C2733">
        <v>12061</v>
      </c>
      <c r="D2733" t="s">
        <v>22</v>
      </c>
      <c r="E2733" t="s">
        <v>8</v>
      </c>
      <c r="F2733" t="s">
        <v>23</v>
      </c>
      <c r="J2733">
        <v>1</v>
      </c>
      <c r="T2733">
        <v>1</v>
      </c>
      <c r="Z2733">
        <v>1</v>
      </c>
      <c r="AE2733">
        <v>1</v>
      </c>
      <c r="AJ2733">
        <f>SUM(Post[[#This Row],[47]:[75]])</f>
        <v>4</v>
      </c>
    </row>
    <row r="2734" spans="1:36" x14ac:dyDescent="0.2">
      <c r="A2734" t="s">
        <v>61</v>
      </c>
      <c r="B2734" t="s">
        <v>54</v>
      </c>
      <c r="C2734">
        <v>12720</v>
      </c>
      <c r="D2734" t="s">
        <v>22</v>
      </c>
      <c r="E2734" t="s">
        <v>14</v>
      </c>
      <c r="F2734" t="s">
        <v>35</v>
      </c>
      <c r="S2734">
        <v>1</v>
      </c>
      <c r="V2734">
        <v>1</v>
      </c>
      <c r="W2734">
        <v>1</v>
      </c>
      <c r="Z2734">
        <v>1</v>
      </c>
      <c r="AC2734">
        <v>1</v>
      </c>
      <c r="AG2734">
        <v>1</v>
      </c>
      <c r="AJ2734">
        <f>SUM(Post[[#This Row],[47]:[75]])</f>
        <v>6</v>
      </c>
    </row>
    <row r="2735" spans="1:36" x14ac:dyDescent="0.2">
      <c r="A2735" t="s">
        <v>61</v>
      </c>
      <c r="B2735" t="s">
        <v>54</v>
      </c>
      <c r="C2735">
        <v>12796</v>
      </c>
      <c r="D2735" t="s">
        <v>22</v>
      </c>
      <c r="E2735" t="s">
        <v>8</v>
      </c>
      <c r="F2735" t="s">
        <v>23</v>
      </c>
      <c r="R2735">
        <v>1</v>
      </c>
      <c r="AC2735">
        <v>1</v>
      </c>
      <c r="AJ2735">
        <f>SUM(Post[[#This Row],[47]:[75]])</f>
        <v>2</v>
      </c>
    </row>
    <row r="2736" spans="1:36" x14ac:dyDescent="0.2">
      <c r="A2736" t="s">
        <v>61</v>
      </c>
      <c r="B2736" t="s">
        <v>54</v>
      </c>
      <c r="C2736">
        <v>13117</v>
      </c>
      <c r="D2736" t="s">
        <v>22</v>
      </c>
      <c r="E2736" t="s">
        <v>10</v>
      </c>
      <c r="F2736" t="s">
        <v>11</v>
      </c>
      <c r="N2736">
        <v>1</v>
      </c>
      <c r="AJ2736">
        <f>SUM(Post[[#This Row],[47]:[75]])</f>
        <v>1</v>
      </c>
    </row>
    <row r="2737" spans="1:36" x14ac:dyDescent="0.2">
      <c r="A2737" t="s">
        <v>61</v>
      </c>
      <c r="B2737" t="s">
        <v>54</v>
      </c>
      <c r="C2737">
        <v>13619</v>
      </c>
      <c r="D2737" t="s">
        <v>22</v>
      </c>
      <c r="E2737" t="s">
        <v>14</v>
      </c>
      <c r="F2737" t="s">
        <v>20</v>
      </c>
      <c r="K2737">
        <v>1</v>
      </c>
      <c r="AC2737">
        <v>1</v>
      </c>
      <c r="AJ2737">
        <f>SUM(Post[[#This Row],[47]:[75]])</f>
        <v>2</v>
      </c>
    </row>
    <row r="2738" spans="1:36" x14ac:dyDescent="0.2">
      <c r="A2738" t="s">
        <v>61</v>
      </c>
      <c r="B2738" t="s">
        <v>54</v>
      </c>
      <c r="C2738">
        <v>13622</v>
      </c>
      <c r="D2738" t="s">
        <v>22</v>
      </c>
      <c r="E2738" t="s">
        <v>8</v>
      </c>
      <c r="F2738" t="s">
        <v>23</v>
      </c>
      <c r="L2738">
        <v>1</v>
      </c>
      <c r="AJ2738">
        <f>SUM(Post[[#This Row],[47]:[75]])</f>
        <v>1</v>
      </c>
    </row>
    <row r="2739" spans="1:36" x14ac:dyDescent="0.2">
      <c r="A2739" t="s">
        <v>61</v>
      </c>
      <c r="B2739" t="s">
        <v>54</v>
      </c>
      <c r="C2739">
        <v>13622</v>
      </c>
      <c r="D2739" t="s">
        <v>22</v>
      </c>
      <c r="E2739" t="s">
        <v>14</v>
      </c>
      <c r="F2739" t="s">
        <v>35</v>
      </c>
      <c r="AJ2739">
        <f>SUM(Post[[#This Row],[47]:[75]])</f>
        <v>0</v>
      </c>
    </row>
    <row r="2740" spans="1:36" x14ac:dyDescent="0.2">
      <c r="A2740" t="s">
        <v>61</v>
      </c>
      <c r="B2740" t="s">
        <v>54</v>
      </c>
      <c r="C2740">
        <v>13979</v>
      </c>
      <c r="D2740" t="s">
        <v>22</v>
      </c>
      <c r="E2740" t="s">
        <v>8</v>
      </c>
      <c r="F2740" t="s">
        <v>9</v>
      </c>
      <c r="Z2740">
        <v>1</v>
      </c>
      <c r="AJ2740">
        <f>SUM(Post[[#This Row],[47]:[75]])</f>
        <v>1</v>
      </c>
    </row>
    <row r="2741" spans="1:36" x14ac:dyDescent="0.2">
      <c r="A2741" t="s">
        <v>61</v>
      </c>
      <c r="B2741" t="s">
        <v>54</v>
      </c>
      <c r="C2741">
        <v>13979</v>
      </c>
      <c r="D2741" t="s">
        <v>22</v>
      </c>
      <c r="E2741" t="s">
        <v>14</v>
      </c>
      <c r="F2741" t="s">
        <v>20</v>
      </c>
      <c r="L2741">
        <v>1</v>
      </c>
      <c r="Z2741">
        <v>1</v>
      </c>
      <c r="AJ2741">
        <f>SUM(Post[[#This Row],[47]:[75]])</f>
        <v>2</v>
      </c>
    </row>
    <row r="2742" spans="1:36" x14ac:dyDescent="0.2">
      <c r="A2742" t="s">
        <v>61</v>
      </c>
      <c r="B2742" t="s">
        <v>54</v>
      </c>
      <c r="C2742">
        <v>14172</v>
      </c>
      <c r="D2742" t="s">
        <v>22</v>
      </c>
      <c r="E2742" t="s">
        <v>10</v>
      </c>
      <c r="F2742" t="s">
        <v>11</v>
      </c>
      <c r="N2742">
        <v>1</v>
      </c>
      <c r="AC2742">
        <v>1</v>
      </c>
      <c r="AJ2742">
        <f>SUM(Post[[#This Row],[47]:[75]])</f>
        <v>2</v>
      </c>
    </row>
    <row r="2743" spans="1:36" x14ac:dyDescent="0.2">
      <c r="A2743" t="s">
        <v>61</v>
      </c>
      <c r="B2743" t="s">
        <v>54</v>
      </c>
      <c r="C2743">
        <v>14256</v>
      </c>
      <c r="D2743" t="s">
        <v>22</v>
      </c>
      <c r="E2743" t="s">
        <v>14</v>
      </c>
      <c r="F2743" t="s">
        <v>21</v>
      </c>
      <c r="Y2743">
        <v>1</v>
      </c>
      <c r="AJ2743">
        <f>SUM(Post[[#This Row],[47]:[75]])</f>
        <v>1</v>
      </c>
    </row>
    <row r="2744" spans="1:36" x14ac:dyDescent="0.2">
      <c r="A2744" t="s">
        <v>61</v>
      </c>
      <c r="B2744" t="s">
        <v>54</v>
      </c>
      <c r="C2744">
        <v>14330</v>
      </c>
      <c r="D2744" t="s">
        <v>22</v>
      </c>
      <c r="E2744" t="s">
        <v>14</v>
      </c>
      <c r="F2744" t="s">
        <v>19</v>
      </c>
      <c r="AI2744">
        <v>2</v>
      </c>
      <c r="AJ2744">
        <f>SUM(Post[[#This Row],[47]:[75]])</f>
        <v>2</v>
      </c>
    </row>
    <row r="2745" spans="1:36" x14ac:dyDescent="0.2">
      <c r="A2745" t="s">
        <v>61</v>
      </c>
      <c r="B2745" t="s">
        <v>54</v>
      </c>
      <c r="C2745">
        <v>14344</v>
      </c>
      <c r="D2745" t="s">
        <v>22</v>
      </c>
      <c r="E2745" t="s">
        <v>14</v>
      </c>
      <c r="F2745" t="s">
        <v>35</v>
      </c>
      <c r="AJ2745">
        <f>SUM(Post[[#This Row],[47]:[75]])</f>
        <v>0</v>
      </c>
    </row>
    <row r="2746" spans="1:36" x14ac:dyDescent="0.2">
      <c r="A2746" t="s">
        <v>61</v>
      </c>
      <c r="B2746" t="s">
        <v>54</v>
      </c>
      <c r="C2746">
        <v>15013</v>
      </c>
      <c r="D2746" t="s">
        <v>22</v>
      </c>
      <c r="E2746" t="s">
        <v>8</v>
      </c>
      <c r="F2746" t="s">
        <v>23</v>
      </c>
      <c r="J2746">
        <v>1</v>
      </c>
      <c r="X2746">
        <v>4</v>
      </c>
      <c r="AB2746">
        <v>2</v>
      </c>
      <c r="AF2746">
        <v>1</v>
      </c>
      <c r="AJ2746">
        <f>SUM(Post[[#This Row],[47]:[75]])</f>
        <v>8</v>
      </c>
    </row>
    <row r="2747" spans="1:36" x14ac:dyDescent="0.2">
      <c r="A2747" t="s">
        <v>61</v>
      </c>
      <c r="B2747" t="s">
        <v>54</v>
      </c>
      <c r="C2747">
        <v>15617</v>
      </c>
      <c r="D2747" t="s">
        <v>22</v>
      </c>
      <c r="E2747" t="s">
        <v>14</v>
      </c>
      <c r="F2747" t="s">
        <v>21</v>
      </c>
      <c r="X2747">
        <v>1</v>
      </c>
      <c r="AJ2747">
        <f>SUM(Post[[#This Row],[47]:[75]])</f>
        <v>1</v>
      </c>
    </row>
    <row r="2748" spans="1:36" x14ac:dyDescent="0.2">
      <c r="A2748" t="s">
        <v>61</v>
      </c>
      <c r="B2748" t="s">
        <v>54</v>
      </c>
      <c r="C2748">
        <v>15619</v>
      </c>
      <c r="D2748" t="s">
        <v>22</v>
      </c>
      <c r="E2748" t="s">
        <v>8</v>
      </c>
      <c r="F2748" t="s">
        <v>23</v>
      </c>
      <c r="I2748">
        <v>1</v>
      </c>
      <c r="O2748">
        <v>1</v>
      </c>
      <c r="T2748">
        <v>1</v>
      </c>
      <c r="Y2748">
        <v>1</v>
      </c>
      <c r="AC2748">
        <v>2</v>
      </c>
      <c r="AJ2748">
        <f>SUM(Post[[#This Row],[47]:[75]])</f>
        <v>6</v>
      </c>
    </row>
    <row r="2749" spans="1:36" x14ac:dyDescent="0.2">
      <c r="A2749" t="s">
        <v>61</v>
      </c>
      <c r="B2749" t="s">
        <v>54</v>
      </c>
      <c r="C2749">
        <v>17006</v>
      </c>
      <c r="D2749" t="s">
        <v>22</v>
      </c>
      <c r="E2749" t="s">
        <v>14</v>
      </c>
      <c r="F2749" t="s">
        <v>35</v>
      </c>
      <c r="AJ2749">
        <f>SUM(Post[[#This Row],[47]:[75]])</f>
        <v>0</v>
      </c>
    </row>
    <row r="2750" spans="1:36" x14ac:dyDescent="0.2">
      <c r="A2750" t="s">
        <v>61</v>
      </c>
      <c r="B2750" t="s">
        <v>54</v>
      </c>
      <c r="C2750">
        <v>17454</v>
      </c>
      <c r="D2750" t="s">
        <v>22</v>
      </c>
      <c r="E2750" t="s">
        <v>8</v>
      </c>
      <c r="F2750" t="s">
        <v>23</v>
      </c>
      <c r="G2750">
        <v>1</v>
      </c>
      <c r="Q2750">
        <v>1</v>
      </c>
      <c r="AH2750">
        <v>1</v>
      </c>
      <c r="AJ2750">
        <f>SUM(Post[[#This Row],[47]:[75]])</f>
        <v>3</v>
      </c>
    </row>
    <row r="2751" spans="1:36" x14ac:dyDescent="0.2">
      <c r="A2751" t="s">
        <v>61</v>
      </c>
      <c r="B2751" t="s">
        <v>54</v>
      </c>
      <c r="C2751">
        <v>20538</v>
      </c>
      <c r="D2751" t="s">
        <v>22</v>
      </c>
      <c r="E2751" t="s">
        <v>40</v>
      </c>
      <c r="F2751" t="s">
        <v>41</v>
      </c>
      <c r="N2751">
        <v>2</v>
      </c>
      <c r="AD2751">
        <v>1</v>
      </c>
      <c r="AJ2751">
        <f>SUM(Post[[#This Row],[47]:[75]])</f>
        <v>3</v>
      </c>
    </row>
    <row r="2752" spans="1:36" x14ac:dyDescent="0.2">
      <c r="A2752" t="s">
        <v>61</v>
      </c>
      <c r="B2752" t="s">
        <v>54</v>
      </c>
      <c r="C2752">
        <v>22649</v>
      </c>
      <c r="D2752" t="s">
        <v>22</v>
      </c>
      <c r="E2752" t="s">
        <v>14</v>
      </c>
      <c r="F2752" t="s">
        <v>21</v>
      </c>
      <c r="Z2752">
        <v>1</v>
      </c>
      <c r="AJ2752">
        <f>SUM(Post[[#This Row],[47]:[75]])</f>
        <v>1</v>
      </c>
    </row>
    <row r="2753" spans="1:36" x14ac:dyDescent="0.2">
      <c r="A2753" t="s">
        <v>61</v>
      </c>
      <c r="B2753" t="s">
        <v>54</v>
      </c>
      <c r="C2753">
        <v>22817</v>
      </c>
      <c r="D2753" t="s">
        <v>22</v>
      </c>
      <c r="E2753" t="s">
        <v>8</v>
      </c>
      <c r="F2753" t="s">
        <v>9</v>
      </c>
      <c r="R2753">
        <v>1</v>
      </c>
      <c r="AJ2753">
        <f>SUM(Post[[#This Row],[47]:[75]])</f>
        <v>1</v>
      </c>
    </row>
    <row r="2754" spans="1:36" x14ac:dyDescent="0.2">
      <c r="A2754" t="s">
        <v>61</v>
      </c>
      <c r="B2754" t="s">
        <v>54</v>
      </c>
      <c r="C2754">
        <v>23548</v>
      </c>
      <c r="D2754" t="s">
        <v>22</v>
      </c>
      <c r="E2754" t="s">
        <v>14</v>
      </c>
      <c r="F2754" t="s">
        <v>35</v>
      </c>
      <c r="AD2754">
        <v>2</v>
      </c>
      <c r="AG2754">
        <v>1</v>
      </c>
      <c r="AJ2754">
        <f>SUM(Post[[#This Row],[47]:[75]])</f>
        <v>3</v>
      </c>
    </row>
    <row r="2755" spans="1:36" x14ac:dyDescent="0.2">
      <c r="A2755" t="s">
        <v>61</v>
      </c>
      <c r="B2755" t="s">
        <v>54</v>
      </c>
      <c r="C2755">
        <v>23548</v>
      </c>
      <c r="D2755" t="s">
        <v>22</v>
      </c>
      <c r="E2755" t="s">
        <v>14</v>
      </c>
      <c r="F2755" t="s">
        <v>21</v>
      </c>
      <c r="AB2755">
        <v>1</v>
      </c>
      <c r="AJ2755">
        <f>SUM(Post[[#This Row],[47]:[75]])</f>
        <v>1</v>
      </c>
    </row>
    <row r="2756" spans="1:36" x14ac:dyDescent="0.2">
      <c r="A2756" t="s">
        <v>61</v>
      </c>
      <c r="B2756" t="s">
        <v>54</v>
      </c>
      <c r="C2756">
        <v>25801</v>
      </c>
      <c r="D2756" t="s">
        <v>22</v>
      </c>
      <c r="E2756" t="s">
        <v>10</v>
      </c>
      <c r="F2756" t="s">
        <v>11</v>
      </c>
      <c r="AJ2756">
        <f>SUM(Post[[#This Row],[47]:[75]])</f>
        <v>0</v>
      </c>
    </row>
    <row r="2757" spans="1:36" x14ac:dyDescent="0.2">
      <c r="A2757" t="s">
        <v>61</v>
      </c>
      <c r="B2757" t="s">
        <v>54</v>
      </c>
      <c r="C2757">
        <v>25801</v>
      </c>
      <c r="D2757" t="s">
        <v>22</v>
      </c>
      <c r="E2757" t="s">
        <v>14</v>
      </c>
      <c r="F2757" t="s">
        <v>20</v>
      </c>
      <c r="Z2757">
        <v>2</v>
      </c>
      <c r="AJ2757">
        <f>SUM(Post[[#This Row],[47]:[75]])</f>
        <v>2</v>
      </c>
    </row>
    <row r="2758" spans="1:36" x14ac:dyDescent="0.2">
      <c r="A2758" t="s">
        <v>61</v>
      </c>
      <c r="B2758" t="s">
        <v>54</v>
      </c>
      <c r="C2758">
        <v>26555</v>
      </c>
      <c r="D2758" t="s">
        <v>22</v>
      </c>
      <c r="E2758" t="s">
        <v>10</v>
      </c>
      <c r="F2758" t="s">
        <v>11</v>
      </c>
      <c r="AJ2758">
        <f>SUM(Post[[#This Row],[47]:[75]])</f>
        <v>0</v>
      </c>
    </row>
    <row r="2759" spans="1:36" x14ac:dyDescent="0.2">
      <c r="A2759" t="s">
        <v>61</v>
      </c>
      <c r="B2759" t="s">
        <v>54</v>
      </c>
      <c r="C2759">
        <v>27544</v>
      </c>
      <c r="D2759" t="s">
        <v>22</v>
      </c>
      <c r="E2759" t="s">
        <v>10</v>
      </c>
      <c r="F2759" t="s">
        <v>11</v>
      </c>
      <c r="AJ2759">
        <f>SUM(Post[[#This Row],[47]:[75]])</f>
        <v>0</v>
      </c>
    </row>
    <row r="2760" spans="1:36" x14ac:dyDescent="0.2">
      <c r="A2760" t="s">
        <v>61</v>
      </c>
      <c r="B2760" t="s">
        <v>54</v>
      </c>
      <c r="C2760">
        <v>27684</v>
      </c>
      <c r="D2760" t="s">
        <v>22</v>
      </c>
      <c r="E2760" t="s">
        <v>14</v>
      </c>
      <c r="F2760" t="s">
        <v>35</v>
      </c>
      <c r="L2760">
        <v>2</v>
      </c>
      <c r="AH2760">
        <v>1</v>
      </c>
      <c r="AJ2760">
        <f>SUM(Post[[#This Row],[47]:[75]])</f>
        <v>3</v>
      </c>
    </row>
    <row r="2761" spans="1:36" x14ac:dyDescent="0.2">
      <c r="A2761" t="s">
        <v>61</v>
      </c>
      <c r="B2761" t="s">
        <v>54</v>
      </c>
      <c r="C2761">
        <v>31644</v>
      </c>
      <c r="D2761" t="s">
        <v>22</v>
      </c>
      <c r="E2761" t="s">
        <v>14</v>
      </c>
      <c r="F2761" t="s">
        <v>20</v>
      </c>
      <c r="AJ2761">
        <f>SUM(Post[[#This Row],[47]:[75]])</f>
        <v>0</v>
      </c>
    </row>
    <row r="2762" spans="1:36" x14ac:dyDescent="0.2">
      <c r="A2762" t="s">
        <v>61</v>
      </c>
      <c r="B2762" t="s">
        <v>54</v>
      </c>
      <c r="C2762">
        <v>31797</v>
      </c>
      <c r="D2762" t="s">
        <v>22</v>
      </c>
      <c r="E2762" t="s">
        <v>10</v>
      </c>
      <c r="F2762" t="s">
        <v>11</v>
      </c>
      <c r="N2762">
        <v>1</v>
      </c>
      <c r="W2762">
        <v>1</v>
      </c>
      <c r="AJ2762">
        <f>SUM(Post[[#This Row],[47]:[75]])</f>
        <v>2</v>
      </c>
    </row>
    <row r="2763" spans="1:36" x14ac:dyDescent="0.2">
      <c r="A2763" t="s">
        <v>61</v>
      </c>
      <c r="B2763" t="s">
        <v>54</v>
      </c>
      <c r="C2763">
        <v>31797</v>
      </c>
      <c r="D2763" t="s">
        <v>22</v>
      </c>
      <c r="E2763" t="s">
        <v>14</v>
      </c>
      <c r="F2763" t="s">
        <v>20</v>
      </c>
      <c r="AJ2763">
        <f>SUM(Post[[#This Row],[47]:[75]])</f>
        <v>0</v>
      </c>
    </row>
    <row r="2764" spans="1:36" x14ac:dyDescent="0.2">
      <c r="A2764" t="s">
        <v>61</v>
      </c>
      <c r="B2764" t="s">
        <v>54</v>
      </c>
      <c r="C2764">
        <v>33475</v>
      </c>
      <c r="D2764" t="s">
        <v>22</v>
      </c>
      <c r="E2764" t="s">
        <v>14</v>
      </c>
      <c r="F2764" t="s">
        <v>35</v>
      </c>
      <c r="G2764">
        <v>3</v>
      </c>
      <c r="N2764">
        <v>2</v>
      </c>
      <c r="X2764">
        <v>2</v>
      </c>
      <c r="AJ2764">
        <f>SUM(Post[[#This Row],[47]:[75]])</f>
        <v>7</v>
      </c>
    </row>
    <row r="2765" spans="1:36" x14ac:dyDescent="0.2">
      <c r="A2765" t="s">
        <v>61</v>
      </c>
      <c r="B2765" t="s">
        <v>54</v>
      </c>
      <c r="C2765">
        <v>33880</v>
      </c>
      <c r="D2765" t="s">
        <v>22</v>
      </c>
      <c r="E2765" t="s">
        <v>14</v>
      </c>
      <c r="F2765" t="s">
        <v>19</v>
      </c>
      <c r="AJ2765">
        <f>SUM(Post[[#This Row],[47]:[75]])</f>
        <v>0</v>
      </c>
    </row>
    <row r="2766" spans="1:36" x14ac:dyDescent="0.2">
      <c r="A2766" t="s">
        <v>61</v>
      </c>
      <c r="B2766" t="s">
        <v>54</v>
      </c>
      <c r="C2766">
        <v>2776</v>
      </c>
      <c r="D2766" t="s">
        <v>7</v>
      </c>
      <c r="E2766" t="s">
        <v>10</v>
      </c>
      <c r="F2766" t="s">
        <v>11</v>
      </c>
      <c r="I2766">
        <v>1</v>
      </c>
      <c r="Z2766">
        <v>1</v>
      </c>
      <c r="AJ2766">
        <f>SUM(Post[[#This Row],[47]:[75]])</f>
        <v>2</v>
      </c>
    </row>
    <row r="2767" spans="1:36" x14ac:dyDescent="0.2">
      <c r="A2767" t="s">
        <v>61</v>
      </c>
      <c r="B2767" t="s">
        <v>54</v>
      </c>
      <c r="C2767">
        <v>2776</v>
      </c>
      <c r="D2767" t="s">
        <v>7</v>
      </c>
      <c r="E2767" t="s">
        <v>14</v>
      </c>
      <c r="F2767" t="s">
        <v>20</v>
      </c>
      <c r="AJ2767">
        <f>SUM(Post[[#This Row],[47]:[75]])</f>
        <v>0</v>
      </c>
    </row>
    <row r="2768" spans="1:36" x14ac:dyDescent="0.2">
      <c r="A2768" t="s">
        <v>61</v>
      </c>
      <c r="B2768" t="s">
        <v>54</v>
      </c>
      <c r="C2768">
        <v>5453</v>
      </c>
      <c r="D2768" t="s">
        <v>7</v>
      </c>
      <c r="E2768" t="s">
        <v>14</v>
      </c>
      <c r="F2768" t="s">
        <v>35</v>
      </c>
      <c r="AJ2768">
        <f>SUM(Post[[#This Row],[47]:[75]])</f>
        <v>0</v>
      </c>
    </row>
    <row r="2769" spans="1:36" x14ac:dyDescent="0.2">
      <c r="A2769" t="s">
        <v>61</v>
      </c>
      <c r="B2769" t="s">
        <v>54</v>
      </c>
      <c r="C2769">
        <v>9362</v>
      </c>
      <c r="D2769" t="s">
        <v>7</v>
      </c>
      <c r="E2769" t="s">
        <v>14</v>
      </c>
      <c r="F2769" t="s">
        <v>35</v>
      </c>
      <c r="K2769">
        <v>1</v>
      </c>
      <c r="AC2769">
        <v>1</v>
      </c>
      <c r="AJ2769">
        <f>SUM(Post[[#This Row],[47]:[75]])</f>
        <v>2</v>
      </c>
    </row>
    <row r="2770" spans="1:36" x14ac:dyDescent="0.2">
      <c r="A2770" t="s">
        <v>61</v>
      </c>
      <c r="B2770" t="s">
        <v>54</v>
      </c>
      <c r="C2770">
        <v>9726</v>
      </c>
      <c r="D2770" t="s">
        <v>7</v>
      </c>
      <c r="E2770" t="s">
        <v>14</v>
      </c>
      <c r="F2770" t="s">
        <v>35</v>
      </c>
      <c r="H2770">
        <v>1</v>
      </c>
      <c r="K2770">
        <v>1</v>
      </c>
      <c r="P2770">
        <v>1</v>
      </c>
      <c r="AJ2770">
        <f>SUM(Post[[#This Row],[47]:[75]])</f>
        <v>3</v>
      </c>
    </row>
    <row r="2771" spans="1:36" x14ac:dyDescent="0.2">
      <c r="A2771" t="s">
        <v>61</v>
      </c>
      <c r="B2771" t="s">
        <v>54</v>
      </c>
      <c r="C2771">
        <v>10806</v>
      </c>
      <c r="D2771" t="s">
        <v>7</v>
      </c>
      <c r="E2771" t="s">
        <v>10</v>
      </c>
      <c r="F2771" t="s">
        <v>11</v>
      </c>
      <c r="AJ2771">
        <f>SUM(Post[[#This Row],[47]:[75]])</f>
        <v>0</v>
      </c>
    </row>
    <row r="2772" spans="1:36" x14ac:dyDescent="0.2">
      <c r="A2772" t="s">
        <v>61</v>
      </c>
      <c r="B2772" t="s">
        <v>54</v>
      </c>
      <c r="C2772">
        <v>16759</v>
      </c>
      <c r="D2772" t="s">
        <v>7</v>
      </c>
      <c r="E2772" t="s">
        <v>10</v>
      </c>
      <c r="F2772" t="s">
        <v>11</v>
      </c>
      <c r="J2772">
        <v>1</v>
      </c>
      <c r="AJ2772">
        <f>SUM(Post[[#This Row],[47]:[75]])</f>
        <v>1</v>
      </c>
    </row>
    <row r="2773" spans="1:36" x14ac:dyDescent="0.2">
      <c r="A2773" t="s">
        <v>61</v>
      </c>
      <c r="B2773" t="s">
        <v>54</v>
      </c>
      <c r="C2773">
        <v>16759</v>
      </c>
      <c r="D2773" t="s">
        <v>7</v>
      </c>
      <c r="E2773" t="s">
        <v>14</v>
      </c>
      <c r="F2773" t="s">
        <v>20</v>
      </c>
      <c r="G2773">
        <v>1</v>
      </c>
      <c r="AJ2773">
        <f>SUM(Post[[#This Row],[47]:[75]])</f>
        <v>1</v>
      </c>
    </row>
    <row r="2774" spans="1:36" x14ac:dyDescent="0.2">
      <c r="A2774" t="s">
        <v>61</v>
      </c>
      <c r="B2774" t="s">
        <v>54</v>
      </c>
      <c r="C2774">
        <v>21131</v>
      </c>
      <c r="D2774" t="s">
        <v>7</v>
      </c>
      <c r="E2774" t="s">
        <v>10</v>
      </c>
      <c r="F2774" t="s">
        <v>11</v>
      </c>
      <c r="K2774">
        <v>1</v>
      </c>
      <c r="Z2774">
        <v>1</v>
      </c>
      <c r="AJ2774">
        <f>SUM(Post[[#This Row],[47]:[75]])</f>
        <v>2</v>
      </c>
    </row>
    <row r="2775" spans="1:36" x14ac:dyDescent="0.2">
      <c r="A2775" t="s">
        <v>61</v>
      </c>
      <c r="B2775" t="s">
        <v>54</v>
      </c>
      <c r="C2775">
        <v>4184</v>
      </c>
      <c r="D2775" t="s">
        <v>22</v>
      </c>
      <c r="E2775" t="s">
        <v>14</v>
      </c>
      <c r="F2775" t="s">
        <v>35</v>
      </c>
      <c r="G2775">
        <v>1</v>
      </c>
      <c r="AJ2775">
        <f>SUM(Post[[#This Row],[47]:[75]])</f>
        <v>1</v>
      </c>
    </row>
    <row r="2776" spans="1:36" x14ac:dyDescent="0.2">
      <c r="A2776" t="s">
        <v>61</v>
      </c>
      <c r="B2776" t="s">
        <v>54</v>
      </c>
      <c r="C2776">
        <v>5102</v>
      </c>
      <c r="D2776" t="s">
        <v>22</v>
      </c>
      <c r="E2776" t="s">
        <v>14</v>
      </c>
      <c r="F2776" t="s">
        <v>20</v>
      </c>
      <c r="Z2776">
        <v>1</v>
      </c>
      <c r="AJ2776">
        <f>SUM(Post[[#This Row],[47]:[75]])</f>
        <v>1</v>
      </c>
    </row>
    <row r="2777" spans="1:36" x14ac:dyDescent="0.2">
      <c r="A2777" t="s">
        <v>61</v>
      </c>
      <c r="B2777" t="s">
        <v>54</v>
      </c>
      <c r="C2777">
        <v>6850</v>
      </c>
      <c r="D2777" t="s">
        <v>22</v>
      </c>
      <c r="E2777" t="s">
        <v>14</v>
      </c>
      <c r="F2777" t="s">
        <v>20</v>
      </c>
      <c r="U2777">
        <v>1</v>
      </c>
      <c r="AH2777">
        <v>1</v>
      </c>
      <c r="AJ2777">
        <f>SUM(Post[[#This Row],[47]:[75]])</f>
        <v>2</v>
      </c>
    </row>
    <row r="2778" spans="1:36" x14ac:dyDescent="0.2">
      <c r="A2778" t="s">
        <v>61</v>
      </c>
      <c r="B2778" t="s">
        <v>54</v>
      </c>
      <c r="C2778">
        <v>11021</v>
      </c>
      <c r="D2778" t="s">
        <v>22</v>
      </c>
      <c r="E2778" t="s">
        <v>14</v>
      </c>
      <c r="F2778" t="s">
        <v>20</v>
      </c>
      <c r="AJ2778">
        <f>SUM(Post[[#This Row],[47]:[75]])</f>
        <v>0</v>
      </c>
    </row>
    <row r="2779" spans="1:36" x14ac:dyDescent="0.2">
      <c r="A2779" t="s">
        <v>61</v>
      </c>
      <c r="B2779" t="s">
        <v>54</v>
      </c>
      <c r="C2779">
        <v>29618</v>
      </c>
      <c r="D2779" t="s">
        <v>22</v>
      </c>
      <c r="E2779" t="s">
        <v>14</v>
      </c>
      <c r="F2779" t="s">
        <v>20</v>
      </c>
      <c r="J2779">
        <v>1</v>
      </c>
      <c r="O2779">
        <v>1</v>
      </c>
      <c r="S2779">
        <v>1</v>
      </c>
      <c r="X2779">
        <v>1</v>
      </c>
      <c r="AB2779">
        <v>1</v>
      </c>
      <c r="AF2779">
        <v>1</v>
      </c>
      <c r="AJ2779">
        <f>SUM(Post[[#This Row],[47]:[75]])</f>
        <v>6</v>
      </c>
    </row>
    <row r="2780" spans="1:36" x14ac:dyDescent="0.2">
      <c r="A2780" t="s">
        <v>61</v>
      </c>
      <c r="B2780" t="s">
        <v>54</v>
      </c>
      <c r="C2780">
        <v>9357</v>
      </c>
      <c r="D2780" t="s">
        <v>22</v>
      </c>
      <c r="E2780" t="s">
        <v>14</v>
      </c>
      <c r="F2780" t="s">
        <v>20</v>
      </c>
      <c r="J2780">
        <v>1</v>
      </c>
      <c r="Q2780">
        <v>1</v>
      </c>
      <c r="V2780">
        <v>1</v>
      </c>
      <c r="AA2780">
        <v>1</v>
      </c>
      <c r="AE2780">
        <v>1</v>
      </c>
      <c r="AF2780">
        <v>1</v>
      </c>
      <c r="AJ2780">
        <f>SUM(Post[[#This Row],[47]:[75]])</f>
        <v>6</v>
      </c>
    </row>
    <row r="2781" spans="1:36" x14ac:dyDescent="0.2">
      <c r="A2781" t="s">
        <v>61</v>
      </c>
      <c r="B2781" t="s">
        <v>54</v>
      </c>
      <c r="C2781">
        <v>13823</v>
      </c>
      <c r="D2781" t="s">
        <v>22</v>
      </c>
      <c r="E2781" t="s">
        <v>10</v>
      </c>
      <c r="F2781" t="s">
        <v>11</v>
      </c>
      <c r="I2781">
        <v>1</v>
      </c>
      <c r="N2781">
        <v>1</v>
      </c>
      <c r="O2781">
        <v>2</v>
      </c>
      <c r="R2781">
        <v>1</v>
      </c>
      <c r="W2781">
        <v>2</v>
      </c>
      <c r="X2781">
        <v>1</v>
      </c>
      <c r="Y2781">
        <v>2</v>
      </c>
      <c r="Z2781">
        <v>1</v>
      </c>
      <c r="AA2781">
        <v>1</v>
      </c>
      <c r="AB2781">
        <v>1</v>
      </c>
      <c r="AD2781">
        <v>1</v>
      </c>
      <c r="AE2781">
        <v>1</v>
      </c>
      <c r="AF2781">
        <v>2</v>
      </c>
      <c r="AG2781">
        <v>1</v>
      </c>
      <c r="AH2781">
        <v>1</v>
      </c>
      <c r="AI2781">
        <v>1</v>
      </c>
      <c r="AJ2781">
        <f>SUM(Post[[#This Row],[47]:[75]])</f>
        <v>20</v>
      </c>
    </row>
    <row r="2782" spans="1:36" x14ac:dyDescent="0.2">
      <c r="A2782" t="s">
        <v>61</v>
      </c>
      <c r="B2782" t="s">
        <v>54</v>
      </c>
      <c r="C2782">
        <v>2566</v>
      </c>
      <c r="D2782" t="s">
        <v>7</v>
      </c>
      <c r="E2782" t="s">
        <v>32</v>
      </c>
      <c r="F2782" t="s">
        <v>33</v>
      </c>
      <c r="H2782">
        <v>1</v>
      </c>
      <c r="AJ2782">
        <f>SUM(Post[[#This Row],[47]:[75]])</f>
        <v>1</v>
      </c>
    </row>
    <row r="2783" spans="1:36" x14ac:dyDescent="0.2">
      <c r="A2783" t="s">
        <v>61</v>
      </c>
      <c r="B2783" t="s">
        <v>54</v>
      </c>
      <c r="C2783">
        <v>3278</v>
      </c>
      <c r="D2783" t="s">
        <v>7</v>
      </c>
      <c r="E2783" t="s">
        <v>14</v>
      </c>
      <c r="F2783" t="s">
        <v>35</v>
      </c>
      <c r="G2783">
        <v>1</v>
      </c>
      <c r="K2783">
        <v>1</v>
      </c>
      <c r="Q2783">
        <v>1</v>
      </c>
      <c r="V2783">
        <v>1</v>
      </c>
      <c r="Y2783">
        <v>1</v>
      </c>
      <c r="AD2783">
        <v>1</v>
      </c>
      <c r="AH2783">
        <v>1</v>
      </c>
      <c r="AJ2783">
        <f>SUM(Post[[#This Row],[47]:[75]])</f>
        <v>7</v>
      </c>
    </row>
    <row r="2784" spans="1:36" x14ac:dyDescent="0.2">
      <c r="A2784" t="s">
        <v>61</v>
      </c>
      <c r="B2784" t="s">
        <v>54</v>
      </c>
      <c r="C2784">
        <v>6164</v>
      </c>
      <c r="D2784" t="s">
        <v>7</v>
      </c>
      <c r="E2784" t="s">
        <v>14</v>
      </c>
      <c r="F2784" t="s">
        <v>20</v>
      </c>
      <c r="G2784">
        <v>1</v>
      </c>
      <c r="T2784">
        <v>1</v>
      </c>
      <c r="V2784">
        <v>1</v>
      </c>
      <c r="AF2784">
        <v>1</v>
      </c>
      <c r="AJ2784">
        <f>SUM(Post[[#This Row],[47]:[75]])</f>
        <v>4</v>
      </c>
    </row>
    <row r="2785" spans="1:36" x14ac:dyDescent="0.2">
      <c r="A2785" t="s">
        <v>61</v>
      </c>
      <c r="B2785" t="s">
        <v>54</v>
      </c>
      <c r="C2785">
        <v>13030</v>
      </c>
      <c r="D2785" t="s">
        <v>7</v>
      </c>
      <c r="E2785" t="s">
        <v>14</v>
      </c>
      <c r="F2785" t="s">
        <v>35</v>
      </c>
      <c r="Q2785">
        <v>1</v>
      </c>
      <c r="AJ2785">
        <f>SUM(Post[[#This Row],[47]:[75]])</f>
        <v>1</v>
      </c>
    </row>
    <row r="2786" spans="1:36" x14ac:dyDescent="0.2">
      <c r="A2786" t="s">
        <v>61</v>
      </c>
      <c r="B2786" t="s">
        <v>54</v>
      </c>
      <c r="C2786">
        <v>16313</v>
      </c>
      <c r="D2786" t="s">
        <v>7</v>
      </c>
      <c r="E2786" t="s">
        <v>14</v>
      </c>
      <c r="F2786" t="s">
        <v>20</v>
      </c>
      <c r="W2786">
        <v>1</v>
      </c>
      <c r="AJ2786">
        <f>SUM(Post[[#This Row],[47]:[75]])</f>
        <v>1</v>
      </c>
    </row>
    <row r="2787" spans="1:36" x14ac:dyDescent="0.2">
      <c r="A2787" t="s">
        <v>61</v>
      </c>
      <c r="B2787" t="s">
        <v>54</v>
      </c>
      <c r="C2787">
        <v>16442</v>
      </c>
      <c r="D2787" t="s">
        <v>7</v>
      </c>
      <c r="E2787" t="s">
        <v>14</v>
      </c>
      <c r="F2787" t="s">
        <v>20</v>
      </c>
      <c r="J2787">
        <v>1</v>
      </c>
      <c r="W2787">
        <v>1</v>
      </c>
      <c r="Z2787">
        <v>1</v>
      </c>
      <c r="AE2787">
        <v>1</v>
      </c>
      <c r="AJ2787">
        <f>SUM(Post[[#This Row],[47]:[75]])</f>
        <v>4</v>
      </c>
    </row>
    <row r="2788" spans="1:36" x14ac:dyDescent="0.2">
      <c r="A2788" t="s">
        <v>61</v>
      </c>
      <c r="B2788" t="s">
        <v>54</v>
      </c>
      <c r="C2788">
        <v>1171</v>
      </c>
      <c r="D2788" t="s">
        <v>22</v>
      </c>
      <c r="E2788" t="s">
        <v>14</v>
      </c>
      <c r="F2788" t="s">
        <v>35</v>
      </c>
      <c r="J2788">
        <v>1</v>
      </c>
      <c r="W2788">
        <v>1</v>
      </c>
      <c r="AJ2788">
        <f>SUM(Post[[#This Row],[47]:[75]])</f>
        <v>2</v>
      </c>
    </row>
    <row r="2789" spans="1:36" x14ac:dyDescent="0.2">
      <c r="A2789" t="s">
        <v>61</v>
      </c>
      <c r="B2789" t="s">
        <v>54</v>
      </c>
      <c r="C2789">
        <v>3683</v>
      </c>
      <c r="D2789" t="s">
        <v>22</v>
      </c>
      <c r="E2789" t="s">
        <v>14</v>
      </c>
      <c r="F2789" t="s">
        <v>35</v>
      </c>
      <c r="J2789">
        <v>1</v>
      </c>
      <c r="AJ2789">
        <f>SUM(Post[[#This Row],[47]:[75]])</f>
        <v>1</v>
      </c>
    </row>
    <row r="2790" spans="1:36" x14ac:dyDescent="0.2">
      <c r="A2790" t="s">
        <v>61</v>
      </c>
      <c r="B2790" t="s">
        <v>54</v>
      </c>
      <c r="C2790">
        <v>3889</v>
      </c>
      <c r="D2790" t="s">
        <v>22</v>
      </c>
      <c r="E2790" t="s">
        <v>14</v>
      </c>
      <c r="F2790" t="s">
        <v>21</v>
      </c>
      <c r="H2790">
        <v>1</v>
      </c>
      <c r="N2790">
        <v>1</v>
      </c>
      <c r="R2790">
        <v>1</v>
      </c>
      <c r="V2790">
        <v>1</v>
      </c>
      <c r="AA2790">
        <v>1</v>
      </c>
      <c r="AE2790">
        <v>1</v>
      </c>
      <c r="AJ2790">
        <f>SUM(Post[[#This Row],[47]:[75]])</f>
        <v>6</v>
      </c>
    </row>
    <row r="2791" spans="1:36" x14ac:dyDescent="0.2">
      <c r="A2791" t="s">
        <v>61</v>
      </c>
      <c r="B2791" t="s">
        <v>54</v>
      </c>
      <c r="C2791">
        <v>4214</v>
      </c>
      <c r="D2791" t="s">
        <v>22</v>
      </c>
      <c r="E2791" t="s">
        <v>14</v>
      </c>
      <c r="F2791" t="s">
        <v>21</v>
      </c>
      <c r="P2791">
        <v>1</v>
      </c>
      <c r="Y2791">
        <v>1</v>
      </c>
      <c r="AD2791">
        <v>1</v>
      </c>
      <c r="AF2791">
        <v>1</v>
      </c>
      <c r="AJ2791">
        <f>SUM(Post[[#This Row],[47]:[75]])</f>
        <v>4</v>
      </c>
    </row>
    <row r="2792" spans="1:36" x14ac:dyDescent="0.2">
      <c r="A2792" t="s">
        <v>61</v>
      </c>
      <c r="B2792" t="s">
        <v>54</v>
      </c>
      <c r="C2792">
        <v>8053</v>
      </c>
      <c r="D2792" t="s">
        <v>22</v>
      </c>
      <c r="E2792" t="s">
        <v>14</v>
      </c>
      <c r="F2792" t="s">
        <v>20</v>
      </c>
      <c r="L2792">
        <v>1</v>
      </c>
      <c r="AJ2792">
        <f>SUM(Post[[#This Row],[47]:[75]])</f>
        <v>1</v>
      </c>
    </row>
    <row r="2793" spans="1:36" x14ac:dyDescent="0.2">
      <c r="A2793" t="s">
        <v>61</v>
      </c>
      <c r="B2793" t="s">
        <v>54</v>
      </c>
      <c r="C2793">
        <v>15013</v>
      </c>
      <c r="D2793" t="s">
        <v>22</v>
      </c>
      <c r="E2793" t="s">
        <v>10</v>
      </c>
      <c r="F2793" t="s">
        <v>11</v>
      </c>
      <c r="J2793">
        <v>1</v>
      </c>
      <c r="X2793">
        <v>1</v>
      </c>
      <c r="AB2793">
        <v>1</v>
      </c>
      <c r="AF2793">
        <v>1</v>
      </c>
      <c r="AJ2793">
        <f>SUM(Post[[#This Row],[47]:[75]])</f>
        <v>4</v>
      </c>
    </row>
    <row r="2794" spans="1:36" x14ac:dyDescent="0.2">
      <c r="A2794" t="s">
        <v>61</v>
      </c>
      <c r="B2794" t="s">
        <v>54</v>
      </c>
      <c r="C2794">
        <v>4584</v>
      </c>
      <c r="D2794" t="s">
        <v>22</v>
      </c>
      <c r="E2794" t="s">
        <v>14</v>
      </c>
      <c r="F2794" t="s">
        <v>35</v>
      </c>
      <c r="Q2794">
        <v>1</v>
      </c>
      <c r="AC2794">
        <v>1</v>
      </c>
      <c r="AJ2794">
        <f>SUM(Post[[#This Row],[47]:[75]])</f>
        <v>2</v>
      </c>
    </row>
    <row r="2795" spans="1:36" x14ac:dyDescent="0.2">
      <c r="A2795" t="s">
        <v>61</v>
      </c>
      <c r="B2795" t="s">
        <v>54</v>
      </c>
      <c r="C2795">
        <v>5376</v>
      </c>
      <c r="D2795" t="s">
        <v>22</v>
      </c>
      <c r="E2795" t="s">
        <v>14</v>
      </c>
      <c r="F2795" t="s">
        <v>35</v>
      </c>
      <c r="AJ2795">
        <f>SUM(Post[[#This Row],[47]:[75]])</f>
        <v>0</v>
      </c>
    </row>
    <row r="2796" spans="1:36" x14ac:dyDescent="0.2">
      <c r="A2796" t="s">
        <v>61</v>
      </c>
      <c r="B2796" t="s">
        <v>54</v>
      </c>
      <c r="C2796">
        <v>4503</v>
      </c>
      <c r="D2796" t="s">
        <v>7</v>
      </c>
      <c r="E2796" t="s">
        <v>8</v>
      </c>
      <c r="F2796" t="s">
        <v>23</v>
      </c>
      <c r="AJ2796">
        <f>SUM(Post[[#This Row],[47]:[75]])</f>
        <v>0</v>
      </c>
    </row>
    <row r="2797" spans="1:36" x14ac:dyDescent="0.2">
      <c r="A2797" t="s">
        <v>61</v>
      </c>
      <c r="B2797" t="s">
        <v>54</v>
      </c>
      <c r="C2797">
        <v>6963</v>
      </c>
      <c r="D2797" t="s">
        <v>7</v>
      </c>
      <c r="E2797" t="s">
        <v>8</v>
      </c>
      <c r="F2797" t="s">
        <v>9</v>
      </c>
      <c r="I2797">
        <v>1</v>
      </c>
      <c r="V2797">
        <v>2</v>
      </c>
      <c r="AJ2797">
        <f>SUM(Post[[#This Row],[47]:[75]])</f>
        <v>3</v>
      </c>
    </row>
    <row r="2798" spans="1:36" x14ac:dyDescent="0.2">
      <c r="A2798" t="s">
        <v>61</v>
      </c>
      <c r="B2798" t="s">
        <v>54</v>
      </c>
      <c r="C2798">
        <v>8800</v>
      </c>
      <c r="D2798" t="s">
        <v>7</v>
      </c>
      <c r="E2798" t="s">
        <v>8</v>
      </c>
      <c r="F2798" t="s">
        <v>23</v>
      </c>
      <c r="AJ2798">
        <f>SUM(Post[[#This Row],[47]:[75]])</f>
        <v>0</v>
      </c>
    </row>
    <row r="2799" spans="1:36" x14ac:dyDescent="0.2">
      <c r="A2799" t="s">
        <v>61</v>
      </c>
      <c r="B2799" t="s">
        <v>54</v>
      </c>
      <c r="C2799">
        <v>8800</v>
      </c>
      <c r="D2799" t="s">
        <v>7</v>
      </c>
      <c r="E2799" t="s">
        <v>8</v>
      </c>
      <c r="F2799" t="s">
        <v>9</v>
      </c>
      <c r="I2799">
        <v>1</v>
      </c>
      <c r="W2799">
        <v>1</v>
      </c>
      <c r="AJ2799">
        <f>SUM(Post[[#This Row],[47]:[75]])</f>
        <v>2</v>
      </c>
    </row>
    <row r="2800" spans="1:36" x14ac:dyDescent="0.2">
      <c r="A2800" t="s">
        <v>61</v>
      </c>
      <c r="B2800" t="s">
        <v>54</v>
      </c>
      <c r="C2800">
        <v>9727</v>
      </c>
      <c r="D2800" t="s">
        <v>7</v>
      </c>
      <c r="E2800" t="s">
        <v>8</v>
      </c>
      <c r="F2800" t="s">
        <v>23</v>
      </c>
      <c r="I2800">
        <v>1</v>
      </c>
      <c r="N2800">
        <v>1</v>
      </c>
      <c r="W2800">
        <v>1</v>
      </c>
      <c r="AH2800">
        <v>1</v>
      </c>
      <c r="AJ2800">
        <f>SUM(Post[[#This Row],[47]:[75]])</f>
        <v>4</v>
      </c>
    </row>
    <row r="2801" spans="1:36" x14ac:dyDescent="0.2">
      <c r="A2801" t="s">
        <v>61</v>
      </c>
      <c r="B2801" t="s">
        <v>54</v>
      </c>
      <c r="C2801">
        <v>16923</v>
      </c>
      <c r="D2801" t="s">
        <v>7</v>
      </c>
      <c r="E2801" t="s">
        <v>8</v>
      </c>
      <c r="F2801" t="s">
        <v>23</v>
      </c>
      <c r="K2801">
        <v>1</v>
      </c>
      <c r="Z2801">
        <v>2</v>
      </c>
      <c r="AD2801">
        <v>1</v>
      </c>
      <c r="AH2801">
        <v>1</v>
      </c>
      <c r="AJ2801">
        <f>SUM(Post[[#This Row],[47]:[75]])</f>
        <v>5</v>
      </c>
    </row>
    <row r="2802" spans="1:36" x14ac:dyDescent="0.2">
      <c r="A2802" t="s">
        <v>61</v>
      </c>
      <c r="B2802" t="s">
        <v>54</v>
      </c>
      <c r="C2802">
        <v>29048</v>
      </c>
      <c r="D2802" t="s">
        <v>7</v>
      </c>
      <c r="E2802" t="s">
        <v>8</v>
      </c>
      <c r="F2802" t="s">
        <v>9</v>
      </c>
      <c r="Q2802">
        <v>1</v>
      </c>
      <c r="AE2802">
        <v>1</v>
      </c>
      <c r="AJ2802">
        <f>SUM(Post[[#This Row],[47]:[75]])</f>
        <v>2</v>
      </c>
    </row>
    <row r="2803" spans="1:36" x14ac:dyDescent="0.2">
      <c r="A2803" t="s">
        <v>61</v>
      </c>
      <c r="B2803" t="s">
        <v>54</v>
      </c>
      <c r="C2803">
        <v>30336</v>
      </c>
      <c r="D2803" t="s">
        <v>7</v>
      </c>
      <c r="E2803" t="s">
        <v>8</v>
      </c>
      <c r="F2803" t="s">
        <v>23</v>
      </c>
      <c r="X2803">
        <v>1</v>
      </c>
      <c r="AJ2803">
        <f>SUM(Post[[#This Row],[47]:[75]])</f>
        <v>1</v>
      </c>
    </row>
    <row r="2804" spans="1:36" x14ac:dyDescent="0.2">
      <c r="A2804" t="s">
        <v>61</v>
      </c>
      <c r="B2804" t="s">
        <v>54</v>
      </c>
      <c r="C2804">
        <v>33420</v>
      </c>
      <c r="D2804" t="s">
        <v>7</v>
      </c>
      <c r="E2804" t="s">
        <v>8</v>
      </c>
      <c r="F2804" t="s">
        <v>23</v>
      </c>
      <c r="N2804">
        <v>1</v>
      </c>
      <c r="AB2804">
        <v>1</v>
      </c>
      <c r="AJ2804">
        <f>SUM(Post[[#This Row],[47]:[75]])</f>
        <v>2</v>
      </c>
    </row>
    <row r="2805" spans="1:36" x14ac:dyDescent="0.2">
      <c r="A2805" t="s">
        <v>61</v>
      </c>
      <c r="B2805" t="s">
        <v>54</v>
      </c>
      <c r="C2805">
        <v>506</v>
      </c>
      <c r="D2805" t="s">
        <v>22</v>
      </c>
      <c r="E2805" t="s">
        <v>8</v>
      </c>
      <c r="F2805" t="s">
        <v>9</v>
      </c>
      <c r="H2805">
        <v>1</v>
      </c>
      <c r="V2805">
        <v>1</v>
      </c>
      <c r="AJ2805">
        <f>SUM(Post[[#This Row],[47]:[75]])</f>
        <v>2</v>
      </c>
    </row>
    <row r="2806" spans="1:36" x14ac:dyDescent="0.2">
      <c r="A2806" t="s">
        <v>61</v>
      </c>
      <c r="B2806" t="s">
        <v>54</v>
      </c>
      <c r="C2806">
        <v>3627</v>
      </c>
      <c r="D2806" t="s">
        <v>22</v>
      </c>
      <c r="E2806" t="s">
        <v>8</v>
      </c>
      <c r="F2806" t="s">
        <v>23</v>
      </c>
      <c r="V2806">
        <v>1</v>
      </c>
      <c r="AG2806">
        <v>1</v>
      </c>
      <c r="AJ2806">
        <f>SUM(Post[[#This Row],[47]:[75]])</f>
        <v>2</v>
      </c>
    </row>
    <row r="2807" spans="1:36" x14ac:dyDescent="0.2">
      <c r="A2807" t="s">
        <v>61</v>
      </c>
      <c r="B2807" t="s">
        <v>54</v>
      </c>
      <c r="C2807">
        <v>5362</v>
      </c>
      <c r="D2807" t="s">
        <v>22</v>
      </c>
      <c r="E2807" t="s">
        <v>8</v>
      </c>
      <c r="F2807" t="s">
        <v>9</v>
      </c>
      <c r="N2807">
        <v>1</v>
      </c>
      <c r="AB2807">
        <v>3</v>
      </c>
      <c r="AJ2807">
        <f>SUM(Post[[#This Row],[47]:[75]])</f>
        <v>4</v>
      </c>
    </row>
    <row r="2808" spans="1:36" x14ac:dyDescent="0.2">
      <c r="A2808" t="s">
        <v>61</v>
      </c>
      <c r="B2808" t="s">
        <v>54</v>
      </c>
      <c r="C2808">
        <v>5736</v>
      </c>
      <c r="D2808" t="s">
        <v>22</v>
      </c>
      <c r="E2808" t="s">
        <v>8</v>
      </c>
      <c r="F2808" t="s">
        <v>9</v>
      </c>
      <c r="J2808">
        <v>1</v>
      </c>
      <c r="O2808">
        <v>1</v>
      </c>
      <c r="S2808">
        <v>1</v>
      </c>
      <c r="X2808">
        <v>1</v>
      </c>
      <c r="AB2808">
        <v>1</v>
      </c>
      <c r="AF2808">
        <v>2</v>
      </c>
      <c r="AJ2808">
        <f>SUM(Post[[#This Row],[47]:[75]])</f>
        <v>7</v>
      </c>
    </row>
    <row r="2809" spans="1:36" x14ac:dyDescent="0.2">
      <c r="A2809" t="s">
        <v>61</v>
      </c>
      <c r="B2809" t="s">
        <v>54</v>
      </c>
      <c r="C2809">
        <v>10830</v>
      </c>
      <c r="D2809" t="s">
        <v>22</v>
      </c>
      <c r="E2809" t="s">
        <v>8</v>
      </c>
      <c r="F2809" t="s">
        <v>23</v>
      </c>
      <c r="I2809">
        <v>1</v>
      </c>
      <c r="O2809">
        <v>1</v>
      </c>
      <c r="S2809">
        <v>1</v>
      </c>
      <c r="Y2809">
        <v>1</v>
      </c>
      <c r="AG2809">
        <v>2</v>
      </c>
      <c r="AJ2809">
        <f>SUM(Post[[#This Row],[47]:[75]])</f>
        <v>6</v>
      </c>
    </row>
    <row r="2810" spans="1:36" x14ac:dyDescent="0.2">
      <c r="A2810" t="s">
        <v>61</v>
      </c>
      <c r="B2810" t="s">
        <v>54</v>
      </c>
      <c r="C2810">
        <v>14654</v>
      </c>
      <c r="D2810" t="s">
        <v>22</v>
      </c>
      <c r="E2810" t="s">
        <v>8</v>
      </c>
      <c r="F2810" t="s">
        <v>9</v>
      </c>
      <c r="U2810">
        <v>1</v>
      </c>
      <c r="AJ2810">
        <f>SUM(Post[[#This Row],[47]:[75]])</f>
        <v>1</v>
      </c>
    </row>
    <row r="2811" spans="1:36" x14ac:dyDescent="0.2">
      <c r="A2811" t="s">
        <v>61</v>
      </c>
      <c r="B2811" t="s">
        <v>54</v>
      </c>
      <c r="C2811">
        <v>15115</v>
      </c>
      <c r="D2811" t="s">
        <v>22</v>
      </c>
      <c r="E2811" t="s">
        <v>8</v>
      </c>
      <c r="F2811" t="s">
        <v>23</v>
      </c>
      <c r="T2811">
        <v>1</v>
      </c>
      <c r="AH2811">
        <v>1</v>
      </c>
      <c r="AJ2811">
        <f>SUM(Post[[#This Row],[47]:[75]])</f>
        <v>2</v>
      </c>
    </row>
    <row r="2812" spans="1:36" x14ac:dyDescent="0.2">
      <c r="A2812" t="s">
        <v>61</v>
      </c>
      <c r="B2812" t="s">
        <v>54</v>
      </c>
      <c r="C2812">
        <v>17082</v>
      </c>
      <c r="D2812" t="s">
        <v>22</v>
      </c>
      <c r="E2812" t="s">
        <v>8</v>
      </c>
      <c r="F2812" t="s">
        <v>23</v>
      </c>
      <c r="L2812">
        <v>2</v>
      </c>
      <c r="AJ2812">
        <f>SUM(Post[[#This Row],[47]:[75]])</f>
        <v>2</v>
      </c>
    </row>
    <row r="2813" spans="1:36" x14ac:dyDescent="0.2">
      <c r="A2813" t="s">
        <v>61</v>
      </c>
      <c r="B2813" t="s">
        <v>54</v>
      </c>
      <c r="C2813">
        <v>29026</v>
      </c>
      <c r="D2813" t="s">
        <v>22</v>
      </c>
      <c r="E2813" t="s">
        <v>8</v>
      </c>
      <c r="F2813" t="s">
        <v>9</v>
      </c>
      <c r="H2813">
        <v>1</v>
      </c>
      <c r="V2813">
        <v>1</v>
      </c>
      <c r="AJ2813">
        <f>SUM(Post[[#This Row],[47]:[75]])</f>
        <v>2</v>
      </c>
    </row>
    <row r="2814" spans="1:36" x14ac:dyDescent="0.2">
      <c r="A2814" t="s">
        <v>61</v>
      </c>
      <c r="B2814" t="s">
        <v>54</v>
      </c>
      <c r="C2814">
        <v>32005</v>
      </c>
      <c r="D2814" t="s">
        <v>22</v>
      </c>
      <c r="E2814" t="s">
        <v>8</v>
      </c>
      <c r="F2814" t="s">
        <v>23</v>
      </c>
      <c r="AJ2814">
        <f>SUM(Post[[#This Row],[47]:[75]])</f>
        <v>0</v>
      </c>
    </row>
    <row r="2815" spans="1:36" x14ac:dyDescent="0.2">
      <c r="A2815" t="s">
        <v>61</v>
      </c>
      <c r="B2815" t="s">
        <v>54</v>
      </c>
      <c r="C2815">
        <v>2399</v>
      </c>
      <c r="D2815" t="s">
        <v>7</v>
      </c>
      <c r="E2815" t="s">
        <v>8</v>
      </c>
      <c r="F2815" t="s">
        <v>9</v>
      </c>
      <c r="K2815">
        <v>1</v>
      </c>
      <c r="AJ2815">
        <f>SUM(Post[[#This Row],[47]:[75]])</f>
        <v>1</v>
      </c>
    </row>
    <row r="2816" spans="1:36" x14ac:dyDescent="0.2">
      <c r="A2816" t="s">
        <v>61</v>
      </c>
      <c r="B2816" t="s">
        <v>54</v>
      </c>
      <c r="C2816">
        <v>3149</v>
      </c>
      <c r="D2816" t="s">
        <v>7</v>
      </c>
      <c r="E2816" t="s">
        <v>8</v>
      </c>
      <c r="F2816" t="s">
        <v>9</v>
      </c>
      <c r="G2816">
        <v>1</v>
      </c>
      <c r="J2816">
        <v>1</v>
      </c>
      <c r="P2816">
        <v>1</v>
      </c>
      <c r="R2816">
        <v>1</v>
      </c>
      <c r="U2816">
        <v>1</v>
      </c>
      <c r="Y2816">
        <v>1</v>
      </c>
      <c r="Z2816">
        <v>1</v>
      </c>
      <c r="AA2816">
        <v>1</v>
      </c>
      <c r="AB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f>SUM(Post[[#This Row],[47]:[75]])</f>
        <v>15</v>
      </c>
    </row>
    <row r="2817" spans="1:36" x14ac:dyDescent="0.2">
      <c r="A2817" t="s">
        <v>61</v>
      </c>
      <c r="B2817" t="s">
        <v>54</v>
      </c>
      <c r="C2817">
        <v>4124</v>
      </c>
      <c r="D2817" t="s">
        <v>7</v>
      </c>
      <c r="E2817" t="s">
        <v>8</v>
      </c>
      <c r="F2817" t="s">
        <v>9</v>
      </c>
      <c r="H2817">
        <v>1</v>
      </c>
      <c r="V2817">
        <v>1</v>
      </c>
      <c r="AI2817">
        <v>1</v>
      </c>
      <c r="AJ2817">
        <f>SUM(Post[[#This Row],[47]:[75]])</f>
        <v>3</v>
      </c>
    </row>
    <row r="2818" spans="1:36" x14ac:dyDescent="0.2">
      <c r="A2818" t="s">
        <v>61</v>
      </c>
      <c r="B2818" t="s">
        <v>54</v>
      </c>
      <c r="C2818">
        <v>6353</v>
      </c>
      <c r="D2818" t="s">
        <v>7</v>
      </c>
      <c r="E2818" t="s">
        <v>8</v>
      </c>
      <c r="F2818" t="s">
        <v>23</v>
      </c>
      <c r="AJ2818">
        <f>SUM(Post[[#This Row],[47]:[75]])</f>
        <v>0</v>
      </c>
    </row>
    <row r="2819" spans="1:36" x14ac:dyDescent="0.2">
      <c r="A2819" t="s">
        <v>61</v>
      </c>
      <c r="B2819" t="s">
        <v>54</v>
      </c>
      <c r="C2819">
        <v>8431</v>
      </c>
      <c r="D2819" t="s">
        <v>7</v>
      </c>
      <c r="E2819" t="s">
        <v>8</v>
      </c>
      <c r="F2819" t="s">
        <v>23</v>
      </c>
      <c r="H2819">
        <v>1</v>
      </c>
      <c r="K2819">
        <v>1</v>
      </c>
      <c r="AA2819">
        <v>1</v>
      </c>
      <c r="AE2819">
        <v>1</v>
      </c>
      <c r="AI2819">
        <v>1</v>
      </c>
      <c r="AJ2819">
        <f>SUM(Post[[#This Row],[47]:[75]])</f>
        <v>5</v>
      </c>
    </row>
    <row r="2820" spans="1:36" x14ac:dyDescent="0.2">
      <c r="A2820" t="s">
        <v>61</v>
      </c>
      <c r="B2820" t="s">
        <v>54</v>
      </c>
      <c r="C2820">
        <v>13280</v>
      </c>
      <c r="D2820" t="s">
        <v>7</v>
      </c>
      <c r="E2820" t="s">
        <v>8</v>
      </c>
      <c r="F2820" t="s">
        <v>23</v>
      </c>
      <c r="L2820">
        <v>2</v>
      </c>
      <c r="Z2820">
        <v>1</v>
      </c>
      <c r="AJ2820">
        <f>SUM(Post[[#This Row],[47]:[75]])</f>
        <v>3</v>
      </c>
    </row>
    <row r="2821" spans="1:36" x14ac:dyDescent="0.2">
      <c r="A2821" t="s">
        <v>61</v>
      </c>
      <c r="B2821" t="s">
        <v>54</v>
      </c>
      <c r="C2821">
        <v>25918</v>
      </c>
      <c r="D2821" t="s">
        <v>7</v>
      </c>
      <c r="E2821" t="s">
        <v>8</v>
      </c>
      <c r="F2821" t="s">
        <v>23</v>
      </c>
      <c r="O2821">
        <v>1</v>
      </c>
      <c r="P2821">
        <v>1</v>
      </c>
      <c r="AC2821">
        <v>1</v>
      </c>
      <c r="AJ2821">
        <f>SUM(Post[[#This Row],[47]:[75]])</f>
        <v>3</v>
      </c>
    </row>
    <row r="2822" spans="1:36" x14ac:dyDescent="0.2">
      <c r="A2822" t="s">
        <v>61</v>
      </c>
      <c r="B2822" t="s">
        <v>54</v>
      </c>
      <c r="C2822">
        <v>263</v>
      </c>
      <c r="D2822" t="s">
        <v>22</v>
      </c>
      <c r="E2822" t="s">
        <v>8</v>
      </c>
      <c r="F2822" t="s">
        <v>29</v>
      </c>
      <c r="Q2822">
        <v>2</v>
      </c>
      <c r="AG2822">
        <v>1</v>
      </c>
      <c r="AJ2822">
        <f>SUM(Post[[#This Row],[47]:[75]])</f>
        <v>3</v>
      </c>
    </row>
    <row r="2823" spans="1:36" x14ac:dyDescent="0.2">
      <c r="A2823" t="s">
        <v>61</v>
      </c>
      <c r="B2823" t="s">
        <v>54</v>
      </c>
      <c r="C2823">
        <v>3480</v>
      </c>
      <c r="D2823" t="s">
        <v>22</v>
      </c>
      <c r="E2823" t="s">
        <v>8</v>
      </c>
      <c r="F2823" t="s">
        <v>9</v>
      </c>
      <c r="P2823">
        <v>1</v>
      </c>
      <c r="U2823">
        <v>1</v>
      </c>
      <c r="AJ2823">
        <f>SUM(Post[[#This Row],[47]:[75]])</f>
        <v>2</v>
      </c>
    </row>
    <row r="2824" spans="1:36" x14ac:dyDescent="0.2">
      <c r="A2824" t="s">
        <v>61</v>
      </c>
      <c r="B2824" t="s">
        <v>54</v>
      </c>
      <c r="C2824">
        <v>5307</v>
      </c>
      <c r="D2824" t="s">
        <v>22</v>
      </c>
      <c r="E2824" t="s">
        <v>8</v>
      </c>
      <c r="F2824" t="s">
        <v>9</v>
      </c>
      <c r="K2824">
        <v>1</v>
      </c>
      <c r="V2824">
        <v>2</v>
      </c>
      <c r="AJ2824">
        <f>SUM(Post[[#This Row],[47]:[75]])</f>
        <v>3</v>
      </c>
    </row>
    <row r="2825" spans="1:36" x14ac:dyDescent="0.2">
      <c r="A2825" t="s">
        <v>61</v>
      </c>
      <c r="B2825" t="s">
        <v>54</v>
      </c>
      <c r="C2825">
        <v>6041</v>
      </c>
      <c r="D2825" t="s">
        <v>22</v>
      </c>
      <c r="E2825" t="s">
        <v>8</v>
      </c>
      <c r="F2825" t="s">
        <v>9</v>
      </c>
      <c r="I2825">
        <v>1</v>
      </c>
      <c r="W2825">
        <v>2</v>
      </c>
      <c r="AA2825">
        <v>1</v>
      </c>
      <c r="AC2825">
        <v>1</v>
      </c>
      <c r="AE2825">
        <v>1</v>
      </c>
      <c r="AJ2825">
        <f>SUM(Post[[#This Row],[47]:[75]])</f>
        <v>6</v>
      </c>
    </row>
    <row r="2826" spans="1:36" x14ac:dyDescent="0.2">
      <c r="A2826" t="s">
        <v>61</v>
      </c>
      <c r="B2826" t="s">
        <v>54</v>
      </c>
      <c r="C2826">
        <v>6354</v>
      </c>
      <c r="D2826" t="s">
        <v>22</v>
      </c>
      <c r="E2826" t="s">
        <v>8</v>
      </c>
      <c r="F2826" t="s">
        <v>23</v>
      </c>
      <c r="U2826">
        <v>1</v>
      </c>
      <c r="AD2826">
        <v>1</v>
      </c>
      <c r="AG2826">
        <v>1</v>
      </c>
      <c r="AJ2826">
        <f>SUM(Post[[#This Row],[47]:[75]])</f>
        <v>3</v>
      </c>
    </row>
    <row r="2827" spans="1:36" x14ac:dyDescent="0.2">
      <c r="A2827" t="s">
        <v>61</v>
      </c>
      <c r="B2827" t="s">
        <v>54</v>
      </c>
      <c r="C2827">
        <v>6429</v>
      </c>
      <c r="D2827" t="s">
        <v>22</v>
      </c>
      <c r="E2827" t="s">
        <v>8</v>
      </c>
      <c r="F2827" t="s">
        <v>23</v>
      </c>
      <c r="K2827">
        <v>1</v>
      </c>
      <c r="AA2827">
        <v>1</v>
      </c>
      <c r="AJ2827">
        <f>SUM(Post[[#This Row],[47]:[75]])</f>
        <v>2</v>
      </c>
    </row>
    <row r="2828" spans="1:36" x14ac:dyDescent="0.2">
      <c r="A2828" t="s">
        <v>61</v>
      </c>
      <c r="B2828" t="s">
        <v>54</v>
      </c>
      <c r="C2828">
        <v>6759</v>
      </c>
      <c r="D2828" t="s">
        <v>22</v>
      </c>
      <c r="E2828" t="s">
        <v>8</v>
      </c>
      <c r="F2828" t="s">
        <v>23</v>
      </c>
      <c r="W2828">
        <v>1</v>
      </c>
      <c r="AJ2828">
        <f>SUM(Post[[#This Row],[47]:[75]])</f>
        <v>1</v>
      </c>
    </row>
    <row r="2829" spans="1:36" x14ac:dyDescent="0.2">
      <c r="A2829" t="s">
        <v>61</v>
      </c>
      <c r="B2829" t="s">
        <v>54</v>
      </c>
      <c r="C2829">
        <v>7616</v>
      </c>
      <c r="D2829" t="s">
        <v>22</v>
      </c>
      <c r="E2829" t="s">
        <v>8</v>
      </c>
      <c r="F2829" t="s">
        <v>23</v>
      </c>
      <c r="AJ2829">
        <f>SUM(Post[[#This Row],[47]:[75]])</f>
        <v>0</v>
      </c>
    </row>
    <row r="2830" spans="1:36" x14ac:dyDescent="0.2">
      <c r="A2830" t="s">
        <v>61</v>
      </c>
      <c r="B2830" t="s">
        <v>54</v>
      </c>
      <c r="C2830">
        <v>8650</v>
      </c>
      <c r="D2830" t="s">
        <v>22</v>
      </c>
      <c r="E2830" t="s">
        <v>8</v>
      </c>
      <c r="F2830" t="s">
        <v>23</v>
      </c>
      <c r="T2830">
        <v>1</v>
      </c>
      <c r="Y2830">
        <v>1</v>
      </c>
      <c r="AB2830">
        <v>1</v>
      </c>
      <c r="AD2830">
        <v>2</v>
      </c>
      <c r="AF2830">
        <v>1</v>
      </c>
      <c r="AJ2830">
        <f>SUM(Post[[#This Row],[47]:[75]])</f>
        <v>6</v>
      </c>
    </row>
    <row r="2831" spans="1:36" x14ac:dyDescent="0.2">
      <c r="A2831" t="s">
        <v>61</v>
      </c>
      <c r="B2831" t="s">
        <v>54</v>
      </c>
      <c r="C2831">
        <v>12111</v>
      </c>
      <c r="D2831" t="s">
        <v>22</v>
      </c>
      <c r="E2831" t="s">
        <v>8</v>
      </c>
      <c r="F2831" t="s">
        <v>9</v>
      </c>
      <c r="AD2831">
        <v>1</v>
      </c>
      <c r="AJ2831">
        <f>SUM(Post[[#This Row],[47]:[75]])</f>
        <v>1</v>
      </c>
    </row>
    <row r="2832" spans="1:36" x14ac:dyDescent="0.2">
      <c r="A2832" t="s">
        <v>61</v>
      </c>
      <c r="B2832" t="s">
        <v>54</v>
      </c>
      <c r="C2832">
        <v>12313</v>
      </c>
      <c r="D2832" t="s">
        <v>22</v>
      </c>
      <c r="E2832" t="s">
        <v>8</v>
      </c>
      <c r="F2832" t="s">
        <v>23</v>
      </c>
      <c r="J2832">
        <v>1</v>
      </c>
      <c r="AA2832">
        <v>1</v>
      </c>
      <c r="AJ2832">
        <f>SUM(Post[[#This Row],[47]:[75]])</f>
        <v>2</v>
      </c>
    </row>
    <row r="2833" spans="1:36" x14ac:dyDescent="0.2">
      <c r="A2833" t="s">
        <v>61</v>
      </c>
      <c r="B2833" t="s">
        <v>54</v>
      </c>
      <c r="C2833">
        <v>13619</v>
      </c>
      <c r="D2833" t="s">
        <v>22</v>
      </c>
      <c r="E2833" t="s">
        <v>8</v>
      </c>
      <c r="F2833" t="s">
        <v>9</v>
      </c>
      <c r="K2833">
        <v>1</v>
      </c>
      <c r="AJ2833">
        <f>SUM(Post[[#This Row],[47]:[75]])</f>
        <v>1</v>
      </c>
    </row>
    <row r="2834" spans="1:36" x14ac:dyDescent="0.2">
      <c r="A2834" t="s">
        <v>61</v>
      </c>
      <c r="B2834" t="s">
        <v>54</v>
      </c>
      <c r="C2834">
        <v>14172</v>
      </c>
      <c r="D2834" t="s">
        <v>22</v>
      </c>
      <c r="E2834" t="s">
        <v>8</v>
      </c>
      <c r="F2834" t="s">
        <v>23</v>
      </c>
      <c r="Q2834">
        <v>1</v>
      </c>
      <c r="AC2834">
        <v>1</v>
      </c>
      <c r="AJ2834">
        <f>SUM(Post[[#This Row],[47]:[75]])</f>
        <v>2</v>
      </c>
    </row>
    <row r="2835" spans="1:36" x14ac:dyDescent="0.2">
      <c r="A2835" t="s">
        <v>61</v>
      </c>
      <c r="B2835" t="s">
        <v>54</v>
      </c>
      <c r="C2835">
        <v>14330</v>
      </c>
      <c r="D2835" t="s">
        <v>22</v>
      </c>
      <c r="E2835" t="s">
        <v>8</v>
      </c>
      <c r="F2835" t="s">
        <v>23</v>
      </c>
      <c r="G2835">
        <v>1</v>
      </c>
      <c r="H2835">
        <v>1</v>
      </c>
      <c r="J2835">
        <v>1</v>
      </c>
      <c r="P2835">
        <v>1</v>
      </c>
      <c r="Q2835">
        <v>1</v>
      </c>
      <c r="T2835">
        <v>1</v>
      </c>
      <c r="W2835">
        <v>1</v>
      </c>
      <c r="Y2835">
        <v>1</v>
      </c>
      <c r="AC2835">
        <v>1</v>
      </c>
      <c r="AG2835">
        <v>1</v>
      </c>
      <c r="AJ2835">
        <f>SUM(Post[[#This Row],[47]:[75]])</f>
        <v>10</v>
      </c>
    </row>
    <row r="2836" spans="1:36" x14ac:dyDescent="0.2">
      <c r="A2836" t="s">
        <v>61</v>
      </c>
      <c r="B2836" t="s">
        <v>54</v>
      </c>
      <c r="C2836">
        <v>14590</v>
      </c>
      <c r="D2836" t="s">
        <v>22</v>
      </c>
      <c r="E2836" t="s">
        <v>8</v>
      </c>
      <c r="F2836" t="s">
        <v>9</v>
      </c>
      <c r="AJ2836">
        <f>SUM(Post[[#This Row],[47]:[75]])</f>
        <v>0</v>
      </c>
    </row>
    <row r="2837" spans="1:36" x14ac:dyDescent="0.2">
      <c r="A2837" t="s">
        <v>61</v>
      </c>
      <c r="B2837" t="s">
        <v>54</v>
      </c>
      <c r="C2837">
        <v>21758</v>
      </c>
      <c r="D2837" t="s">
        <v>22</v>
      </c>
      <c r="E2837" t="s">
        <v>8</v>
      </c>
      <c r="F2837" t="s">
        <v>23</v>
      </c>
      <c r="H2837">
        <v>1</v>
      </c>
      <c r="K2837">
        <v>2</v>
      </c>
      <c r="AA2837">
        <v>1</v>
      </c>
      <c r="AE2837">
        <v>1</v>
      </c>
      <c r="AJ2837">
        <f>SUM(Post[[#This Row],[47]:[75]])</f>
        <v>5</v>
      </c>
    </row>
    <row r="2838" spans="1:36" x14ac:dyDescent="0.2">
      <c r="A2838" t="s">
        <v>61</v>
      </c>
      <c r="B2838" t="s">
        <v>54</v>
      </c>
      <c r="C2838">
        <v>23089</v>
      </c>
      <c r="D2838" t="s">
        <v>22</v>
      </c>
      <c r="E2838" t="s">
        <v>8</v>
      </c>
      <c r="F2838" t="s">
        <v>23</v>
      </c>
      <c r="H2838">
        <v>1</v>
      </c>
      <c r="K2838">
        <v>1</v>
      </c>
      <c r="S2838">
        <v>1</v>
      </c>
      <c r="T2838">
        <v>1</v>
      </c>
      <c r="Y2838">
        <v>1</v>
      </c>
      <c r="AD2838">
        <v>1</v>
      </c>
      <c r="AH2838">
        <v>1</v>
      </c>
      <c r="AJ2838">
        <f>SUM(Post[[#This Row],[47]:[75]])</f>
        <v>7</v>
      </c>
    </row>
    <row r="2839" spans="1:36" x14ac:dyDescent="0.2">
      <c r="A2839" t="s">
        <v>62</v>
      </c>
      <c r="B2839" t="s">
        <v>54</v>
      </c>
      <c r="C2839">
        <v>375</v>
      </c>
      <c r="D2839" t="s">
        <v>7</v>
      </c>
      <c r="E2839" t="s">
        <v>8</v>
      </c>
      <c r="F2839" t="s">
        <v>23</v>
      </c>
      <c r="I2839">
        <v>1</v>
      </c>
      <c r="L2839">
        <v>1</v>
      </c>
      <c r="Q2839">
        <v>2</v>
      </c>
      <c r="V2839">
        <v>1</v>
      </c>
      <c r="Y2839">
        <v>1</v>
      </c>
      <c r="AB2839">
        <v>2</v>
      </c>
      <c r="AC2839">
        <v>1</v>
      </c>
      <c r="AG2839">
        <v>1</v>
      </c>
      <c r="AJ2839">
        <f>SUM(Post[[#This Row],[47]:[75]])</f>
        <v>10</v>
      </c>
    </row>
    <row r="2840" spans="1:36" x14ac:dyDescent="0.2">
      <c r="A2840" t="s">
        <v>62</v>
      </c>
      <c r="B2840" t="s">
        <v>54</v>
      </c>
      <c r="C2840">
        <v>839</v>
      </c>
      <c r="D2840" t="s">
        <v>7</v>
      </c>
      <c r="E2840" t="s">
        <v>10</v>
      </c>
      <c r="F2840" t="s">
        <v>11</v>
      </c>
      <c r="AJ2840">
        <f>SUM(Post[[#This Row],[47]:[75]])</f>
        <v>0</v>
      </c>
    </row>
    <row r="2841" spans="1:36" x14ac:dyDescent="0.2">
      <c r="A2841" t="s">
        <v>62</v>
      </c>
      <c r="B2841" t="s">
        <v>54</v>
      </c>
      <c r="C2841">
        <v>839</v>
      </c>
      <c r="D2841" t="s">
        <v>7</v>
      </c>
      <c r="E2841" t="s">
        <v>14</v>
      </c>
      <c r="F2841" t="s">
        <v>20</v>
      </c>
      <c r="S2841">
        <v>1</v>
      </c>
      <c r="AJ2841">
        <f>SUM(Post[[#This Row],[47]:[75]])</f>
        <v>1</v>
      </c>
    </row>
    <row r="2842" spans="1:36" x14ac:dyDescent="0.2">
      <c r="A2842" t="s">
        <v>62</v>
      </c>
      <c r="B2842" t="s">
        <v>54</v>
      </c>
      <c r="C2842">
        <v>3573</v>
      </c>
      <c r="D2842" t="s">
        <v>7</v>
      </c>
      <c r="E2842" t="s">
        <v>8</v>
      </c>
      <c r="F2842" t="s">
        <v>29</v>
      </c>
      <c r="T2842">
        <v>1</v>
      </c>
      <c r="AI2842">
        <v>1</v>
      </c>
      <c r="AJ2842">
        <f>SUM(Post[[#This Row],[47]:[75]])</f>
        <v>2</v>
      </c>
    </row>
    <row r="2843" spans="1:36" x14ac:dyDescent="0.2">
      <c r="A2843" t="s">
        <v>62</v>
      </c>
      <c r="B2843" t="s">
        <v>54</v>
      </c>
      <c r="C2843">
        <v>4349</v>
      </c>
      <c r="D2843" t="s">
        <v>7</v>
      </c>
      <c r="E2843" t="s">
        <v>32</v>
      </c>
      <c r="F2843" t="s">
        <v>33</v>
      </c>
      <c r="I2843">
        <v>3</v>
      </c>
      <c r="N2843">
        <v>1</v>
      </c>
      <c r="S2843">
        <v>1</v>
      </c>
      <c r="AJ2843">
        <f>SUM(Post[[#This Row],[47]:[75]])</f>
        <v>5</v>
      </c>
    </row>
    <row r="2844" spans="1:36" x14ac:dyDescent="0.2">
      <c r="A2844" t="s">
        <v>62</v>
      </c>
      <c r="B2844" t="s">
        <v>54</v>
      </c>
      <c r="C2844">
        <v>4349</v>
      </c>
      <c r="D2844" t="s">
        <v>7</v>
      </c>
      <c r="E2844" t="s">
        <v>14</v>
      </c>
      <c r="F2844" t="s">
        <v>19</v>
      </c>
      <c r="AJ2844">
        <f>SUM(Post[[#This Row],[47]:[75]])</f>
        <v>0</v>
      </c>
    </row>
    <row r="2845" spans="1:36" x14ac:dyDescent="0.2">
      <c r="A2845" t="s">
        <v>62</v>
      </c>
      <c r="B2845" t="s">
        <v>54</v>
      </c>
      <c r="C2845">
        <v>5578</v>
      </c>
      <c r="D2845" t="s">
        <v>7</v>
      </c>
      <c r="E2845" t="s">
        <v>14</v>
      </c>
      <c r="F2845" t="s">
        <v>20</v>
      </c>
      <c r="AJ2845">
        <f>SUM(Post[[#This Row],[47]:[75]])</f>
        <v>0</v>
      </c>
    </row>
    <row r="2846" spans="1:36" x14ac:dyDescent="0.2">
      <c r="A2846" t="s">
        <v>62</v>
      </c>
      <c r="B2846" t="s">
        <v>54</v>
      </c>
      <c r="C2846">
        <v>7634</v>
      </c>
      <c r="D2846" t="s">
        <v>7</v>
      </c>
      <c r="E2846" t="s">
        <v>14</v>
      </c>
      <c r="F2846" t="s">
        <v>31</v>
      </c>
      <c r="I2846">
        <v>1</v>
      </c>
      <c r="AJ2846">
        <f>SUM(Post[[#This Row],[47]:[75]])</f>
        <v>1</v>
      </c>
    </row>
    <row r="2847" spans="1:36" x14ac:dyDescent="0.2">
      <c r="A2847" t="s">
        <v>62</v>
      </c>
      <c r="B2847" t="s">
        <v>54</v>
      </c>
      <c r="C2847">
        <v>8006</v>
      </c>
      <c r="D2847" t="s">
        <v>7</v>
      </c>
      <c r="E2847" t="s">
        <v>8</v>
      </c>
      <c r="F2847" t="s">
        <v>29</v>
      </c>
      <c r="AJ2847">
        <f>SUM(Post[[#This Row],[47]:[75]])</f>
        <v>0</v>
      </c>
    </row>
    <row r="2848" spans="1:36" x14ac:dyDescent="0.2">
      <c r="A2848" t="s">
        <v>62</v>
      </c>
      <c r="B2848" t="s">
        <v>54</v>
      </c>
      <c r="C2848">
        <v>8417</v>
      </c>
      <c r="D2848" t="s">
        <v>7</v>
      </c>
      <c r="E2848" t="s">
        <v>8</v>
      </c>
      <c r="F2848" t="s">
        <v>23</v>
      </c>
      <c r="AJ2848">
        <f>SUM(Post[[#This Row],[47]:[75]])</f>
        <v>0</v>
      </c>
    </row>
    <row r="2849" spans="1:36" x14ac:dyDescent="0.2">
      <c r="A2849" t="s">
        <v>62</v>
      </c>
      <c r="B2849" t="s">
        <v>54</v>
      </c>
      <c r="C2849">
        <v>8417</v>
      </c>
      <c r="D2849" t="s">
        <v>7</v>
      </c>
      <c r="E2849" t="s">
        <v>8</v>
      </c>
      <c r="F2849" t="s">
        <v>29</v>
      </c>
      <c r="L2849">
        <v>1</v>
      </c>
      <c r="AC2849">
        <v>1</v>
      </c>
      <c r="AJ2849">
        <f>SUM(Post[[#This Row],[47]:[75]])</f>
        <v>2</v>
      </c>
    </row>
    <row r="2850" spans="1:36" x14ac:dyDescent="0.2">
      <c r="A2850" t="s">
        <v>62</v>
      </c>
      <c r="B2850" t="s">
        <v>54</v>
      </c>
      <c r="C2850">
        <v>8572</v>
      </c>
      <c r="D2850" t="s">
        <v>7</v>
      </c>
      <c r="E2850" t="s">
        <v>8</v>
      </c>
      <c r="F2850" t="s">
        <v>29</v>
      </c>
      <c r="P2850">
        <v>1</v>
      </c>
      <c r="AC2850">
        <v>1</v>
      </c>
      <c r="AJ2850">
        <f>SUM(Post[[#This Row],[47]:[75]])</f>
        <v>2</v>
      </c>
    </row>
    <row r="2851" spans="1:36" x14ac:dyDescent="0.2">
      <c r="A2851" t="s">
        <v>62</v>
      </c>
      <c r="B2851" t="s">
        <v>54</v>
      </c>
      <c r="C2851">
        <v>8897</v>
      </c>
      <c r="D2851" t="s">
        <v>7</v>
      </c>
      <c r="E2851" t="s">
        <v>14</v>
      </c>
      <c r="F2851" t="s">
        <v>20</v>
      </c>
      <c r="S2851">
        <v>1</v>
      </c>
      <c r="AA2851">
        <v>1</v>
      </c>
      <c r="AJ2851">
        <f>SUM(Post[[#This Row],[47]:[75]])</f>
        <v>2</v>
      </c>
    </row>
    <row r="2852" spans="1:36" x14ac:dyDescent="0.2">
      <c r="A2852" t="s">
        <v>62</v>
      </c>
      <c r="B2852" t="s">
        <v>54</v>
      </c>
      <c r="C2852">
        <v>9660</v>
      </c>
      <c r="D2852" t="s">
        <v>7</v>
      </c>
      <c r="E2852" t="s">
        <v>8</v>
      </c>
      <c r="F2852" t="s">
        <v>23</v>
      </c>
      <c r="Q2852">
        <v>1</v>
      </c>
      <c r="AF2852">
        <v>1</v>
      </c>
      <c r="AJ2852">
        <f>SUM(Post[[#This Row],[47]:[75]])</f>
        <v>2</v>
      </c>
    </row>
    <row r="2853" spans="1:36" x14ac:dyDescent="0.2">
      <c r="A2853" t="s">
        <v>62</v>
      </c>
      <c r="B2853" t="s">
        <v>54</v>
      </c>
      <c r="C2853">
        <v>10589</v>
      </c>
      <c r="D2853" t="s">
        <v>7</v>
      </c>
      <c r="E2853" t="s">
        <v>8</v>
      </c>
      <c r="F2853" t="s">
        <v>45</v>
      </c>
      <c r="H2853">
        <v>1</v>
      </c>
      <c r="U2853">
        <v>1</v>
      </c>
      <c r="AJ2853">
        <f>SUM(Post[[#This Row],[47]:[75]])</f>
        <v>2</v>
      </c>
    </row>
    <row r="2854" spans="1:36" x14ac:dyDescent="0.2">
      <c r="A2854" t="s">
        <v>62</v>
      </c>
      <c r="B2854" t="s">
        <v>54</v>
      </c>
      <c r="C2854">
        <v>11623</v>
      </c>
      <c r="D2854" t="s">
        <v>7</v>
      </c>
      <c r="E2854" t="s">
        <v>8</v>
      </c>
      <c r="F2854" t="s">
        <v>23</v>
      </c>
      <c r="R2854">
        <v>2</v>
      </c>
      <c r="AC2854">
        <v>2</v>
      </c>
      <c r="AD2854">
        <v>1</v>
      </c>
      <c r="AJ2854">
        <f>SUM(Post[[#This Row],[47]:[75]])</f>
        <v>5</v>
      </c>
    </row>
    <row r="2855" spans="1:36" x14ac:dyDescent="0.2">
      <c r="A2855" t="s">
        <v>62</v>
      </c>
      <c r="B2855" t="s">
        <v>54</v>
      </c>
      <c r="C2855">
        <v>13611</v>
      </c>
      <c r="D2855" t="s">
        <v>7</v>
      </c>
      <c r="E2855" t="s">
        <v>14</v>
      </c>
      <c r="F2855" t="s">
        <v>20</v>
      </c>
      <c r="AG2855">
        <v>1</v>
      </c>
      <c r="AJ2855">
        <f>SUM(Post[[#This Row],[47]:[75]])</f>
        <v>1</v>
      </c>
    </row>
    <row r="2856" spans="1:36" x14ac:dyDescent="0.2">
      <c r="A2856" t="s">
        <v>62</v>
      </c>
      <c r="B2856" t="s">
        <v>54</v>
      </c>
      <c r="C2856">
        <v>16663</v>
      </c>
      <c r="D2856" t="s">
        <v>7</v>
      </c>
      <c r="E2856" t="s">
        <v>12</v>
      </c>
      <c r="F2856" t="s">
        <v>13</v>
      </c>
      <c r="AJ2856">
        <f>SUM(Post[[#This Row],[47]:[75]])</f>
        <v>0</v>
      </c>
    </row>
    <row r="2857" spans="1:36" x14ac:dyDescent="0.2">
      <c r="A2857" t="s">
        <v>62</v>
      </c>
      <c r="B2857" t="s">
        <v>54</v>
      </c>
      <c r="C2857">
        <v>17188</v>
      </c>
      <c r="D2857" t="s">
        <v>7</v>
      </c>
      <c r="E2857" t="s">
        <v>8</v>
      </c>
      <c r="F2857" t="s">
        <v>23</v>
      </c>
      <c r="J2857">
        <v>1</v>
      </c>
      <c r="Y2857">
        <v>1</v>
      </c>
      <c r="AJ2857">
        <f>SUM(Post[[#This Row],[47]:[75]])</f>
        <v>2</v>
      </c>
    </row>
    <row r="2858" spans="1:36" x14ac:dyDescent="0.2">
      <c r="A2858" t="s">
        <v>62</v>
      </c>
      <c r="B2858" t="s">
        <v>54</v>
      </c>
      <c r="C2858">
        <v>23118</v>
      </c>
      <c r="D2858" t="s">
        <v>7</v>
      </c>
      <c r="E2858" t="s">
        <v>17</v>
      </c>
      <c r="F2858" t="s">
        <v>18</v>
      </c>
      <c r="AJ2858">
        <f>SUM(Post[[#This Row],[47]:[75]])</f>
        <v>0</v>
      </c>
    </row>
    <row r="2859" spans="1:36" x14ac:dyDescent="0.2">
      <c r="A2859" t="s">
        <v>62</v>
      </c>
      <c r="B2859" t="s">
        <v>54</v>
      </c>
      <c r="C2859">
        <v>25104</v>
      </c>
      <c r="D2859" t="s">
        <v>7</v>
      </c>
      <c r="E2859" t="s">
        <v>10</v>
      </c>
      <c r="F2859" t="s">
        <v>11</v>
      </c>
      <c r="AJ2859">
        <f>SUM(Post[[#This Row],[47]:[75]])</f>
        <v>0</v>
      </c>
    </row>
    <row r="2860" spans="1:36" x14ac:dyDescent="0.2">
      <c r="A2860" t="s">
        <v>62</v>
      </c>
      <c r="B2860" t="s">
        <v>54</v>
      </c>
      <c r="C2860">
        <v>25500</v>
      </c>
      <c r="D2860" t="s">
        <v>7</v>
      </c>
      <c r="E2860" t="s">
        <v>12</v>
      </c>
      <c r="F2860" t="s">
        <v>13</v>
      </c>
      <c r="AJ2860">
        <f>SUM(Post[[#This Row],[47]:[75]])</f>
        <v>0</v>
      </c>
    </row>
    <row r="2861" spans="1:36" x14ac:dyDescent="0.2">
      <c r="A2861" t="s">
        <v>62</v>
      </c>
      <c r="B2861" t="s">
        <v>54</v>
      </c>
      <c r="C2861">
        <v>183</v>
      </c>
      <c r="D2861" t="s">
        <v>22</v>
      </c>
      <c r="E2861" t="s">
        <v>10</v>
      </c>
      <c r="F2861" t="s">
        <v>11</v>
      </c>
      <c r="AC2861">
        <v>1</v>
      </c>
      <c r="AJ2861">
        <f>SUM(Post[[#This Row],[47]:[75]])</f>
        <v>1</v>
      </c>
    </row>
    <row r="2862" spans="1:36" x14ac:dyDescent="0.2">
      <c r="A2862" t="s">
        <v>62</v>
      </c>
      <c r="B2862" t="s">
        <v>54</v>
      </c>
      <c r="C2862">
        <v>183</v>
      </c>
      <c r="D2862" t="s">
        <v>22</v>
      </c>
      <c r="E2862" t="s">
        <v>14</v>
      </c>
      <c r="F2862" t="s">
        <v>20</v>
      </c>
      <c r="AD2862">
        <v>1</v>
      </c>
      <c r="AE2862">
        <v>2</v>
      </c>
      <c r="AF2862">
        <v>1</v>
      </c>
      <c r="AG2862">
        <v>1</v>
      </c>
      <c r="AH2862">
        <v>1</v>
      </c>
      <c r="AI2862">
        <v>1</v>
      </c>
      <c r="AJ2862">
        <f>SUM(Post[[#This Row],[47]:[75]])</f>
        <v>7</v>
      </c>
    </row>
    <row r="2863" spans="1:36" x14ac:dyDescent="0.2">
      <c r="A2863" t="s">
        <v>62</v>
      </c>
      <c r="B2863" t="s">
        <v>54</v>
      </c>
      <c r="C2863">
        <v>528</v>
      </c>
      <c r="D2863" t="s">
        <v>22</v>
      </c>
      <c r="E2863" t="s">
        <v>8</v>
      </c>
      <c r="F2863" t="s">
        <v>23</v>
      </c>
      <c r="P2863">
        <v>1</v>
      </c>
      <c r="AC2863">
        <v>1</v>
      </c>
      <c r="AJ2863">
        <f>SUM(Post[[#This Row],[47]:[75]])</f>
        <v>2</v>
      </c>
    </row>
    <row r="2864" spans="1:36" x14ac:dyDescent="0.2">
      <c r="A2864" t="s">
        <v>62</v>
      </c>
      <c r="B2864" t="s">
        <v>54</v>
      </c>
      <c r="C2864">
        <v>806</v>
      </c>
      <c r="D2864" t="s">
        <v>22</v>
      </c>
      <c r="E2864" t="s">
        <v>14</v>
      </c>
      <c r="F2864" t="s">
        <v>20</v>
      </c>
      <c r="I2864">
        <v>1</v>
      </c>
      <c r="AH2864">
        <v>1</v>
      </c>
      <c r="AJ2864">
        <f>SUM(Post[[#This Row],[47]:[75]])</f>
        <v>2</v>
      </c>
    </row>
    <row r="2865" spans="1:36" x14ac:dyDescent="0.2">
      <c r="A2865" t="s">
        <v>62</v>
      </c>
      <c r="B2865" t="s">
        <v>54</v>
      </c>
      <c r="C2865">
        <v>851</v>
      </c>
      <c r="D2865" t="s">
        <v>22</v>
      </c>
      <c r="E2865" t="s">
        <v>10</v>
      </c>
      <c r="F2865" t="s">
        <v>11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f>SUM(Post[[#This Row],[47]:[75]])</f>
        <v>11</v>
      </c>
    </row>
    <row r="2866" spans="1:36" x14ac:dyDescent="0.2">
      <c r="A2866" t="s">
        <v>62</v>
      </c>
      <c r="B2866" t="s">
        <v>54</v>
      </c>
      <c r="C2866">
        <v>851</v>
      </c>
      <c r="D2866" t="s">
        <v>22</v>
      </c>
      <c r="E2866" t="s">
        <v>14</v>
      </c>
      <c r="F2866" t="s">
        <v>20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AJ2866">
        <f>SUM(Post[[#This Row],[47]:[75]])</f>
        <v>18</v>
      </c>
    </row>
    <row r="2867" spans="1:36" x14ac:dyDescent="0.2">
      <c r="A2867" t="s">
        <v>62</v>
      </c>
      <c r="B2867" t="s">
        <v>54</v>
      </c>
      <c r="C2867">
        <v>873</v>
      </c>
      <c r="D2867" t="s">
        <v>22</v>
      </c>
      <c r="E2867" t="s">
        <v>8</v>
      </c>
      <c r="F2867" t="s">
        <v>29</v>
      </c>
      <c r="H2867">
        <v>1</v>
      </c>
      <c r="W2867">
        <v>1</v>
      </c>
      <c r="AJ2867">
        <f>SUM(Post[[#This Row],[47]:[75]])</f>
        <v>2</v>
      </c>
    </row>
    <row r="2868" spans="1:36" x14ac:dyDescent="0.2">
      <c r="A2868" t="s">
        <v>62</v>
      </c>
      <c r="B2868" t="s">
        <v>54</v>
      </c>
      <c r="C2868">
        <v>1348</v>
      </c>
      <c r="D2868" t="s">
        <v>22</v>
      </c>
      <c r="E2868" t="s">
        <v>8</v>
      </c>
      <c r="F2868" t="s">
        <v>23</v>
      </c>
      <c r="H2868">
        <v>1</v>
      </c>
      <c r="I2868">
        <v>1</v>
      </c>
      <c r="N2868">
        <v>2</v>
      </c>
      <c r="R2868">
        <v>2</v>
      </c>
      <c r="V2868">
        <v>1</v>
      </c>
      <c r="Z2868">
        <v>1</v>
      </c>
      <c r="AD2868">
        <v>1</v>
      </c>
      <c r="AH2868">
        <v>1</v>
      </c>
      <c r="AJ2868">
        <f>SUM(Post[[#This Row],[47]:[75]])</f>
        <v>10</v>
      </c>
    </row>
    <row r="2869" spans="1:36" x14ac:dyDescent="0.2">
      <c r="A2869" t="s">
        <v>62</v>
      </c>
      <c r="B2869" t="s">
        <v>54</v>
      </c>
      <c r="C2869">
        <v>1998</v>
      </c>
      <c r="D2869" t="s">
        <v>22</v>
      </c>
      <c r="E2869" t="s">
        <v>8</v>
      </c>
      <c r="F2869" t="s">
        <v>23</v>
      </c>
      <c r="H2869">
        <v>1</v>
      </c>
      <c r="AG2869">
        <v>1</v>
      </c>
      <c r="AJ2869">
        <f>SUM(Post[[#This Row],[47]:[75]])</f>
        <v>2</v>
      </c>
    </row>
    <row r="2870" spans="1:36" x14ac:dyDescent="0.2">
      <c r="A2870" t="s">
        <v>62</v>
      </c>
      <c r="B2870" t="s">
        <v>54</v>
      </c>
      <c r="C2870">
        <v>2194</v>
      </c>
      <c r="D2870" t="s">
        <v>22</v>
      </c>
      <c r="E2870" t="s">
        <v>8</v>
      </c>
      <c r="F2870" t="s">
        <v>23</v>
      </c>
      <c r="J2870">
        <v>1</v>
      </c>
      <c r="O2870">
        <v>1</v>
      </c>
      <c r="S2870">
        <v>1</v>
      </c>
      <c r="W2870">
        <v>1</v>
      </c>
      <c r="AA2870">
        <v>1</v>
      </c>
      <c r="AG2870">
        <v>1</v>
      </c>
      <c r="AJ2870">
        <f>SUM(Post[[#This Row],[47]:[75]])</f>
        <v>6</v>
      </c>
    </row>
    <row r="2871" spans="1:36" x14ac:dyDescent="0.2">
      <c r="A2871" t="s">
        <v>62</v>
      </c>
      <c r="B2871" t="s">
        <v>54</v>
      </c>
      <c r="C2871">
        <v>3746</v>
      </c>
      <c r="D2871" t="s">
        <v>22</v>
      </c>
      <c r="E2871" t="s">
        <v>8</v>
      </c>
      <c r="F2871" t="s">
        <v>23</v>
      </c>
      <c r="Q2871">
        <v>2</v>
      </c>
      <c r="AJ2871">
        <f>SUM(Post[[#This Row],[47]:[75]])</f>
        <v>2</v>
      </c>
    </row>
    <row r="2872" spans="1:36" x14ac:dyDescent="0.2">
      <c r="A2872" t="s">
        <v>62</v>
      </c>
      <c r="B2872" t="s">
        <v>54</v>
      </c>
      <c r="C2872">
        <v>4414</v>
      </c>
      <c r="D2872" t="s">
        <v>22</v>
      </c>
      <c r="E2872" t="s">
        <v>8</v>
      </c>
      <c r="F2872" t="s">
        <v>29</v>
      </c>
      <c r="I2872">
        <v>1</v>
      </c>
      <c r="X2872">
        <v>1</v>
      </c>
      <c r="AJ2872">
        <f>SUM(Post[[#This Row],[47]:[75]])</f>
        <v>2</v>
      </c>
    </row>
    <row r="2873" spans="1:36" x14ac:dyDescent="0.2">
      <c r="A2873" t="s">
        <v>62</v>
      </c>
      <c r="B2873" t="s">
        <v>54</v>
      </c>
      <c r="C2873">
        <v>4723</v>
      </c>
      <c r="D2873" t="s">
        <v>22</v>
      </c>
      <c r="E2873" t="s">
        <v>8</v>
      </c>
      <c r="F2873" t="s">
        <v>29</v>
      </c>
      <c r="AJ2873">
        <f>SUM(Post[[#This Row],[47]:[75]])</f>
        <v>0</v>
      </c>
    </row>
    <row r="2874" spans="1:36" x14ac:dyDescent="0.2">
      <c r="A2874" t="s">
        <v>62</v>
      </c>
      <c r="B2874" t="s">
        <v>54</v>
      </c>
      <c r="C2874">
        <v>4813</v>
      </c>
      <c r="D2874" t="s">
        <v>22</v>
      </c>
      <c r="E2874" t="s">
        <v>8</v>
      </c>
      <c r="F2874" t="s">
        <v>23</v>
      </c>
      <c r="J2874">
        <v>1</v>
      </c>
      <c r="R2874">
        <v>1</v>
      </c>
      <c r="AG2874">
        <v>1</v>
      </c>
      <c r="AJ2874">
        <f>SUM(Post[[#This Row],[47]:[75]])</f>
        <v>3</v>
      </c>
    </row>
    <row r="2875" spans="1:36" x14ac:dyDescent="0.2">
      <c r="A2875" t="s">
        <v>62</v>
      </c>
      <c r="B2875" t="s">
        <v>54</v>
      </c>
      <c r="C2875">
        <v>5247</v>
      </c>
      <c r="D2875" t="s">
        <v>22</v>
      </c>
      <c r="E2875" t="s">
        <v>8</v>
      </c>
      <c r="F2875" t="s">
        <v>23</v>
      </c>
      <c r="AJ2875">
        <f>SUM(Post[[#This Row],[47]:[75]])</f>
        <v>0</v>
      </c>
    </row>
    <row r="2876" spans="1:36" x14ac:dyDescent="0.2">
      <c r="A2876" t="s">
        <v>62</v>
      </c>
      <c r="B2876" t="s">
        <v>54</v>
      </c>
      <c r="C2876">
        <v>5999</v>
      </c>
      <c r="D2876" t="s">
        <v>22</v>
      </c>
      <c r="E2876" t="s">
        <v>8</v>
      </c>
      <c r="F2876" t="s">
        <v>23</v>
      </c>
      <c r="L2876">
        <v>1</v>
      </c>
      <c r="AC2876">
        <v>1</v>
      </c>
      <c r="AJ2876">
        <f>SUM(Post[[#This Row],[47]:[75]])</f>
        <v>2</v>
      </c>
    </row>
    <row r="2877" spans="1:36" x14ac:dyDescent="0.2">
      <c r="A2877" t="s">
        <v>62</v>
      </c>
      <c r="B2877" t="s">
        <v>54</v>
      </c>
      <c r="C2877">
        <v>6181</v>
      </c>
      <c r="D2877" t="s">
        <v>22</v>
      </c>
      <c r="E2877" t="s">
        <v>14</v>
      </c>
      <c r="F2877" t="s">
        <v>20</v>
      </c>
      <c r="H2877">
        <v>1</v>
      </c>
      <c r="AD2877">
        <v>1</v>
      </c>
      <c r="AE2877">
        <v>2</v>
      </c>
      <c r="AJ2877">
        <f>SUM(Post[[#This Row],[47]:[75]])</f>
        <v>4</v>
      </c>
    </row>
    <row r="2878" spans="1:36" x14ac:dyDescent="0.2">
      <c r="A2878" t="s">
        <v>62</v>
      </c>
      <c r="B2878" t="s">
        <v>54</v>
      </c>
      <c r="C2878">
        <v>6226</v>
      </c>
      <c r="D2878" t="s">
        <v>22</v>
      </c>
      <c r="E2878" t="s">
        <v>8</v>
      </c>
      <c r="F2878" t="s">
        <v>23</v>
      </c>
      <c r="O2878">
        <v>1</v>
      </c>
      <c r="AD2878">
        <v>1</v>
      </c>
      <c r="AJ2878">
        <f>SUM(Post[[#This Row],[47]:[75]])</f>
        <v>2</v>
      </c>
    </row>
    <row r="2879" spans="1:36" x14ac:dyDescent="0.2">
      <c r="A2879" t="s">
        <v>62</v>
      </c>
      <c r="B2879" t="s">
        <v>54</v>
      </c>
      <c r="C2879">
        <v>6303</v>
      </c>
      <c r="D2879" t="s">
        <v>22</v>
      </c>
      <c r="E2879" t="s">
        <v>8</v>
      </c>
      <c r="F2879" t="s">
        <v>29</v>
      </c>
      <c r="L2879">
        <v>1</v>
      </c>
      <c r="AB2879">
        <v>1</v>
      </c>
      <c r="AJ2879">
        <f>SUM(Post[[#This Row],[47]:[75]])</f>
        <v>2</v>
      </c>
    </row>
    <row r="2880" spans="1:36" x14ac:dyDescent="0.2">
      <c r="A2880" t="s">
        <v>62</v>
      </c>
      <c r="B2880" t="s">
        <v>54</v>
      </c>
      <c r="C2880">
        <v>6549</v>
      </c>
      <c r="D2880" t="s">
        <v>22</v>
      </c>
      <c r="E2880" t="s">
        <v>8</v>
      </c>
      <c r="F2880" t="s">
        <v>23</v>
      </c>
      <c r="L2880">
        <v>1</v>
      </c>
      <c r="Z2880">
        <v>1</v>
      </c>
      <c r="AJ2880">
        <f>SUM(Post[[#This Row],[47]:[75]])</f>
        <v>2</v>
      </c>
    </row>
    <row r="2881" spans="1:36" x14ac:dyDescent="0.2">
      <c r="A2881" t="s">
        <v>62</v>
      </c>
      <c r="B2881" t="s">
        <v>54</v>
      </c>
      <c r="C2881">
        <v>7346</v>
      </c>
      <c r="D2881" t="s">
        <v>22</v>
      </c>
      <c r="E2881" t="s">
        <v>10</v>
      </c>
      <c r="F2881" t="s">
        <v>36</v>
      </c>
      <c r="G2881">
        <v>1</v>
      </c>
      <c r="Y2881">
        <v>1</v>
      </c>
      <c r="AJ2881">
        <f>SUM(Post[[#This Row],[47]:[75]])</f>
        <v>2</v>
      </c>
    </row>
    <row r="2882" spans="1:36" x14ac:dyDescent="0.2">
      <c r="A2882" t="s">
        <v>62</v>
      </c>
      <c r="B2882" t="s">
        <v>54</v>
      </c>
      <c r="C2882">
        <v>7415</v>
      </c>
      <c r="D2882" t="s">
        <v>22</v>
      </c>
      <c r="E2882" t="s">
        <v>8</v>
      </c>
      <c r="F2882" t="s">
        <v>29</v>
      </c>
      <c r="K2882">
        <v>1</v>
      </c>
      <c r="AJ2882">
        <f>SUM(Post[[#This Row],[47]:[75]])</f>
        <v>1</v>
      </c>
    </row>
    <row r="2883" spans="1:36" x14ac:dyDescent="0.2">
      <c r="A2883" t="s">
        <v>62</v>
      </c>
      <c r="B2883" t="s">
        <v>54</v>
      </c>
      <c r="C2883">
        <v>7442</v>
      </c>
      <c r="D2883" t="s">
        <v>22</v>
      </c>
      <c r="E2883" t="s">
        <v>14</v>
      </c>
      <c r="F2883" t="s">
        <v>35</v>
      </c>
      <c r="AJ2883">
        <f>SUM(Post[[#This Row],[47]:[75]])</f>
        <v>0</v>
      </c>
    </row>
    <row r="2884" spans="1:36" x14ac:dyDescent="0.2">
      <c r="A2884" t="s">
        <v>62</v>
      </c>
      <c r="B2884" t="s">
        <v>54</v>
      </c>
      <c r="C2884">
        <v>7603</v>
      </c>
      <c r="D2884" t="s">
        <v>22</v>
      </c>
      <c r="E2884" t="s">
        <v>8</v>
      </c>
      <c r="F2884" t="s">
        <v>23</v>
      </c>
      <c r="AJ2884">
        <f>SUM(Post[[#This Row],[47]:[75]])</f>
        <v>0</v>
      </c>
    </row>
    <row r="2885" spans="1:36" x14ac:dyDescent="0.2">
      <c r="A2885" t="s">
        <v>62</v>
      </c>
      <c r="B2885" t="s">
        <v>54</v>
      </c>
      <c r="C2885">
        <v>7623</v>
      </c>
      <c r="D2885" t="s">
        <v>22</v>
      </c>
      <c r="E2885" t="s">
        <v>8</v>
      </c>
      <c r="F2885" t="s">
        <v>23</v>
      </c>
      <c r="L2885">
        <v>1</v>
      </c>
      <c r="AJ2885">
        <f>SUM(Post[[#This Row],[47]:[75]])</f>
        <v>1</v>
      </c>
    </row>
    <row r="2886" spans="1:36" x14ac:dyDescent="0.2">
      <c r="A2886" t="s">
        <v>62</v>
      </c>
      <c r="B2886" t="s">
        <v>54</v>
      </c>
      <c r="C2886">
        <v>7633</v>
      </c>
      <c r="D2886" t="s">
        <v>22</v>
      </c>
      <c r="E2886" t="s">
        <v>8</v>
      </c>
      <c r="F2886" t="s">
        <v>9</v>
      </c>
      <c r="L2886">
        <v>1</v>
      </c>
      <c r="AA2886">
        <v>1</v>
      </c>
      <c r="AJ2886">
        <f>SUM(Post[[#This Row],[47]:[75]])</f>
        <v>2</v>
      </c>
    </row>
    <row r="2887" spans="1:36" x14ac:dyDescent="0.2">
      <c r="A2887" t="s">
        <v>62</v>
      </c>
      <c r="B2887" t="s">
        <v>54</v>
      </c>
      <c r="C2887">
        <v>7771</v>
      </c>
      <c r="D2887" t="s">
        <v>22</v>
      </c>
      <c r="E2887" t="s">
        <v>8</v>
      </c>
      <c r="F2887" t="s">
        <v>23</v>
      </c>
      <c r="N2887">
        <v>1</v>
      </c>
      <c r="AD2887">
        <v>1</v>
      </c>
      <c r="AJ2887">
        <f>SUM(Post[[#This Row],[47]:[75]])</f>
        <v>2</v>
      </c>
    </row>
    <row r="2888" spans="1:36" x14ac:dyDescent="0.2">
      <c r="A2888" t="s">
        <v>62</v>
      </c>
      <c r="B2888" t="s">
        <v>54</v>
      </c>
      <c r="C2888">
        <v>7827</v>
      </c>
      <c r="D2888" t="s">
        <v>22</v>
      </c>
      <c r="E2888" t="s">
        <v>8</v>
      </c>
      <c r="F2888" t="s">
        <v>23</v>
      </c>
      <c r="H2888">
        <v>1</v>
      </c>
      <c r="L2888">
        <v>1</v>
      </c>
      <c r="Q2888">
        <v>1</v>
      </c>
      <c r="U2888">
        <v>1</v>
      </c>
      <c r="Y2888">
        <v>1</v>
      </c>
      <c r="AC2888">
        <v>1</v>
      </c>
      <c r="AF2888">
        <v>1</v>
      </c>
      <c r="AJ2888">
        <f>SUM(Post[[#This Row],[47]:[75]])</f>
        <v>7</v>
      </c>
    </row>
    <row r="2889" spans="1:36" x14ac:dyDescent="0.2">
      <c r="A2889" t="s">
        <v>62</v>
      </c>
      <c r="B2889" t="s">
        <v>54</v>
      </c>
      <c r="C2889">
        <v>7852</v>
      </c>
      <c r="D2889" t="s">
        <v>22</v>
      </c>
      <c r="E2889" t="s">
        <v>8</v>
      </c>
      <c r="F2889" t="s">
        <v>23</v>
      </c>
      <c r="I2889">
        <v>1</v>
      </c>
      <c r="X2889">
        <v>1</v>
      </c>
      <c r="AJ2889">
        <f>SUM(Post[[#This Row],[47]:[75]])</f>
        <v>2</v>
      </c>
    </row>
    <row r="2890" spans="1:36" x14ac:dyDescent="0.2">
      <c r="A2890" t="s">
        <v>62</v>
      </c>
      <c r="B2890" t="s">
        <v>54</v>
      </c>
      <c r="C2890">
        <v>8041</v>
      </c>
      <c r="D2890" t="s">
        <v>22</v>
      </c>
      <c r="E2890" t="s">
        <v>8</v>
      </c>
      <c r="F2890" t="s">
        <v>29</v>
      </c>
      <c r="K2890">
        <v>1</v>
      </c>
      <c r="AA2890">
        <v>1</v>
      </c>
      <c r="AJ2890">
        <f>SUM(Post[[#This Row],[47]:[75]])</f>
        <v>2</v>
      </c>
    </row>
    <row r="2891" spans="1:36" x14ac:dyDescent="0.2">
      <c r="A2891" t="s">
        <v>62</v>
      </c>
      <c r="B2891" t="s">
        <v>54</v>
      </c>
      <c r="C2891">
        <v>8161</v>
      </c>
      <c r="D2891" t="s">
        <v>22</v>
      </c>
      <c r="E2891" t="s">
        <v>10</v>
      </c>
      <c r="F2891" t="s">
        <v>11</v>
      </c>
      <c r="S2891">
        <v>1</v>
      </c>
      <c r="AH2891">
        <v>1</v>
      </c>
      <c r="AJ2891">
        <f>SUM(Post[[#This Row],[47]:[75]])</f>
        <v>2</v>
      </c>
    </row>
    <row r="2892" spans="1:36" x14ac:dyDescent="0.2">
      <c r="A2892" t="s">
        <v>62</v>
      </c>
      <c r="B2892" t="s">
        <v>54</v>
      </c>
      <c r="C2892">
        <v>10301</v>
      </c>
      <c r="D2892" t="s">
        <v>22</v>
      </c>
      <c r="E2892" t="s">
        <v>8</v>
      </c>
      <c r="F2892" t="s">
        <v>23</v>
      </c>
      <c r="I2892">
        <v>1</v>
      </c>
      <c r="U2892">
        <v>1</v>
      </c>
      <c r="AG2892">
        <v>1</v>
      </c>
      <c r="AJ2892">
        <f>SUM(Post[[#This Row],[47]:[75]])</f>
        <v>3</v>
      </c>
    </row>
    <row r="2893" spans="1:36" x14ac:dyDescent="0.2">
      <c r="A2893" t="s">
        <v>62</v>
      </c>
      <c r="B2893" t="s">
        <v>54</v>
      </c>
      <c r="C2893">
        <v>11178</v>
      </c>
      <c r="D2893" t="s">
        <v>22</v>
      </c>
      <c r="E2893" t="s">
        <v>8</v>
      </c>
      <c r="F2893" t="s">
        <v>23</v>
      </c>
      <c r="Q2893">
        <v>1</v>
      </c>
      <c r="AD2893">
        <v>1</v>
      </c>
      <c r="AJ2893">
        <f>SUM(Post[[#This Row],[47]:[75]])</f>
        <v>2</v>
      </c>
    </row>
    <row r="2894" spans="1:36" x14ac:dyDescent="0.2">
      <c r="A2894" t="s">
        <v>62</v>
      </c>
      <c r="B2894" t="s">
        <v>54</v>
      </c>
      <c r="C2894">
        <v>11179</v>
      </c>
      <c r="D2894" t="s">
        <v>22</v>
      </c>
      <c r="E2894" t="s">
        <v>14</v>
      </c>
      <c r="F2894" t="s">
        <v>20</v>
      </c>
      <c r="AJ2894">
        <f>SUM(Post[[#This Row],[47]:[75]])</f>
        <v>0</v>
      </c>
    </row>
    <row r="2895" spans="1:36" x14ac:dyDescent="0.2">
      <c r="A2895" t="s">
        <v>62</v>
      </c>
      <c r="B2895" t="s">
        <v>54</v>
      </c>
      <c r="C2895">
        <v>11249</v>
      </c>
      <c r="D2895" t="s">
        <v>22</v>
      </c>
      <c r="E2895" t="s">
        <v>14</v>
      </c>
      <c r="F2895" t="s">
        <v>20</v>
      </c>
      <c r="O2895">
        <v>1</v>
      </c>
      <c r="T2895">
        <v>1</v>
      </c>
      <c r="Y2895">
        <v>1</v>
      </c>
      <c r="AD2895">
        <v>1</v>
      </c>
      <c r="AI2895">
        <v>2</v>
      </c>
      <c r="AJ2895">
        <f>SUM(Post[[#This Row],[47]:[75]])</f>
        <v>6</v>
      </c>
    </row>
    <row r="2896" spans="1:36" x14ac:dyDescent="0.2">
      <c r="A2896" t="s">
        <v>62</v>
      </c>
      <c r="B2896" t="s">
        <v>54</v>
      </c>
      <c r="C2896">
        <v>11652</v>
      </c>
      <c r="D2896" t="s">
        <v>22</v>
      </c>
      <c r="E2896" t="s">
        <v>8</v>
      </c>
      <c r="F2896" t="s">
        <v>23</v>
      </c>
      <c r="G2896">
        <v>1</v>
      </c>
      <c r="X2896">
        <v>1</v>
      </c>
      <c r="AC2896">
        <v>1</v>
      </c>
      <c r="AJ2896">
        <f>SUM(Post[[#This Row],[47]:[75]])</f>
        <v>3</v>
      </c>
    </row>
    <row r="2897" spans="1:36" x14ac:dyDescent="0.2">
      <c r="A2897" t="s">
        <v>62</v>
      </c>
      <c r="B2897" t="s">
        <v>54</v>
      </c>
      <c r="C2897">
        <v>13461</v>
      </c>
      <c r="D2897" t="s">
        <v>22</v>
      </c>
      <c r="E2897" t="s">
        <v>10</v>
      </c>
      <c r="F2897" t="s">
        <v>11</v>
      </c>
      <c r="AJ2897">
        <f>SUM(Post[[#This Row],[47]:[75]])</f>
        <v>0</v>
      </c>
    </row>
    <row r="2898" spans="1:36" x14ac:dyDescent="0.2">
      <c r="A2898" t="s">
        <v>62</v>
      </c>
      <c r="B2898" t="s">
        <v>54</v>
      </c>
      <c r="C2898">
        <v>13646</v>
      </c>
      <c r="D2898" t="s">
        <v>22</v>
      </c>
      <c r="E2898" t="s">
        <v>8</v>
      </c>
      <c r="F2898" t="s">
        <v>23</v>
      </c>
      <c r="G2898">
        <v>1</v>
      </c>
      <c r="P2898">
        <v>1</v>
      </c>
      <c r="Z2898">
        <v>1</v>
      </c>
      <c r="AH2898">
        <v>1</v>
      </c>
      <c r="AJ2898">
        <f>SUM(Post[[#This Row],[47]:[75]])</f>
        <v>4</v>
      </c>
    </row>
    <row r="2899" spans="1:36" x14ac:dyDescent="0.2">
      <c r="A2899" t="s">
        <v>62</v>
      </c>
      <c r="B2899" t="s">
        <v>54</v>
      </c>
      <c r="C2899">
        <v>14616</v>
      </c>
      <c r="D2899" t="s">
        <v>22</v>
      </c>
      <c r="E2899" t="s">
        <v>8</v>
      </c>
      <c r="F2899" t="s">
        <v>23</v>
      </c>
      <c r="AJ2899">
        <f>SUM(Post[[#This Row],[47]:[75]])</f>
        <v>0</v>
      </c>
    </row>
    <row r="2900" spans="1:36" x14ac:dyDescent="0.2">
      <c r="A2900" t="s">
        <v>62</v>
      </c>
      <c r="B2900" t="s">
        <v>54</v>
      </c>
      <c r="C2900">
        <v>14647</v>
      </c>
      <c r="D2900" t="s">
        <v>22</v>
      </c>
      <c r="E2900" t="s">
        <v>8</v>
      </c>
      <c r="F2900" t="s">
        <v>9</v>
      </c>
      <c r="I2900">
        <v>3</v>
      </c>
      <c r="V2900">
        <v>1</v>
      </c>
      <c r="AI2900">
        <v>1</v>
      </c>
      <c r="AJ2900">
        <f>SUM(Post[[#This Row],[47]:[75]])</f>
        <v>5</v>
      </c>
    </row>
    <row r="2901" spans="1:36" x14ac:dyDescent="0.2">
      <c r="A2901" t="s">
        <v>62</v>
      </c>
      <c r="B2901" t="s">
        <v>54</v>
      </c>
      <c r="C2901">
        <v>16468</v>
      </c>
      <c r="D2901" t="s">
        <v>22</v>
      </c>
      <c r="E2901" t="s">
        <v>8</v>
      </c>
      <c r="F2901" t="s">
        <v>23</v>
      </c>
      <c r="G2901">
        <v>1</v>
      </c>
      <c r="H2901">
        <v>1</v>
      </c>
      <c r="AB2901">
        <v>1</v>
      </c>
      <c r="AJ2901">
        <f>SUM(Post[[#This Row],[47]:[75]])</f>
        <v>3</v>
      </c>
    </row>
    <row r="2902" spans="1:36" x14ac:dyDescent="0.2">
      <c r="A2902" t="s">
        <v>62</v>
      </c>
      <c r="B2902" t="s">
        <v>54</v>
      </c>
      <c r="C2902">
        <v>17022</v>
      </c>
      <c r="D2902" t="s">
        <v>22</v>
      </c>
      <c r="E2902" t="s">
        <v>8</v>
      </c>
      <c r="F2902" t="s">
        <v>23</v>
      </c>
      <c r="H2902">
        <v>1</v>
      </c>
      <c r="N2902">
        <v>1</v>
      </c>
      <c r="R2902">
        <v>1</v>
      </c>
      <c r="V2902">
        <v>3</v>
      </c>
      <c r="Z2902">
        <v>1</v>
      </c>
      <c r="AE2902">
        <v>1</v>
      </c>
      <c r="AJ2902">
        <f>SUM(Post[[#This Row],[47]:[75]])</f>
        <v>8</v>
      </c>
    </row>
    <row r="2903" spans="1:36" x14ac:dyDescent="0.2">
      <c r="A2903" t="s">
        <v>62</v>
      </c>
      <c r="B2903" t="s">
        <v>54</v>
      </c>
      <c r="C2903">
        <v>18276</v>
      </c>
      <c r="D2903" t="s">
        <v>22</v>
      </c>
      <c r="E2903" t="s">
        <v>14</v>
      </c>
      <c r="F2903" t="s">
        <v>20</v>
      </c>
      <c r="AJ2903">
        <f>SUM(Post[[#This Row],[47]:[75]])</f>
        <v>0</v>
      </c>
    </row>
    <row r="2904" spans="1:36" x14ac:dyDescent="0.2">
      <c r="A2904" t="s">
        <v>62</v>
      </c>
      <c r="B2904" t="s">
        <v>54</v>
      </c>
      <c r="C2904">
        <v>19073</v>
      </c>
      <c r="D2904" t="s">
        <v>22</v>
      </c>
      <c r="E2904" t="s">
        <v>8</v>
      </c>
      <c r="F2904" t="s">
        <v>45</v>
      </c>
      <c r="AJ2904">
        <f>SUM(Post[[#This Row],[47]:[75]])</f>
        <v>0</v>
      </c>
    </row>
    <row r="2905" spans="1:36" x14ac:dyDescent="0.2">
      <c r="A2905" t="s">
        <v>62</v>
      </c>
      <c r="B2905" t="s">
        <v>54</v>
      </c>
      <c r="C2905">
        <v>19659</v>
      </c>
      <c r="D2905" t="s">
        <v>22</v>
      </c>
      <c r="E2905" t="s">
        <v>8</v>
      </c>
      <c r="F2905" t="s">
        <v>29</v>
      </c>
      <c r="J2905">
        <v>1</v>
      </c>
      <c r="X2905">
        <v>1</v>
      </c>
      <c r="AJ2905">
        <f>SUM(Post[[#This Row],[47]:[75]])</f>
        <v>2</v>
      </c>
    </row>
    <row r="2906" spans="1:36" x14ac:dyDescent="0.2">
      <c r="A2906" t="s">
        <v>62</v>
      </c>
      <c r="B2906" t="s">
        <v>54</v>
      </c>
      <c r="C2906">
        <v>27386</v>
      </c>
      <c r="D2906" t="s">
        <v>22</v>
      </c>
      <c r="E2906" t="s">
        <v>14</v>
      </c>
      <c r="F2906" t="s">
        <v>31</v>
      </c>
      <c r="J2906">
        <v>2</v>
      </c>
      <c r="Y2906">
        <v>1</v>
      </c>
      <c r="AC2906">
        <v>1</v>
      </c>
      <c r="AJ2906">
        <f>SUM(Post[[#This Row],[47]:[75]])</f>
        <v>4</v>
      </c>
    </row>
    <row r="2907" spans="1:36" x14ac:dyDescent="0.2">
      <c r="A2907" t="s">
        <v>62</v>
      </c>
      <c r="B2907" t="s">
        <v>54</v>
      </c>
      <c r="C2907">
        <v>28872</v>
      </c>
      <c r="D2907" t="s">
        <v>22</v>
      </c>
      <c r="E2907" t="s">
        <v>10</v>
      </c>
      <c r="F2907" t="s">
        <v>16</v>
      </c>
      <c r="AJ2907">
        <f>SUM(Post[[#This Row],[47]:[75]])</f>
        <v>0</v>
      </c>
    </row>
    <row r="2908" spans="1:36" x14ac:dyDescent="0.2">
      <c r="A2908" t="s">
        <v>62</v>
      </c>
      <c r="B2908" t="s">
        <v>54</v>
      </c>
      <c r="C2908">
        <v>30943</v>
      </c>
      <c r="D2908" t="s">
        <v>22</v>
      </c>
      <c r="E2908" t="s">
        <v>14</v>
      </c>
      <c r="F2908" t="s">
        <v>20</v>
      </c>
      <c r="I2908">
        <v>1</v>
      </c>
      <c r="R2908">
        <v>1</v>
      </c>
      <c r="AJ2908">
        <f>SUM(Post[[#This Row],[47]:[75]])</f>
        <v>2</v>
      </c>
    </row>
    <row r="2909" spans="1:36" x14ac:dyDescent="0.2">
      <c r="A2909" t="s">
        <v>62</v>
      </c>
      <c r="B2909" t="s">
        <v>54</v>
      </c>
      <c r="C2909">
        <v>32550</v>
      </c>
      <c r="D2909" t="s">
        <v>22</v>
      </c>
      <c r="E2909" t="s">
        <v>8</v>
      </c>
      <c r="F2909" t="s">
        <v>23</v>
      </c>
      <c r="H2909">
        <v>1</v>
      </c>
      <c r="Y2909">
        <v>1</v>
      </c>
      <c r="AJ2909">
        <f>SUM(Post[[#This Row],[47]:[75]])</f>
        <v>2</v>
      </c>
    </row>
    <row r="2910" spans="1:36" x14ac:dyDescent="0.2">
      <c r="A2910" t="s">
        <v>62</v>
      </c>
      <c r="B2910" t="s">
        <v>54</v>
      </c>
      <c r="C2910">
        <v>32894</v>
      </c>
      <c r="D2910" t="s">
        <v>22</v>
      </c>
      <c r="E2910" t="s">
        <v>8</v>
      </c>
      <c r="F2910" t="s">
        <v>23</v>
      </c>
      <c r="G2910">
        <v>1</v>
      </c>
      <c r="U2910">
        <v>1</v>
      </c>
      <c r="AG2910">
        <v>1</v>
      </c>
      <c r="AJ2910">
        <f>SUM(Post[[#This Row],[47]:[75]])</f>
        <v>3</v>
      </c>
    </row>
    <row r="2911" spans="1:36" x14ac:dyDescent="0.2">
      <c r="A2911" t="s">
        <v>62</v>
      </c>
      <c r="B2911" t="s">
        <v>54</v>
      </c>
      <c r="C2911">
        <v>33115</v>
      </c>
      <c r="D2911" t="s">
        <v>22</v>
      </c>
      <c r="E2911" t="s">
        <v>8</v>
      </c>
      <c r="F2911" t="s">
        <v>29</v>
      </c>
      <c r="L2911">
        <v>1</v>
      </c>
      <c r="AD2911">
        <v>1</v>
      </c>
      <c r="AJ2911">
        <f>SUM(Post[[#This Row],[47]:[75]])</f>
        <v>2</v>
      </c>
    </row>
    <row r="2912" spans="1:36" x14ac:dyDescent="0.2">
      <c r="A2912" t="s">
        <v>62</v>
      </c>
      <c r="B2912" t="s">
        <v>54</v>
      </c>
      <c r="C2912">
        <v>33254</v>
      </c>
      <c r="D2912" t="s">
        <v>22</v>
      </c>
      <c r="E2912" t="s">
        <v>8</v>
      </c>
      <c r="F2912" t="s">
        <v>23</v>
      </c>
      <c r="K2912">
        <v>1</v>
      </c>
      <c r="AJ2912">
        <f>SUM(Post[[#This Row],[47]:[75]])</f>
        <v>1</v>
      </c>
    </row>
    <row r="2913" spans="1:36" x14ac:dyDescent="0.2">
      <c r="A2913" t="s">
        <v>62</v>
      </c>
      <c r="B2913" t="s">
        <v>54</v>
      </c>
      <c r="C2913">
        <v>33470</v>
      </c>
      <c r="D2913" t="s">
        <v>22</v>
      </c>
      <c r="E2913" t="s">
        <v>10</v>
      </c>
      <c r="F2913" t="s">
        <v>11</v>
      </c>
      <c r="S2913">
        <v>1</v>
      </c>
      <c r="W2913">
        <v>1</v>
      </c>
      <c r="AJ2913">
        <f>SUM(Post[[#This Row],[47]:[75]])</f>
        <v>2</v>
      </c>
    </row>
    <row r="2914" spans="1:36" x14ac:dyDescent="0.2">
      <c r="A2914" t="s">
        <v>62</v>
      </c>
      <c r="B2914" t="s">
        <v>54</v>
      </c>
      <c r="C2914">
        <v>33535</v>
      </c>
      <c r="D2914" t="s">
        <v>22</v>
      </c>
      <c r="E2914" t="s">
        <v>8</v>
      </c>
      <c r="F2914" t="s">
        <v>9</v>
      </c>
      <c r="S2914">
        <v>5</v>
      </c>
      <c r="AE2914">
        <v>1</v>
      </c>
      <c r="AJ2914">
        <f>SUM(Post[[#This Row],[47]:[75]])</f>
        <v>6</v>
      </c>
    </row>
    <row r="2915" spans="1:36" x14ac:dyDescent="0.2">
      <c r="A2915" t="s">
        <v>62</v>
      </c>
      <c r="B2915" t="s">
        <v>54</v>
      </c>
      <c r="C2915">
        <v>797</v>
      </c>
      <c r="D2915" t="s">
        <v>7</v>
      </c>
      <c r="E2915" t="s">
        <v>14</v>
      </c>
      <c r="F2915" t="s">
        <v>35</v>
      </c>
      <c r="I2915">
        <v>1</v>
      </c>
      <c r="L2915">
        <v>1</v>
      </c>
      <c r="Y2915">
        <v>1</v>
      </c>
      <c r="AJ2915">
        <f>SUM(Post[[#This Row],[47]:[75]])</f>
        <v>3</v>
      </c>
    </row>
    <row r="2916" spans="1:36" x14ac:dyDescent="0.2">
      <c r="A2916" t="s">
        <v>62</v>
      </c>
      <c r="B2916" t="s">
        <v>54</v>
      </c>
      <c r="C2916">
        <v>2067</v>
      </c>
      <c r="D2916" t="s">
        <v>7</v>
      </c>
      <c r="E2916" t="s">
        <v>8</v>
      </c>
      <c r="F2916" t="s">
        <v>30</v>
      </c>
      <c r="AJ2916">
        <f>SUM(Post[[#This Row],[47]:[75]])</f>
        <v>0</v>
      </c>
    </row>
    <row r="2917" spans="1:36" x14ac:dyDescent="0.2">
      <c r="A2917" t="s">
        <v>62</v>
      </c>
      <c r="B2917" t="s">
        <v>54</v>
      </c>
      <c r="C2917">
        <v>2325</v>
      </c>
      <c r="D2917" t="s">
        <v>7</v>
      </c>
      <c r="E2917" t="s">
        <v>8</v>
      </c>
      <c r="F2917" t="s">
        <v>29</v>
      </c>
      <c r="AJ2917">
        <f>SUM(Post[[#This Row],[47]:[75]])</f>
        <v>0</v>
      </c>
    </row>
    <row r="2918" spans="1:36" x14ac:dyDescent="0.2">
      <c r="A2918" t="s">
        <v>62</v>
      </c>
      <c r="B2918" t="s">
        <v>54</v>
      </c>
      <c r="C2918">
        <v>2676</v>
      </c>
      <c r="D2918" t="s">
        <v>7</v>
      </c>
      <c r="E2918" t="s">
        <v>14</v>
      </c>
      <c r="F2918" t="s">
        <v>20</v>
      </c>
      <c r="H2918">
        <v>1</v>
      </c>
      <c r="T2918">
        <v>1</v>
      </c>
      <c r="Z2918">
        <v>1</v>
      </c>
      <c r="AE2918">
        <v>1</v>
      </c>
      <c r="AJ2918">
        <f>SUM(Post[[#This Row],[47]:[75]])</f>
        <v>4</v>
      </c>
    </row>
    <row r="2919" spans="1:36" x14ac:dyDescent="0.2">
      <c r="A2919" t="s">
        <v>62</v>
      </c>
      <c r="B2919" t="s">
        <v>54</v>
      </c>
      <c r="C2919">
        <v>3558</v>
      </c>
      <c r="D2919" t="s">
        <v>7</v>
      </c>
      <c r="E2919" t="s">
        <v>8</v>
      </c>
      <c r="F2919" t="s">
        <v>23</v>
      </c>
      <c r="I2919">
        <v>1</v>
      </c>
      <c r="O2919">
        <v>1</v>
      </c>
      <c r="S2919">
        <v>1</v>
      </c>
      <c r="W2919">
        <v>1</v>
      </c>
      <c r="Z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f>SUM(Post[[#This Row],[47]:[75]])</f>
        <v>10</v>
      </c>
    </row>
    <row r="2920" spans="1:36" x14ac:dyDescent="0.2">
      <c r="A2920" t="s">
        <v>62</v>
      </c>
      <c r="B2920" t="s">
        <v>54</v>
      </c>
      <c r="C2920">
        <v>4500</v>
      </c>
      <c r="D2920" t="s">
        <v>7</v>
      </c>
      <c r="E2920" t="s">
        <v>8</v>
      </c>
      <c r="F2920" t="s">
        <v>23</v>
      </c>
      <c r="P2920">
        <v>1</v>
      </c>
      <c r="AC2920">
        <v>1</v>
      </c>
      <c r="AJ2920">
        <f>SUM(Post[[#This Row],[47]:[75]])</f>
        <v>2</v>
      </c>
    </row>
    <row r="2921" spans="1:36" x14ac:dyDescent="0.2">
      <c r="A2921" t="s">
        <v>62</v>
      </c>
      <c r="B2921" t="s">
        <v>54</v>
      </c>
      <c r="C2921">
        <v>4533</v>
      </c>
      <c r="D2921" t="s">
        <v>7</v>
      </c>
      <c r="E2921" t="s">
        <v>14</v>
      </c>
      <c r="F2921" t="s">
        <v>31</v>
      </c>
      <c r="AJ2921">
        <f>SUM(Post[[#This Row],[47]:[75]])</f>
        <v>0</v>
      </c>
    </row>
    <row r="2922" spans="1:36" x14ac:dyDescent="0.2">
      <c r="A2922" t="s">
        <v>62</v>
      </c>
      <c r="B2922" t="s">
        <v>54</v>
      </c>
      <c r="C2922">
        <v>5249</v>
      </c>
      <c r="D2922" t="s">
        <v>7</v>
      </c>
      <c r="E2922" t="s">
        <v>8</v>
      </c>
      <c r="F2922" t="s">
        <v>23</v>
      </c>
      <c r="Y2922">
        <v>1</v>
      </c>
      <c r="AJ2922">
        <f>SUM(Post[[#This Row],[47]:[75]])</f>
        <v>1</v>
      </c>
    </row>
    <row r="2923" spans="1:36" x14ac:dyDescent="0.2">
      <c r="A2923" t="s">
        <v>62</v>
      </c>
      <c r="B2923" t="s">
        <v>54</v>
      </c>
      <c r="C2923">
        <v>5576</v>
      </c>
      <c r="D2923" t="s">
        <v>7</v>
      </c>
      <c r="E2923" t="s">
        <v>14</v>
      </c>
      <c r="F2923" t="s">
        <v>20</v>
      </c>
      <c r="P2923">
        <v>2</v>
      </c>
      <c r="AJ2923">
        <f>SUM(Post[[#This Row],[47]:[75]])</f>
        <v>2</v>
      </c>
    </row>
    <row r="2924" spans="1:36" x14ac:dyDescent="0.2">
      <c r="A2924" t="s">
        <v>62</v>
      </c>
      <c r="B2924" t="s">
        <v>54</v>
      </c>
      <c r="C2924">
        <v>5891</v>
      </c>
      <c r="D2924" t="s">
        <v>7</v>
      </c>
      <c r="E2924" t="s">
        <v>8</v>
      </c>
      <c r="F2924" t="s">
        <v>23</v>
      </c>
      <c r="O2924">
        <v>1</v>
      </c>
      <c r="AA2924">
        <v>1</v>
      </c>
      <c r="AJ2924">
        <f>SUM(Post[[#This Row],[47]:[75]])</f>
        <v>2</v>
      </c>
    </row>
    <row r="2925" spans="1:36" x14ac:dyDescent="0.2">
      <c r="A2925" t="s">
        <v>62</v>
      </c>
      <c r="B2925" t="s">
        <v>54</v>
      </c>
      <c r="C2925">
        <v>5938</v>
      </c>
      <c r="D2925" t="s">
        <v>7</v>
      </c>
      <c r="E2925" t="s">
        <v>14</v>
      </c>
      <c r="F2925" t="s">
        <v>20</v>
      </c>
      <c r="G2925">
        <v>1</v>
      </c>
      <c r="AJ2925">
        <f>SUM(Post[[#This Row],[47]:[75]])</f>
        <v>1</v>
      </c>
    </row>
    <row r="2926" spans="1:36" x14ac:dyDescent="0.2">
      <c r="A2926" t="s">
        <v>62</v>
      </c>
      <c r="B2926" t="s">
        <v>54</v>
      </c>
      <c r="C2926">
        <v>6594</v>
      </c>
      <c r="D2926" t="s">
        <v>7</v>
      </c>
      <c r="E2926" t="s">
        <v>14</v>
      </c>
      <c r="F2926" t="s">
        <v>20</v>
      </c>
      <c r="V2926">
        <v>1</v>
      </c>
      <c r="AJ2926">
        <f>SUM(Post[[#This Row],[47]:[75]])</f>
        <v>1</v>
      </c>
    </row>
    <row r="2927" spans="1:36" x14ac:dyDescent="0.2">
      <c r="A2927" t="s">
        <v>62</v>
      </c>
      <c r="B2927" t="s">
        <v>54</v>
      </c>
      <c r="C2927">
        <v>6685</v>
      </c>
      <c r="D2927" t="s">
        <v>7</v>
      </c>
      <c r="E2927" t="s">
        <v>14</v>
      </c>
      <c r="F2927" t="s">
        <v>20</v>
      </c>
      <c r="H2927">
        <v>1</v>
      </c>
      <c r="R2927">
        <v>1</v>
      </c>
      <c r="T2927">
        <v>1</v>
      </c>
      <c r="AH2927">
        <v>1</v>
      </c>
      <c r="AJ2927">
        <f>SUM(Post[[#This Row],[47]:[75]])</f>
        <v>4</v>
      </c>
    </row>
    <row r="2928" spans="1:36" x14ac:dyDescent="0.2">
      <c r="A2928" t="s">
        <v>62</v>
      </c>
      <c r="B2928" t="s">
        <v>54</v>
      </c>
      <c r="C2928">
        <v>6693</v>
      </c>
      <c r="D2928" t="s">
        <v>7</v>
      </c>
      <c r="E2928" t="s">
        <v>10</v>
      </c>
      <c r="F2928" t="s">
        <v>11</v>
      </c>
      <c r="Y2928">
        <v>1</v>
      </c>
      <c r="AJ2928">
        <f>SUM(Post[[#This Row],[47]:[75]])</f>
        <v>1</v>
      </c>
    </row>
    <row r="2929" spans="1:36" x14ac:dyDescent="0.2">
      <c r="A2929" t="s">
        <v>62</v>
      </c>
      <c r="B2929" t="s">
        <v>54</v>
      </c>
      <c r="C2929">
        <v>7271</v>
      </c>
      <c r="D2929" t="s">
        <v>7</v>
      </c>
      <c r="E2929" t="s">
        <v>14</v>
      </c>
      <c r="F2929" t="s">
        <v>20</v>
      </c>
      <c r="I2929">
        <v>1</v>
      </c>
      <c r="W2929">
        <v>2</v>
      </c>
      <c r="AJ2929">
        <f>SUM(Post[[#This Row],[47]:[75]])</f>
        <v>3</v>
      </c>
    </row>
    <row r="2930" spans="1:36" x14ac:dyDescent="0.2">
      <c r="A2930" t="s">
        <v>62</v>
      </c>
      <c r="B2930" t="s">
        <v>54</v>
      </c>
      <c r="C2930">
        <v>8040</v>
      </c>
      <c r="D2930" t="s">
        <v>7</v>
      </c>
      <c r="E2930" t="s">
        <v>14</v>
      </c>
      <c r="F2930" t="s">
        <v>20</v>
      </c>
      <c r="K2930">
        <v>1</v>
      </c>
      <c r="AJ2930">
        <f>SUM(Post[[#This Row],[47]:[75]])</f>
        <v>1</v>
      </c>
    </row>
    <row r="2931" spans="1:36" x14ac:dyDescent="0.2">
      <c r="A2931" t="s">
        <v>62</v>
      </c>
      <c r="B2931" t="s">
        <v>54</v>
      </c>
      <c r="C2931">
        <v>8710</v>
      </c>
      <c r="D2931" t="s">
        <v>7</v>
      </c>
      <c r="E2931" t="s">
        <v>14</v>
      </c>
      <c r="F2931" t="s">
        <v>20</v>
      </c>
      <c r="H2931">
        <v>1</v>
      </c>
      <c r="P2931">
        <v>1</v>
      </c>
      <c r="T2931">
        <v>1</v>
      </c>
      <c r="AE2931">
        <v>1</v>
      </c>
      <c r="AJ2931">
        <f>SUM(Post[[#This Row],[47]:[75]])</f>
        <v>4</v>
      </c>
    </row>
    <row r="2932" spans="1:36" x14ac:dyDescent="0.2">
      <c r="A2932" t="s">
        <v>62</v>
      </c>
      <c r="B2932" t="s">
        <v>54</v>
      </c>
      <c r="C2932">
        <v>9692</v>
      </c>
      <c r="D2932" t="s">
        <v>7</v>
      </c>
      <c r="E2932" t="s">
        <v>10</v>
      </c>
      <c r="F2932" t="s">
        <v>11</v>
      </c>
      <c r="Q2932">
        <v>1</v>
      </c>
      <c r="U2932">
        <v>1</v>
      </c>
      <c r="AJ2932">
        <f>SUM(Post[[#This Row],[47]:[75]])</f>
        <v>2</v>
      </c>
    </row>
    <row r="2933" spans="1:36" x14ac:dyDescent="0.2">
      <c r="A2933" t="s">
        <v>62</v>
      </c>
      <c r="B2933" t="s">
        <v>54</v>
      </c>
      <c r="C2933">
        <v>9692</v>
      </c>
      <c r="D2933" t="s">
        <v>7</v>
      </c>
      <c r="E2933" t="s">
        <v>14</v>
      </c>
      <c r="F2933" t="s">
        <v>20</v>
      </c>
      <c r="AJ2933">
        <f>SUM(Post[[#This Row],[47]:[75]])</f>
        <v>0</v>
      </c>
    </row>
    <row r="2934" spans="1:36" x14ac:dyDescent="0.2">
      <c r="A2934" t="s">
        <v>62</v>
      </c>
      <c r="B2934" t="s">
        <v>54</v>
      </c>
      <c r="C2934">
        <v>9740</v>
      </c>
      <c r="D2934" t="s">
        <v>7</v>
      </c>
      <c r="E2934" t="s">
        <v>14</v>
      </c>
      <c r="F2934" t="s">
        <v>21</v>
      </c>
      <c r="AJ2934">
        <f>SUM(Post[[#This Row],[47]:[75]])</f>
        <v>0</v>
      </c>
    </row>
    <row r="2935" spans="1:36" x14ac:dyDescent="0.2">
      <c r="A2935" t="s">
        <v>62</v>
      </c>
      <c r="B2935" t="s">
        <v>54</v>
      </c>
      <c r="C2935">
        <v>10114</v>
      </c>
      <c r="D2935" t="s">
        <v>7</v>
      </c>
      <c r="E2935" t="s">
        <v>14</v>
      </c>
      <c r="F2935" t="s">
        <v>31</v>
      </c>
      <c r="AJ2935">
        <f>SUM(Post[[#This Row],[47]:[75]])</f>
        <v>0</v>
      </c>
    </row>
    <row r="2936" spans="1:36" x14ac:dyDescent="0.2">
      <c r="A2936" t="s">
        <v>62</v>
      </c>
      <c r="B2936" t="s">
        <v>54</v>
      </c>
      <c r="C2936">
        <v>10168</v>
      </c>
      <c r="D2936" t="s">
        <v>7</v>
      </c>
      <c r="E2936" t="s">
        <v>14</v>
      </c>
      <c r="F2936" t="s">
        <v>20</v>
      </c>
      <c r="K2936">
        <v>1</v>
      </c>
      <c r="W2936">
        <v>1</v>
      </c>
      <c r="AJ2936">
        <f>SUM(Post[[#This Row],[47]:[75]])</f>
        <v>2</v>
      </c>
    </row>
    <row r="2937" spans="1:36" x14ac:dyDescent="0.2">
      <c r="A2937" t="s">
        <v>62</v>
      </c>
      <c r="B2937" t="s">
        <v>54</v>
      </c>
      <c r="C2937">
        <v>10263</v>
      </c>
      <c r="D2937" t="s">
        <v>7</v>
      </c>
      <c r="E2937" t="s">
        <v>26</v>
      </c>
      <c r="F2937" t="s">
        <v>27</v>
      </c>
      <c r="K2937">
        <v>1</v>
      </c>
      <c r="W2937">
        <v>1</v>
      </c>
      <c r="AJ2937">
        <f>SUM(Post[[#This Row],[47]:[75]])</f>
        <v>2</v>
      </c>
    </row>
    <row r="2938" spans="1:36" x14ac:dyDescent="0.2">
      <c r="A2938" t="s">
        <v>62</v>
      </c>
      <c r="B2938" t="s">
        <v>54</v>
      </c>
      <c r="C2938">
        <v>10653</v>
      </c>
      <c r="D2938" t="s">
        <v>7</v>
      </c>
      <c r="E2938" t="s">
        <v>8</v>
      </c>
      <c r="F2938" t="s">
        <v>29</v>
      </c>
      <c r="O2938">
        <v>1</v>
      </c>
      <c r="AD2938">
        <v>1</v>
      </c>
      <c r="AJ2938">
        <f>SUM(Post[[#This Row],[47]:[75]])</f>
        <v>2</v>
      </c>
    </row>
    <row r="2939" spans="1:36" x14ac:dyDescent="0.2">
      <c r="A2939" t="s">
        <v>62</v>
      </c>
      <c r="B2939" t="s">
        <v>54</v>
      </c>
      <c r="C2939">
        <v>10970</v>
      </c>
      <c r="D2939" t="s">
        <v>7</v>
      </c>
      <c r="E2939" t="s">
        <v>14</v>
      </c>
      <c r="F2939" t="s">
        <v>20</v>
      </c>
      <c r="W2939">
        <v>1</v>
      </c>
      <c r="AJ2939">
        <f>SUM(Post[[#This Row],[47]:[75]])</f>
        <v>1</v>
      </c>
    </row>
    <row r="2940" spans="1:36" x14ac:dyDescent="0.2">
      <c r="A2940" t="s">
        <v>62</v>
      </c>
      <c r="B2940" t="s">
        <v>54</v>
      </c>
      <c r="C2940">
        <v>10997</v>
      </c>
      <c r="D2940" t="s">
        <v>7</v>
      </c>
      <c r="E2940" t="s">
        <v>10</v>
      </c>
      <c r="F2940" t="s">
        <v>11</v>
      </c>
      <c r="Z2940">
        <v>1</v>
      </c>
      <c r="AJ2940">
        <f>SUM(Post[[#This Row],[47]:[75]])</f>
        <v>1</v>
      </c>
    </row>
    <row r="2941" spans="1:36" x14ac:dyDescent="0.2">
      <c r="A2941" t="s">
        <v>62</v>
      </c>
      <c r="B2941" t="s">
        <v>54</v>
      </c>
      <c r="C2941">
        <v>12010</v>
      </c>
      <c r="D2941" t="s">
        <v>7</v>
      </c>
      <c r="E2941" t="s">
        <v>14</v>
      </c>
      <c r="F2941" t="s">
        <v>31</v>
      </c>
      <c r="AJ2941">
        <f>SUM(Post[[#This Row],[47]:[75]])</f>
        <v>0</v>
      </c>
    </row>
    <row r="2942" spans="1:36" x14ac:dyDescent="0.2">
      <c r="A2942" t="s">
        <v>62</v>
      </c>
      <c r="B2942" t="s">
        <v>54</v>
      </c>
      <c r="C2942">
        <v>12738</v>
      </c>
      <c r="D2942" t="s">
        <v>7</v>
      </c>
      <c r="E2942" t="s">
        <v>14</v>
      </c>
      <c r="F2942" t="s">
        <v>20</v>
      </c>
      <c r="S2942">
        <v>1</v>
      </c>
      <c r="AH2942">
        <v>1</v>
      </c>
      <c r="AJ2942">
        <f>SUM(Post[[#This Row],[47]:[75]])</f>
        <v>2</v>
      </c>
    </row>
    <row r="2943" spans="1:36" x14ac:dyDescent="0.2">
      <c r="A2943" t="s">
        <v>62</v>
      </c>
      <c r="B2943" t="s">
        <v>54</v>
      </c>
      <c r="C2943">
        <v>13071</v>
      </c>
      <c r="D2943" t="s">
        <v>7</v>
      </c>
      <c r="E2943" t="s">
        <v>8</v>
      </c>
      <c r="F2943" t="s">
        <v>23</v>
      </c>
      <c r="Q2943">
        <v>1</v>
      </c>
      <c r="AC2943">
        <v>1</v>
      </c>
      <c r="AF2943">
        <v>1</v>
      </c>
      <c r="AJ2943">
        <f>SUM(Post[[#This Row],[47]:[75]])</f>
        <v>3</v>
      </c>
    </row>
    <row r="2944" spans="1:36" x14ac:dyDescent="0.2">
      <c r="A2944" t="s">
        <v>62</v>
      </c>
      <c r="B2944" t="s">
        <v>54</v>
      </c>
      <c r="C2944">
        <v>14011</v>
      </c>
      <c r="D2944" t="s">
        <v>7</v>
      </c>
      <c r="E2944" t="s">
        <v>14</v>
      </c>
      <c r="F2944" t="s">
        <v>20</v>
      </c>
      <c r="AJ2944">
        <f>SUM(Post[[#This Row],[47]:[75]])</f>
        <v>0</v>
      </c>
    </row>
    <row r="2945" spans="1:36" x14ac:dyDescent="0.2">
      <c r="A2945" t="s">
        <v>62</v>
      </c>
      <c r="B2945" t="s">
        <v>54</v>
      </c>
      <c r="C2945">
        <v>14074</v>
      </c>
      <c r="D2945" t="s">
        <v>7</v>
      </c>
      <c r="E2945" t="s">
        <v>8</v>
      </c>
      <c r="F2945" t="s">
        <v>29</v>
      </c>
      <c r="J2945">
        <v>1</v>
      </c>
      <c r="U2945">
        <v>1</v>
      </c>
      <c r="Z2945">
        <v>1</v>
      </c>
      <c r="AC2945">
        <v>1</v>
      </c>
      <c r="AE2945">
        <v>1</v>
      </c>
      <c r="AH2945">
        <v>1</v>
      </c>
      <c r="AJ2945">
        <f>SUM(Post[[#This Row],[47]:[75]])</f>
        <v>6</v>
      </c>
    </row>
    <row r="2946" spans="1:36" x14ac:dyDescent="0.2">
      <c r="A2946" t="s">
        <v>62</v>
      </c>
      <c r="B2946" t="s">
        <v>54</v>
      </c>
      <c r="C2946">
        <v>14414</v>
      </c>
      <c r="D2946" t="s">
        <v>7</v>
      </c>
      <c r="E2946" t="s">
        <v>10</v>
      </c>
      <c r="F2946" t="s">
        <v>16</v>
      </c>
      <c r="AJ2946">
        <f>SUM(Post[[#This Row],[47]:[75]])</f>
        <v>0</v>
      </c>
    </row>
    <row r="2947" spans="1:36" x14ac:dyDescent="0.2">
      <c r="A2947" t="s">
        <v>62</v>
      </c>
      <c r="B2947" t="s">
        <v>54</v>
      </c>
      <c r="C2947">
        <v>14414</v>
      </c>
      <c r="D2947" t="s">
        <v>7</v>
      </c>
      <c r="E2947" t="s">
        <v>32</v>
      </c>
      <c r="F2947" t="s">
        <v>33</v>
      </c>
      <c r="AJ2947">
        <f>SUM(Post[[#This Row],[47]:[75]])</f>
        <v>0</v>
      </c>
    </row>
    <row r="2948" spans="1:36" x14ac:dyDescent="0.2">
      <c r="A2948" t="s">
        <v>62</v>
      </c>
      <c r="B2948" t="s">
        <v>54</v>
      </c>
      <c r="C2948">
        <v>15130</v>
      </c>
      <c r="D2948" t="s">
        <v>7</v>
      </c>
      <c r="E2948" t="s">
        <v>14</v>
      </c>
      <c r="F2948" t="s">
        <v>31</v>
      </c>
      <c r="W2948">
        <v>1</v>
      </c>
      <c r="AJ2948">
        <f>SUM(Post[[#This Row],[47]:[75]])</f>
        <v>1</v>
      </c>
    </row>
    <row r="2949" spans="1:36" x14ac:dyDescent="0.2">
      <c r="A2949" t="s">
        <v>62</v>
      </c>
      <c r="B2949" t="s">
        <v>54</v>
      </c>
      <c r="C2949">
        <v>15628</v>
      </c>
      <c r="D2949" t="s">
        <v>7</v>
      </c>
      <c r="E2949" t="s">
        <v>14</v>
      </c>
      <c r="F2949" t="s">
        <v>20</v>
      </c>
      <c r="K2949">
        <v>1</v>
      </c>
      <c r="X2949">
        <v>1</v>
      </c>
      <c r="AJ2949">
        <f>SUM(Post[[#This Row],[47]:[75]])</f>
        <v>2</v>
      </c>
    </row>
    <row r="2950" spans="1:36" x14ac:dyDescent="0.2">
      <c r="A2950" t="s">
        <v>62</v>
      </c>
      <c r="B2950" t="s">
        <v>54</v>
      </c>
      <c r="C2950">
        <v>18495</v>
      </c>
      <c r="D2950" t="s">
        <v>7</v>
      </c>
      <c r="E2950" t="s">
        <v>40</v>
      </c>
      <c r="F2950" t="s">
        <v>44</v>
      </c>
      <c r="AJ2950">
        <f>SUM(Post[[#This Row],[47]:[75]])</f>
        <v>0</v>
      </c>
    </row>
    <row r="2951" spans="1:36" x14ac:dyDescent="0.2">
      <c r="A2951" t="s">
        <v>62</v>
      </c>
      <c r="B2951" t="s">
        <v>54</v>
      </c>
      <c r="C2951">
        <v>18495</v>
      </c>
      <c r="D2951" t="s">
        <v>7</v>
      </c>
      <c r="E2951" t="s">
        <v>10</v>
      </c>
      <c r="F2951" t="s">
        <v>11</v>
      </c>
      <c r="O2951">
        <v>1</v>
      </c>
      <c r="R2951">
        <v>1</v>
      </c>
      <c r="V2951">
        <v>1</v>
      </c>
      <c r="AJ2951">
        <f>SUM(Post[[#This Row],[47]:[75]])</f>
        <v>3</v>
      </c>
    </row>
    <row r="2952" spans="1:36" x14ac:dyDescent="0.2">
      <c r="A2952" t="s">
        <v>62</v>
      </c>
      <c r="B2952" t="s">
        <v>54</v>
      </c>
      <c r="C2952">
        <v>18862</v>
      </c>
      <c r="D2952" t="s">
        <v>7</v>
      </c>
      <c r="E2952" t="s">
        <v>10</v>
      </c>
      <c r="F2952" t="s">
        <v>11</v>
      </c>
      <c r="AJ2952">
        <f>SUM(Post[[#This Row],[47]:[75]])</f>
        <v>0</v>
      </c>
    </row>
    <row r="2953" spans="1:36" x14ac:dyDescent="0.2">
      <c r="A2953" t="s">
        <v>62</v>
      </c>
      <c r="B2953" t="s">
        <v>54</v>
      </c>
      <c r="C2953">
        <v>20107</v>
      </c>
      <c r="D2953" t="s">
        <v>7</v>
      </c>
      <c r="E2953" t="s">
        <v>14</v>
      </c>
      <c r="F2953" t="s">
        <v>20</v>
      </c>
      <c r="G2953">
        <v>1</v>
      </c>
      <c r="AJ2953">
        <f>SUM(Post[[#This Row],[47]:[75]])</f>
        <v>1</v>
      </c>
    </row>
    <row r="2954" spans="1:36" x14ac:dyDescent="0.2">
      <c r="A2954" t="s">
        <v>62</v>
      </c>
      <c r="B2954" t="s">
        <v>54</v>
      </c>
      <c r="C2954">
        <v>20610</v>
      </c>
      <c r="D2954" t="s">
        <v>7</v>
      </c>
      <c r="E2954" t="s">
        <v>10</v>
      </c>
      <c r="F2954" t="s">
        <v>11</v>
      </c>
      <c r="AJ2954">
        <f>SUM(Post[[#This Row],[47]:[75]])</f>
        <v>0</v>
      </c>
    </row>
    <row r="2955" spans="1:36" x14ac:dyDescent="0.2">
      <c r="A2955" t="s">
        <v>62</v>
      </c>
      <c r="B2955" t="s">
        <v>54</v>
      </c>
      <c r="C2955">
        <v>20610</v>
      </c>
      <c r="D2955" t="s">
        <v>7</v>
      </c>
      <c r="E2955" t="s">
        <v>14</v>
      </c>
      <c r="F2955" t="s">
        <v>20</v>
      </c>
      <c r="G2955">
        <v>1</v>
      </c>
      <c r="AF2955">
        <v>1</v>
      </c>
      <c r="AJ2955">
        <f>SUM(Post[[#This Row],[47]:[75]])</f>
        <v>2</v>
      </c>
    </row>
    <row r="2956" spans="1:36" x14ac:dyDescent="0.2">
      <c r="A2956" t="s">
        <v>62</v>
      </c>
      <c r="B2956" t="s">
        <v>54</v>
      </c>
      <c r="C2956">
        <v>21473</v>
      </c>
      <c r="D2956" t="s">
        <v>7</v>
      </c>
      <c r="E2956" t="s">
        <v>14</v>
      </c>
      <c r="F2956" t="s">
        <v>20</v>
      </c>
      <c r="U2956">
        <v>2</v>
      </c>
      <c r="AH2956">
        <v>1</v>
      </c>
      <c r="AJ2956">
        <f>SUM(Post[[#This Row],[47]:[75]])</f>
        <v>3</v>
      </c>
    </row>
    <row r="2957" spans="1:36" x14ac:dyDescent="0.2">
      <c r="A2957" t="s">
        <v>62</v>
      </c>
      <c r="B2957" t="s">
        <v>54</v>
      </c>
      <c r="C2957">
        <v>21867</v>
      </c>
      <c r="D2957" t="s">
        <v>7</v>
      </c>
      <c r="E2957" t="s">
        <v>14</v>
      </c>
      <c r="F2957" t="s">
        <v>31</v>
      </c>
      <c r="J2957">
        <v>1</v>
      </c>
      <c r="Z2957">
        <v>2</v>
      </c>
      <c r="AJ2957">
        <f>SUM(Post[[#This Row],[47]:[75]])</f>
        <v>3</v>
      </c>
    </row>
    <row r="2958" spans="1:36" x14ac:dyDescent="0.2">
      <c r="A2958" t="s">
        <v>62</v>
      </c>
      <c r="B2958" t="s">
        <v>54</v>
      </c>
      <c r="C2958">
        <v>22830</v>
      </c>
      <c r="D2958" t="s">
        <v>7</v>
      </c>
      <c r="E2958" t="s">
        <v>14</v>
      </c>
      <c r="F2958" t="s">
        <v>20</v>
      </c>
      <c r="AH2958">
        <v>1</v>
      </c>
      <c r="AJ2958">
        <f>SUM(Post[[#This Row],[47]:[75]])</f>
        <v>1</v>
      </c>
    </row>
    <row r="2959" spans="1:36" x14ac:dyDescent="0.2">
      <c r="A2959" t="s">
        <v>62</v>
      </c>
      <c r="B2959" t="s">
        <v>54</v>
      </c>
      <c r="C2959">
        <v>26361</v>
      </c>
      <c r="D2959" t="s">
        <v>7</v>
      </c>
      <c r="E2959" t="s">
        <v>14</v>
      </c>
      <c r="F2959" t="s">
        <v>20</v>
      </c>
      <c r="H2959">
        <v>1</v>
      </c>
      <c r="AF2959">
        <v>1</v>
      </c>
      <c r="AI2959">
        <v>1</v>
      </c>
      <c r="AJ2959">
        <f>SUM(Post[[#This Row],[47]:[75]])</f>
        <v>3</v>
      </c>
    </row>
    <row r="2960" spans="1:36" x14ac:dyDescent="0.2">
      <c r="A2960" t="s">
        <v>62</v>
      </c>
      <c r="B2960" t="s">
        <v>54</v>
      </c>
      <c r="C2960">
        <v>27221</v>
      </c>
      <c r="D2960" t="s">
        <v>7</v>
      </c>
      <c r="E2960" t="s">
        <v>14</v>
      </c>
      <c r="F2960" t="s">
        <v>20</v>
      </c>
      <c r="AJ2960">
        <f>SUM(Post[[#This Row],[47]:[75]])</f>
        <v>0</v>
      </c>
    </row>
    <row r="2961" spans="1:36" x14ac:dyDescent="0.2">
      <c r="A2961" t="s">
        <v>62</v>
      </c>
      <c r="B2961" t="s">
        <v>54</v>
      </c>
      <c r="C2961">
        <v>29600</v>
      </c>
      <c r="D2961" t="s">
        <v>7</v>
      </c>
      <c r="E2961" t="s">
        <v>14</v>
      </c>
      <c r="F2961" t="s">
        <v>20</v>
      </c>
      <c r="T2961">
        <v>1</v>
      </c>
      <c r="AH2961">
        <v>1</v>
      </c>
      <c r="AJ2961">
        <f>SUM(Post[[#This Row],[47]:[75]])</f>
        <v>2</v>
      </c>
    </row>
    <row r="2962" spans="1:36" x14ac:dyDescent="0.2">
      <c r="A2962" t="s">
        <v>62</v>
      </c>
      <c r="B2962" t="s">
        <v>54</v>
      </c>
      <c r="C2962">
        <v>31598</v>
      </c>
      <c r="D2962" t="s">
        <v>7</v>
      </c>
      <c r="E2962" t="s">
        <v>14</v>
      </c>
      <c r="F2962" t="s">
        <v>20</v>
      </c>
      <c r="AJ2962">
        <f>SUM(Post[[#This Row],[47]:[75]])</f>
        <v>0</v>
      </c>
    </row>
    <row r="2963" spans="1:36" x14ac:dyDescent="0.2">
      <c r="A2963" t="s">
        <v>62</v>
      </c>
      <c r="B2963" t="s">
        <v>54</v>
      </c>
      <c r="C2963">
        <v>32826</v>
      </c>
      <c r="D2963" t="s">
        <v>7</v>
      </c>
      <c r="E2963" t="s">
        <v>10</v>
      </c>
      <c r="F2963" t="s">
        <v>16</v>
      </c>
      <c r="AJ2963">
        <f>SUM(Post[[#This Row],[47]:[75]])</f>
        <v>0</v>
      </c>
    </row>
    <row r="2964" spans="1:36" x14ac:dyDescent="0.2">
      <c r="A2964" t="s">
        <v>62</v>
      </c>
      <c r="B2964" t="s">
        <v>54</v>
      </c>
      <c r="C2964">
        <v>32826</v>
      </c>
      <c r="D2964" t="s">
        <v>7</v>
      </c>
      <c r="E2964" t="s">
        <v>10</v>
      </c>
      <c r="F2964" t="s">
        <v>11</v>
      </c>
      <c r="T2964">
        <v>1</v>
      </c>
      <c r="AJ2964">
        <f>SUM(Post[[#This Row],[47]:[75]])</f>
        <v>1</v>
      </c>
    </row>
    <row r="2965" spans="1:36" x14ac:dyDescent="0.2">
      <c r="A2965" t="s">
        <v>62</v>
      </c>
      <c r="B2965" t="s">
        <v>54</v>
      </c>
      <c r="C2965">
        <v>32923</v>
      </c>
      <c r="D2965" t="s">
        <v>7</v>
      </c>
      <c r="E2965" t="s">
        <v>8</v>
      </c>
      <c r="F2965" t="s">
        <v>23</v>
      </c>
      <c r="I2965">
        <v>1</v>
      </c>
      <c r="W2965">
        <v>1</v>
      </c>
      <c r="AJ2965">
        <f>SUM(Post[[#This Row],[47]:[75]])</f>
        <v>2</v>
      </c>
    </row>
    <row r="2966" spans="1:36" x14ac:dyDescent="0.2">
      <c r="A2966" t="s">
        <v>62</v>
      </c>
      <c r="B2966" t="s">
        <v>54</v>
      </c>
      <c r="C2966">
        <v>33594</v>
      </c>
      <c r="D2966" t="s">
        <v>7</v>
      </c>
      <c r="E2966" t="s">
        <v>14</v>
      </c>
      <c r="F2966" t="s">
        <v>20</v>
      </c>
      <c r="K2966">
        <v>1</v>
      </c>
      <c r="U2966">
        <v>1</v>
      </c>
      <c r="AD2966">
        <v>1</v>
      </c>
      <c r="AJ2966">
        <f>SUM(Post[[#This Row],[47]:[75]])</f>
        <v>3</v>
      </c>
    </row>
    <row r="2967" spans="1:36" x14ac:dyDescent="0.2">
      <c r="A2967" t="s">
        <v>62</v>
      </c>
      <c r="B2967" t="s">
        <v>54</v>
      </c>
      <c r="C2967">
        <v>33638</v>
      </c>
      <c r="D2967" t="s">
        <v>7</v>
      </c>
      <c r="E2967" t="s">
        <v>10</v>
      </c>
      <c r="F2967" t="s">
        <v>11</v>
      </c>
      <c r="N2967">
        <v>1</v>
      </c>
      <c r="AJ2967">
        <f>SUM(Post[[#This Row],[47]:[75]])</f>
        <v>1</v>
      </c>
    </row>
    <row r="2968" spans="1:36" x14ac:dyDescent="0.2">
      <c r="A2968" t="s">
        <v>62</v>
      </c>
      <c r="B2968" t="s">
        <v>54</v>
      </c>
      <c r="C2968">
        <v>33638</v>
      </c>
      <c r="D2968" t="s">
        <v>7</v>
      </c>
      <c r="E2968" t="s">
        <v>14</v>
      </c>
      <c r="F2968" t="s">
        <v>19</v>
      </c>
      <c r="AJ2968">
        <f>SUM(Post[[#This Row],[47]:[75]])</f>
        <v>0</v>
      </c>
    </row>
    <row r="2969" spans="1:36" x14ac:dyDescent="0.2">
      <c r="A2969" t="s">
        <v>62</v>
      </c>
      <c r="B2969" t="s">
        <v>54</v>
      </c>
      <c r="C2969">
        <v>1848</v>
      </c>
      <c r="D2969" t="s">
        <v>22</v>
      </c>
      <c r="E2969" t="s">
        <v>14</v>
      </c>
      <c r="F2969" t="s">
        <v>20</v>
      </c>
      <c r="L2969">
        <v>1</v>
      </c>
      <c r="P2969">
        <v>1</v>
      </c>
      <c r="AC2969">
        <v>1</v>
      </c>
      <c r="AJ2969">
        <f>SUM(Post[[#This Row],[47]:[75]])</f>
        <v>3</v>
      </c>
    </row>
    <row r="2970" spans="1:36" x14ac:dyDescent="0.2">
      <c r="A2970" t="s">
        <v>62</v>
      </c>
      <c r="B2970" t="s">
        <v>54</v>
      </c>
      <c r="C2970">
        <v>2848</v>
      </c>
      <c r="D2970" t="s">
        <v>22</v>
      </c>
      <c r="E2970" t="s">
        <v>14</v>
      </c>
      <c r="F2970" t="s">
        <v>31</v>
      </c>
      <c r="H2970">
        <v>1</v>
      </c>
      <c r="N2970">
        <v>1</v>
      </c>
      <c r="R2970">
        <v>1</v>
      </c>
      <c r="V2970">
        <v>1</v>
      </c>
      <c r="AA2970">
        <v>1</v>
      </c>
      <c r="AE2970">
        <v>1</v>
      </c>
      <c r="AJ2970">
        <f>SUM(Post[[#This Row],[47]:[75]])</f>
        <v>6</v>
      </c>
    </row>
    <row r="2971" spans="1:36" x14ac:dyDescent="0.2">
      <c r="A2971" t="s">
        <v>62</v>
      </c>
      <c r="B2971" t="s">
        <v>54</v>
      </c>
      <c r="C2971">
        <v>3270</v>
      </c>
      <c r="D2971" t="s">
        <v>22</v>
      </c>
      <c r="E2971" t="s">
        <v>10</v>
      </c>
      <c r="F2971" t="s">
        <v>11</v>
      </c>
      <c r="J2971">
        <v>2</v>
      </c>
      <c r="K2971">
        <v>2</v>
      </c>
      <c r="Q2971">
        <v>1</v>
      </c>
      <c r="T2971">
        <v>1</v>
      </c>
      <c r="X2971">
        <v>1</v>
      </c>
      <c r="AC2971">
        <v>1</v>
      </c>
      <c r="AG2971">
        <v>1</v>
      </c>
      <c r="AJ2971">
        <f>SUM(Post[[#This Row],[47]:[75]])</f>
        <v>9</v>
      </c>
    </row>
    <row r="2972" spans="1:36" x14ac:dyDescent="0.2">
      <c r="A2972" t="s">
        <v>62</v>
      </c>
      <c r="B2972" t="s">
        <v>54</v>
      </c>
      <c r="C2972">
        <v>3270</v>
      </c>
      <c r="D2972" t="s">
        <v>22</v>
      </c>
      <c r="E2972" t="s">
        <v>14</v>
      </c>
      <c r="F2972" t="s">
        <v>20</v>
      </c>
      <c r="G2972">
        <v>2</v>
      </c>
      <c r="J2972">
        <v>1</v>
      </c>
      <c r="AJ2972">
        <f>SUM(Post[[#This Row],[47]:[75]])</f>
        <v>3</v>
      </c>
    </row>
    <row r="2973" spans="1:36" x14ac:dyDescent="0.2">
      <c r="A2973" t="s">
        <v>62</v>
      </c>
      <c r="B2973" t="s">
        <v>54</v>
      </c>
      <c r="C2973">
        <v>3333</v>
      </c>
      <c r="D2973" t="s">
        <v>22</v>
      </c>
      <c r="E2973" t="s">
        <v>10</v>
      </c>
      <c r="F2973" t="s">
        <v>16</v>
      </c>
      <c r="AJ2973">
        <f>SUM(Post[[#This Row],[47]:[75]])</f>
        <v>0</v>
      </c>
    </row>
    <row r="2974" spans="1:36" x14ac:dyDescent="0.2">
      <c r="A2974" t="s">
        <v>62</v>
      </c>
      <c r="B2974" t="s">
        <v>54</v>
      </c>
      <c r="C2974">
        <v>3333</v>
      </c>
      <c r="D2974" t="s">
        <v>22</v>
      </c>
      <c r="E2974" t="s">
        <v>14</v>
      </c>
      <c r="F2974" t="s">
        <v>20</v>
      </c>
      <c r="N2974">
        <v>1</v>
      </c>
      <c r="R2974">
        <v>1</v>
      </c>
      <c r="Z2974">
        <v>1</v>
      </c>
      <c r="AD2974">
        <v>1</v>
      </c>
      <c r="AH2974">
        <v>1</v>
      </c>
      <c r="AJ2974">
        <f>SUM(Post[[#This Row],[47]:[75]])</f>
        <v>5</v>
      </c>
    </row>
    <row r="2975" spans="1:36" x14ac:dyDescent="0.2">
      <c r="A2975" t="s">
        <v>62</v>
      </c>
      <c r="B2975" t="s">
        <v>54</v>
      </c>
      <c r="C2975">
        <v>4478</v>
      </c>
      <c r="D2975" t="s">
        <v>22</v>
      </c>
      <c r="E2975" t="s">
        <v>14</v>
      </c>
      <c r="F2975" t="s">
        <v>35</v>
      </c>
      <c r="J2975">
        <v>1</v>
      </c>
      <c r="P2975">
        <v>1</v>
      </c>
      <c r="U2975">
        <v>1</v>
      </c>
      <c r="Y2975">
        <v>1</v>
      </c>
      <c r="AB2975">
        <v>1</v>
      </c>
      <c r="AJ2975">
        <f>SUM(Post[[#This Row],[47]:[75]])</f>
        <v>5</v>
      </c>
    </row>
    <row r="2976" spans="1:36" x14ac:dyDescent="0.2">
      <c r="A2976" t="s">
        <v>62</v>
      </c>
      <c r="B2976" t="s">
        <v>54</v>
      </c>
      <c r="C2976">
        <v>6323</v>
      </c>
      <c r="D2976" t="s">
        <v>22</v>
      </c>
      <c r="E2976" t="s">
        <v>8</v>
      </c>
      <c r="F2976" t="s">
        <v>23</v>
      </c>
      <c r="G2976">
        <v>1</v>
      </c>
      <c r="U2976">
        <v>1</v>
      </c>
      <c r="AG2976">
        <v>1</v>
      </c>
      <c r="AJ2976">
        <f>SUM(Post[[#This Row],[47]:[75]])</f>
        <v>3</v>
      </c>
    </row>
    <row r="2977" spans="1:36" x14ac:dyDescent="0.2">
      <c r="A2977" t="s">
        <v>62</v>
      </c>
      <c r="B2977" t="s">
        <v>54</v>
      </c>
      <c r="C2977">
        <v>6467</v>
      </c>
      <c r="D2977" t="s">
        <v>22</v>
      </c>
      <c r="E2977" t="s">
        <v>10</v>
      </c>
      <c r="F2977" t="s">
        <v>11</v>
      </c>
      <c r="G2977">
        <v>1</v>
      </c>
      <c r="X2977">
        <v>2</v>
      </c>
      <c r="AF2977">
        <v>1</v>
      </c>
      <c r="AJ2977">
        <f>SUM(Post[[#This Row],[47]:[75]])</f>
        <v>4</v>
      </c>
    </row>
    <row r="2978" spans="1:36" x14ac:dyDescent="0.2">
      <c r="A2978" t="s">
        <v>62</v>
      </c>
      <c r="B2978" t="s">
        <v>54</v>
      </c>
      <c r="C2978">
        <v>7279</v>
      </c>
      <c r="D2978" t="s">
        <v>22</v>
      </c>
      <c r="E2978" t="s">
        <v>8</v>
      </c>
      <c r="F2978" t="s">
        <v>23</v>
      </c>
      <c r="X2978">
        <v>1</v>
      </c>
      <c r="AJ2978">
        <f>SUM(Post[[#This Row],[47]:[75]])</f>
        <v>1</v>
      </c>
    </row>
    <row r="2979" spans="1:36" x14ac:dyDescent="0.2">
      <c r="A2979" t="s">
        <v>62</v>
      </c>
      <c r="B2979" t="s">
        <v>54</v>
      </c>
      <c r="C2979">
        <v>7881</v>
      </c>
      <c r="D2979" t="s">
        <v>22</v>
      </c>
      <c r="E2979" t="s">
        <v>14</v>
      </c>
      <c r="F2979" t="s">
        <v>31</v>
      </c>
      <c r="AJ2979">
        <f>SUM(Post[[#This Row],[47]:[75]])</f>
        <v>0</v>
      </c>
    </row>
    <row r="2980" spans="1:36" x14ac:dyDescent="0.2">
      <c r="A2980" t="s">
        <v>62</v>
      </c>
      <c r="B2980" t="s">
        <v>54</v>
      </c>
      <c r="C2980">
        <v>7955</v>
      </c>
      <c r="D2980" t="s">
        <v>22</v>
      </c>
      <c r="E2980" t="s">
        <v>8</v>
      </c>
      <c r="F2980" t="s">
        <v>23</v>
      </c>
      <c r="AJ2980">
        <f>SUM(Post[[#This Row],[47]:[75]])</f>
        <v>0</v>
      </c>
    </row>
    <row r="2981" spans="1:36" x14ac:dyDescent="0.2">
      <c r="A2981" t="s">
        <v>62</v>
      </c>
      <c r="B2981" t="s">
        <v>54</v>
      </c>
      <c r="C2981">
        <v>7955</v>
      </c>
      <c r="D2981" t="s">
        <v>22</v>
      </c>
      <c r="E2981" t="s">
        <v>8</v>
      </c>
      <c r="F2981" t="s">
        <v>29</v>
      </c>
      <c r="I2981">
        <v>1</v>
      </c>
      <c r="L2981">
        <v>1</v>
      </c>
      <c r="AJ2981">
        <f>SUM(Post[[#This Row],[47]:[75]])</f>
        <v>2</v>
      </c>
    </row>
    <row r="2982" spans="1:36" x14ac:dyDescent="0.2">
      <c r="A2982" t="s">
        <v>62</v>
      </c>
      <c r="B2982" t="s">
        <v>54</v>
      </c>
      <c r="C2982">
        <v>8301</v>
      </c>
      <c r="D2982" t="s">
        <v>22</v>
      </c>
      <c r="E2982" t="s">
        <v>14</v>
      </c>
      <c r="F2982" t="s">
        <v>20</v>
      </c>
      <c r="AC2982">
        <v>3</v>
      </c>
      <c r="AD2982">
        <v>1</v>
      </c>
      <c r="AE2982">
        <v>1</v>
      </c>
      <c r="AF2982">
        <v>1</v>
      </c>
      <c r="AG2982">
        <v>1</v>
      </c>
      <c r="AH2982">
        <v>1</v>
      </c>
      <c r="AJ2982">
        <f>SUM(Post[[#This Row],[47]:[75]])</f>
        <v>8</v>
      </c>
    </row>
    <row r="2983" spans="1:36" x14ac:dyDescent="0.2">
      <c r="A2983" t="s">
        <v>62</v>
      </c>
      <c r="B2983" t="s">
        <v>54</v>
      </c>
      <c r="C2983">
        <v>8348</v>
      </c>
      <c r="D2983" t="s">
        <v>22</v>
      </c>
      <c r="E2983" t="s">
        <v>8</v>
      </c>
      <c r="F2983" t="s">
        <v>23</v>
      </c>
      <c r="J2983">
        <v>1</v>
      </c>
      <c r="X2983">
        <v>1</v>
      </c>
      <c r="AJ2983">
        <f>SUM(Post[[#This Row],[47]:[75]])</f>
        <v>2</v>
      </c>
    </row>
    <row r="2984" spans="1:36" x14ac:dyDescent="0.2">
      <c r="A2984" t="s">
        <v>62</v>
      </c>
      <c r="B2984" t="s">
        <v>54</v>
      </c>
      <c r="C2984">
        <v>8418</v>
      </c>
      <c r="D2984" t="s">
        <v>22</v>
      </c>
      <c r="E2984" t="s">
        <v>14</v>
      </c>
      <c r="F2984" t="s">
        <v>20</v>
      </c>
      <c r="AJ2984">
        <f>SUM(Post[[#This Row],[47]:[75]])</f>
        <v>0</v>
      </c>
    </row>
    <row r="2985" spans="1:36" x14ac:dyDescent="0.2">
      <c r="A2985" t="s">
        <v>62</v>
      </c>
      <c r="B2985" t="s">
        <v>54</v>
      </c>
      <c r="C2985">
        <v>8503</v>
      </c>
      <c r="D2985" t="s">
        <v>22</v>
      </c>
      <c r="E2985" t="s">
        <v>8</v>
      </c>
      <c r="F2985" t="s">
        <v>23</v>
      </c>
      <c r="H2985">
        <v>1</v>
      </c>
      <c r="L2985">
        <v>1</v>
      </c>
      <c r="R2985">
        <v>1</v>
      </c>
      <c r="U2985">
        <v>1</v>
      </c>
      <c r="Y2985">
        <v>1</v>
      </c>
      <c r="AC2985">
        <v>1</v>
      </c>
      <c r="AF2985">
        <v>1</v>
      </c>
      <c r="AJ2985">
        <f>SUM(Post[[#This Row],[47]:[75]])</f>
        <v>7</v>
      </c>
    </row>
    <row r="2986" spans="1:36" x14ac:dyDescent="0.2">
      <c r="A2986" t="s">
        <v>62</v>
      </c>
      <c r="B2986" t="s">
        <v>54</v>
      </c>
      <c r="C2986">
        <v>8559</v>
      </c>
      <c r="D2986" t="s">
        <v>22</v>
      </c>
      <c r="E2986" t="s">
        <v>8</v>
      </c>
      <c r="F2986" t="s">
        <v>23</v>
      </c>
      <c r="L2986">
        <v>1</v>
      </c>
      <c r="AB2986">
        <v>1</v>
      </c>
      <c r="AJ2986">
        <f>SUM(Post[[#This Row],[47]:[75]])</f>
        <v>2</v>
      </c>
    </row>
    <row r="2987" spans="1:36" x14ac:dyDescent="0.2">
      <c r="A2987" t="s">
        <v>62</v>
      </c>
      <c r="B2987" t="s">
        <v>54</v>
      </c>
      <c r="C2987">
        <v>8571</v>
      </c>
      <c r="D2987" t="s">
        <v>22</v>
      </c>
      <c r="E2987" t="s">
        <v>8</v>
      </c>
      <c r="F2987" t="s">
        <v>23</v>
      </c>
      <c r="P2987">
        <v>2</v>
      </c>
      <c r="V2987">
        <v>1</v>
      </c>
      <c r="AI2987">
        <v>1</v>
      </c>
      <c r="AJ2987">
        <f>SUM(Post[[#This Row],[47]:[75]])</f>
        <v>4</v>
      </c>
    </row>
    <row r="2988" spans="1:36" x14ac:dyDescent="0.2">
      <c r="A2988" t="s">
        <v>62</v>
      </c>
      <c r="B2988" t="s">
        <v>54</v>
      </c>
      <c r="C2988">
        <v>8639</v>
      </c>
      <c r="D2988" t="s">
        <v>22</v>
      </c>
      <c r="E2988" t="s">
        <v>8</v>
      </c>
      <c r="F2988" t="s">
        <v>23</v>
      </c>
      <c r="AD2988">
        <v>1</v>
      </c>
      <c r="AJ2988">
        <f>SUM(Post[[#This Row],[47]:[75]])</f>
        <v>1</v>
      </c>
    </row>
    <row r="2989" spans="1:36" x14ac:dyDescent="0.2">
      <c r="A2989" t="s">
        <v>62</v>
      </c>
      <c r="B2989" t="s">
        <v>54</v>
      </c>
      <c r="C2989">
        <v>8725</v>
      </c>
      <c r="D2989" t="s">
        <v>22</v>
      </c>
      <c r="E2989" t="s">
        <v>8</v>
      </c>
      <c r="F2989" t="s">
        <v>23</v>
      </c>
      <c r="O2989">
        <v>1</v>
      </c>
      <c r="AC2989">
        <v>1</v>
      </c>
      <c r="AJ2989">
        <f>SUM(Post[[#This Row],[47]:[75]])</f>
        <v>2</v>
      </c>
    </row>
    <row r="2990" spans="1:36" x14ac:dyDescent="0.2">
      <c r="A2990" t="s">
        <v>62</v>
      </c>
      <c r="B2990" t="s">
        <v>54</v>
      </c>
      <c r="C2990">
        <v>8818</v>
      </c>
      <c r="D2990" t="s">
        <v>22</v>
      </c>
      <c r="E2990" t="s">
        <v>10</v>
      </c>
      <c r="F2990" t="s">
        <v>16</v>
      </c>
      <c r="W2990">
        <v>1</v>
      </c>
      <c r="AJ2990">
        <f>SUM(Post[[#This Row],[47]:[75]])</f>
        <v>1</v>
      </c>
    </row>
    <row r="2991" spans="1:36" x14ac:dyDescent="0.2">
      <c r="A2991" t="s">
        <v>62</v>
      </c>
      <c r="B2991" t="s">
        <v>54</v>
      </c>
      <c r="C2991">
        <v>8818</v>
      </c>
      <c r="D2991" t="s">
        <v>22</v>
      </c>
      <c r="E2991" t="s">
        <v>10</v>
      </c>
      <c r="F2991" t="s">
        <v>11</v>
      </c>
      <c r="H2991">
        <v>1</v>
      </c>
      <c r="AJ2991">
        <f>SUM(Post[[#This Row],[47]:[75]])</f>
        <v>1</v>
      </c>
    </row>
    <row r="2992" spans="1:36" x14ac:dyDescent="0.2">
      <c r="A2992" t="s">
        <v>62</v>
      </c>
      <c r="B2992" t="s">
        <v>54</v>
      </c>
      <c r="C2992">
        <v>8818</v>
      </c>
      <c r="D2992" t="s">
        <v>22</v>
      </c>
      <c r="E2992" t="s">
        <v>14</v>
      </c>
      <c r="F2992" t="s">
        <v>20</v>
      </c>
      <c r="Q2992">
        <v>1</v>
      </c>
      <c r="AJ2992">
        <f>SUM(Post[[#This Row],[47]:[75]])</f>
        <v>1</v>
      </c>
    </row>
    <row r="2993" spans="1:36" x14ac:dyDescent="0.2">
      <c r="A2993" t="s">
        <v>62</v>
      </c>
      <c r="B2993" t="s">
        <v>54</v>
      </c>
      <c r="C2993">
        <v>9070</v>
      </c>
      <c r="D2993" t="s">
        <v>22</v>
      </c>
      <c r="E2993" t="s">
        <v>14</v>
      </c>
      <c r="F2993" t="s">
        <v>19</v>
      </c>
      <c r="AJ2993">
        <f>SUM(Post[[#This Row],[47]:[75]])</f>
        <v>0</v>
      </c>
    </row>
    <row r="2994" spans="1:36" x14ac:dyDescent="0.2">
      <c r="A2994" t="s">
        <v>62</v>
      </c>
      <c r="B2994" t="s">
        <v>54</v>
      </c>
      <c r="C2994">
        <v>9438</v>
      </c>
      <c r="D2994" t="s">
        <v>22</v>
      </c>
      <c r="E2994" t="s">
        <v>14</v>
      </c>
      <c r="F2994" t="s">
        <v>35</v>
      </c>
      <c r="X2994">
        <v>1</v>
      </c>
      <c r="AJ2994">
        <f>SUM(Post[[#This Row],[47]:[75]])</f>
        <v>1</v>
      </c>
    </row>
    <row r="2995" spans="1:36" x14ac:dyDescent="0.2">
      <c r="A2995" t="s">
        <v>62</v>
      </c>
      <c r="B2995" t="s">
        <v>54</v>
      </c>
      <c r="C2995">
        <v>9706</v>
      </c>
      <c r="D2995" t="s">
        <v>22</v>
      </c>
      <c r="E2995" t="s">
        <v>14</v>
      </c>
      <c r="F2995" t="s">
        <v>19</v>
      </c>
      <c r="J2995">
        <v>1</v>
      </c>
      <c r="AJ2995">
        <f>SUM(Post[[#This Row],[47]:[75]])</f>
        <v>1</v>
      </c>
    </row>
    <row r="2996" spans="1:36" x14ac:dyDescent="0.2">
      <c r="A2996" t="s">
        <v>62</v>
      </c>
      <c r="B2996" t="s">
        <v>54</v>
      </c>
      <c r="C2996">
        <v>9820</v>
      </c>
      <c r="D2996" t="s">
        <v>22</v>
      </c>
      <c r="E2996" t="s">
        <v>10</v>
      </c>
      <c r="F2996" t="s">
        <v>11</v>
      </c>
      <c r="AJ2996">
        <f>SUM(Post[[#This Row],[47]:[75]])</f>
        <v>0</v>
      </c>
    </row>
    <row r="2997" spans="1:36" x14ac:dyDescent="0.2">
      <c r="A2997" t="s">
        <v>62</v>
      </c>
      <c r="B2997" t="s">
        <v>54</v>
      </c>
      <c r="C2997">
        <v>9820</v>
      </c>
      <c r="D2997" t="s">
        <v>22</v>
      </c>
      <c r="E2997" t="s">
        <v>8</v>
      </c>
      <c r="F2997" t="s">
        <v>29</v>
      </c>
      <c r="G2997">
        <v>2</v>
      </c>
      <c r="Q2997">
        <v>1</v>
      </c>
      <c r="AA2997">
        <v>1</v>
      </c>
      <c r="AJ2997">
        <f>SUM(Post[[#This Row],[47]:[75]])</f>
        <v>4</v>
      </c>
    </row>
    <row r="2998" spans="1:36" x14ac:dyDescent="0.2">
      <c r="A2998" t="s">
        <v>62</v>
      </c>
      <c r="B2998" t="s">
        <v>54</v>
      </c>
      <c r="C2998">
        <v>9820</v>
      </c>
      <c r="D2998" t="s">
        <v>22</v>
      </c>
      <c r="E2998" t="s">
        <v>14</v>
      </c>
      <c r="F2998" t="s">
        <v>35</v>
      </c>
      <c r="R2998">
        <v>1</v>
      </c>
      <c r="AE2998">
        <v>1</v>
      </c>
      <c r="AJ2998">
        <f>SUM(Post[[#This Row],[47]:[75]])</f>
        <v>2</v>
      </c>
    </row>
    <row r="2999" spans="1:36" x14ac:dyDescent="0.2">
      <c r="A2999" t="s">
        <v>62</v>
      </c>
      <c r="B2999" t="s">
        <v>54</v>
      </c>
      <c r="C2999">
        <v>10113</v>
      </c>
      <c r="D2999" t="s">
        <v>22</v>
      </c>
      <c r="E2999" t="s">
        <v>14</v>
      </c>
      <c r="F2999" t="s">
        <v>31</v>
      </c>
      <c r="U2999">
        <v>1</v>
      </c>
      <c r="AJ2999">
        <f>SUM(Post[[#This Row],[47]:[75]])</f>
        <v>1</v>
      </c>
    </row>
    <row r="3000" spans="1:36" x14ac:dyDescent="0.2">
      <c r="A3000" t="s">
        <v>62</v>
      </c>
      <c r="B3000" t="s">
        <v>54</v>
      </c>
      <c r="C3000">
        <v>10200</v>
      </c>
      <c r="D3000" t="s">
        <v>22</v>
      </c>
      <c r="E3000" t="s">
        <v>8</v>
      </c>
      <c r="F3000" t="s">
        <v>23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J3000">
        <f>SUM(Post[[#This Row],[47]:[75]])</f>
        <v>27</v>
      </c>
    </row>
    <row r="3001" spans="1:36" x14ac:dyDescent="0.2">
      <c r="A3001" t="s">
        <v>62</v>
      </c>
      <c r="B3001" t="s">
        <v>54</v>
      </c>
      <c r="C3001">
        <v>11017</v>
      </c>
      <c r="D3001" t="s">
        <v>22</v>
      </c>
      <c r="E3001" t="s">
        <v>8</v>
      </c>
      <c r="F3001" t="s">
        <v>23</v>
      </c>
      <c r="K3001">
        <v>1</v>
      </c>
      <c r="Y3001">
        <v>1</v>
      </c>
      <c r="AJ3001">
        <f>SUM(Post[[#This Row],[47]:[75]])</f>
        <v>2</v>
      </c>
    </row>
    <row r="3002" spans="1:36" x14ac:dyDescent="0.2">
      <c r="A3002" t="s">
        <v>62</v>
      </c>
      <c r="B3002" t="s">
        <v>54</v>
      </c>
      <c r="C3002">
        <v>11062</v>
      </c>
      <c r="D3002" t="s">
        <v>22</v>
      </c>
      <c r="E3002" t="s">
        <v>8</v>
      </c>
      <c r="F3002" t="s">
        <v>23</v>
      </c>
      <c r="H3002">
        <v>1</v>
      </c>
      <c r="X3002">
        <v>1</v>
      </c>
      <c r="AJ3002">
        <f>SUM(Post[[#This Row],[47]:[75]])</f>
        <v>2</v>
      </c>
    </row>
    <row r="3003" spans="1:36" x14ac:dyDescent="0.2">
      <c r="A3003" t="s">
        <v>62</v>
      </c>
      <c r="B3003" t="s">
        <v>54</v>
      </c>
      <c r="C3003">
        <v>11837</v>
      </c>
      <c r="D3003" t="s">
        <v>22</v>
      </c>
      <c r="E3003" t="s">
        <v>14</v>
      </c>
      <c r="F3003" t="s">
        <v>20</v>
      </c>
      <c r="AJ3003">
        <f>SUM(Post[[#This Row],[47]:[75]])</f>
        <v>0</v>
      </c>
    </row>
    <row r="3004" spans="1:36" x14ac:dyDescent="0.2">
      <c r="A3004" t="s">
        <v>62</v>
      </c>
      <c r="B3004" t="s">
        <v>54</v>
      </c>
      <c r="C3004">
        <v>13070</v>
      </c>
      <c r="D3004" t="s">
        <v>22</v>
      </c>
      <c r="E3004" t="s">
        <v>8</v>
      </c>
      <c r="F3004" t="s">
        <v>29</v>
      </c>
      <c r="G3004">
        <v>1</v>
      </c>
      <c r="L3004">
        <v>1</v>
      </c>
      <c r="P3004">
        <v>1</v>
      </c>
      <c r="T3004">
        <v>1</v>
      </c>
      <c r="Y3004">
        <v>1</v>
      </c>
      <c r="AB3004">
        <v>1</v>
      </c>
      <c r="AF3004">
        <v>1</v>
      </c>
      <c r="AJ3004">
        <f>SUM(Post[[#This Row],[47]:[75]])</f>
        <v>7</v>
      </c>
    </row>
    <row r="3005" spans="1:36" x14ac:dyDescent="0.2">
      <c r="A3005" t="s">
        <v>62</v>
      </c>
      <c r="B3005" t="s">
        <v>54</v>
      </c>
      <c r="C3005">
        <v>15339</v>
      </c>
      <c r="D3005" t="s">
        <v>22</v>
      </c>
      <c r="E3005" t="s">
        <v>14</v>
      </c>
      <c r="F3005" t="s">
        <v>20</v>
      </c>
      <c r="W3005">
        <v>1</v>
      </c>
      <c r="AJ3005">
        <f>SUM(Post[[#This Row],[47]:[75]])</f>
        <v>1</v>
      </c>
    </row>
    <row r="3006" spans="1:36" x14ac:dyDescent="0.2">
      <c r="A3006" t="s">
        <v>62</v>
      </c>
      <c r="B3006" t="s">
        <v>54</v>
      </c>
      <c r="C3006">
        <v>16556</v>
      </c>
      <c r="D3006" t="s">
        <v>22</v>
      </c>
      <c r="E3006" t="s">
        <v>32</v>
      </c>
      <c r="F3006" t="s">
        <v>33</v>
      </c>
      <c r="G3006">
        <v>1</v>
      </c>
      <c r="O3006">
        <v>1</v>
      </c>
      <c r="AJ3006">
        <f>SUM(Post[[#This Row],[47]:[75]])</f>
        <v>2</v>
      </c>
    </row>
    <row r="3007" spans="1:36" x14ac:dyDescent="0.2">
      <c r="A3007" t="s">
        <v>62</v>
      </c>
      <c r="B3007" t="s">
        <v>54</v>
      </c>
      <c r="C3007">
        <v>16704</v>
      </c>
      <c r="D3007" t="s">
        <v>22</v>
      </c>
      <c r="E3007" t="s">
        <v>10</v>
      </c>
      <c r="F3007" t="s">
        <v>11</v>
      </c>
      <c r="G3007">
        <v>1</v>
      </c>
      <c r="N3007">
        <v>1</v>
      </c>
      <c r="R3007">
        <v>1</v>
      </c>
      <c r="W3007">
        <v>1</v>
      </c>
      <c r="X3007">
        <v>2</v>
      </c>
      <c r="AJ3007">
        <f>SUM(Post[[#This Row],[47]:[75]])</f>
        <v>6</v>
      </c>
    </row>
    <row r="3008" spans="1:36" x14ac:dyDescent="0.2">
      <c r="A3008" t="s">
        <v>62</v>
      </c>
      <c r="B3008" t="s">
        <v>54</v>
      </c>
      <c r="C3008">
        <v>16704</v>
      </c>
      <c r="D3008" t="s">
        <v>22</v>
      </c>
      <c r="E3008" t="s">
        <v>14</v>
      </c>
      <c r="F3008" t="s">
        <v>31</v>
      </c>
      <c r="AC3008">
        <v>2</v>
      </c>
      <c r="AG3008">
        <v>1</v>
      </c>
      <c r="AJ3008">
        <f>SUM(Post[[#This Row],[47]:[75]])</f>
        <v>3</v>
      </c>
    </row>
    <row r="3009" spans="1:36" x14ac:dyDescent="0.2">
      <c r="A3009" t="s">
        <v>62</v>
      </c>
      <c r="B3009" t="s">
        <v>54</v>
      </c>
      <c r="C3009">
        <v>17256</v>
      </c>
      <c r="D3009" t="s">
        <v>22</v>
      </c>
      <c r="E3009" t="s">
        <v>37</v>
      </c>
      <c r="F3009" t="s">
        <v>49</v>
      </c>
      <c r="N3009">
        <v>3</v>
      </c>
      <c r="O3009">
        <v>1</v>
      </c>
      <c r="Q3009">
        <v>1</v>
      </c>
      <c r="S3009">
        <v>1</v>
      </c>
      <c r="U3009">
        <v>1</v>
      </c>
      <c r="W3009">
        <v>3</v>
      </c>
      <c r="Y3009">
        <v>1</v>
      </c>
      <c r="AA3009">
        <v>1</v>
      </c>
      <c r="AB3009">
        <v>1</v>
      </c>
      <c r="AE3009">
        <v>2</v>
      </c>
      <c r="AF3009">
        <v>2</v>
      </c>
      <c r="AJ3009">
        <f>SUM(Post[[#This Row],[47]:[75]])</f>
        <v>17</v>
      </c>
    </row>
    <row r="3010" spans="1:36" x14ac:dyDescent="0.2">
      <c r="A3010" t="s">
        <v>62</v>
      </c>
      <c r="B3010" t="s">
        <v>54</v>
      </c>
      <c r="C3010">
        <v>17256</v>
      </c>
      <c r="D3010" t="s">
        <v>22</v>
      </c>
      <c r="E3010" t="s">
        <v>14</v>
      </c>
      <c r="F3010" t="s">
        <v>20</v>
      </c>
      <c r="H3010">
        <v>1</v>
      </c>
      <c r="I3010">
        <v>1</v>
      </c>
      <c r="N3010">
        <v>2</v>
      </c>
      <c r="R3010">
        <v>2</v>
      </c>
      <c r="V3010">
        <v>2</v>
      </c>
      <c r="W3010">
        <v>1</v>
      </c>
      <c r="Y3010">
        <v>1</v>
      </c>
      <c r="AA3010">
        <v>1</v>
      </c>
      <c r="AB3010">
        <v>1</v>
      </c>
      <c r="AE3010">
        <v>1</v>
      </c>
      <c r="AF3010">
        <v>2</v>
      </c>
      <c r="AJ3010">
        <f>SUM(Post[[#This Row],[47]:[75]])</f>
        <v>15</v>
      </c>
    </row>
    <row r="3011" spans="1:36" x14ac:dyDescent="0.2">
      <c r="A3011" t="s">
        <v>62</v>
      </c>
      <c r="B3011" t="s">
        <v>54</v>
      </c>
      <c r="C3011">
        <v>18778</v>
      </c>
      <c r="D3011" t="s">
        <v>22</v>
      </c>
      <c r="E3011" t="s">
        <v>40</v>
      </c>
      <c r="F3011" t="s">
        <v>44</v>
      </c>
      <c r="Y3011">
        <v>1</v>
      </c>
      <c r="AD3011">
        <v>1</v>
      </c>
      <c r="AJ3011">
        <f>SUM(Post[[#This Row],[47]:[75]])</f>
        <v>2</v>
      </c>
    </row>
    <row r="3012" spans="1:36" x14ac:dyDescent="0.2">
      <c r="A3012" t="s">
        <v>62</v>
      </c>
      <c r="B3012" t="s">
        <v>54</v>
      </c>
      <c r="C3012">
        <v>19144</v>
      </c>
      <c r="D3012" t="s">
        <v>22</v>
      </c>
      <c r="E3012" t="s">
        <v>8</v>
      </c>
      <c r="F3012" t="s">
        <v>23</v>
      </c>
      <c r="I3012">
        <v>1</v>
      </c>
      <c r="X3012">
        <v>1</v>
      </c>
      <c r="AJ3012">
        <f>SUM(Post[[#This Row],[47]:[75]])</f>
        <v>2</v>
      </c>
    </row>
    <row r="3013" spans="1:36" x14ac:dyDescent="0.2">
      <c r="A3013" t="s">
        <v>62</v>
      </c>
      <c r="B3013" t="s">
        <v>54</v>
      </c>
      <c r="C3013">
        <v>19167</v>
      </c>
      <c r="D3013" t="s">
        <v>22</v>
      </c>
      <c r="E3013" t="s">
        <v>10</v>
      </c>
      <c r="F3013" t="s">
        <v>11</v>
      </c>
      <c r="N3013">
        <v>1</v>
      </c>
      <c r="T3013">
        <v>1</v>
      </c>
      <c r="AA3013">
        <v>1</v>
      </c>
      <c r="AF3013">
        <v>1</v>
      </c>
      <c r="AJ3013">
        <f>SUM(Post[[#This Row],[47]:[75]])</f>
        <v>4</v>
      </c>
    </row>
    <row r="3014" spans="1:36" x14ac:dyDescent="0.2">
      <c r="A3014" t="s">
        <v>62</v>
      </c>
      <c r="B3014" t="s">
        <v>54</v>
      </c>
      <c r="C3014">
        <v>20393</v>
      </c>
      <c r="D3014" t="s">
        <v>22</v>
      </c>
      <c r="E3014" t="s">
        <v>8</v>
      </c>
      <c r="F3014" t="s">
        <v>23</v>
      </c>
      <c r="I3014">
        <v>1</v>
      </c>
      <c r="L3014">
        <v>1</v>
      </c>
      <c r="Q3014">
        <v>1</v>
      </c>
      <c r="U3014">
        <v>1</v>
      </c>
      <c r="AA3014">
        <v>1</v>
      </c>
      <c r="AB3014">
        <v>1</v>
      </c>
      <c r="AC3014">
        <v>1</v>
      </c>
      <c r="AD3014">
        <v>2</v>
      </c>
      <c r="AG3014">
        <v>1</v>
      </c>
      <c r="AJ3014">
        <f>SUM(Post[[#This Row],[47]:[75]])</f>
        <v>10</v>
      </c>
    </row>
    <row r="3015" spans="1:36" x14ac:dyDescent="0.2">
      <c r="A3015" t="s">
        <v>62</v>
      </c>
      <c r="B3015" t="s">
        <v>54</v>
      </c>
      <c r="C3015">
        <v>20557</v>
      </c>
      <c r="D3015" t="s">
        <v>22</v>
      </c>
      <c r="E3015" t="s">
        <v>14</v>
      </c>
      <c r="F3015" t="s">
        <v>20</v>
      </c>
      <c r="AJ3015">
        <f>SUM(Post[[#This Row],[47]:[75]])</f>
        <v>0</v>
      </c>
    </row>
    <row r="3016" spans="1:36" x14ac:dyDescent="0.2">
      <c r="A3016" t="s">
        <v>62</v>
      </c>
      <c r="B3016" t="s">
        <v>54</v>
      </c>
      <c r="C3016">
        <v>22037</v>
      </c>
      <c r="D3016" t="s">
        <v>22</v>
      </c>
      <c r="E3016" t="s">
        <v>10</v>
      </c>
      <c r="F3016" t="s">
        <v>11</v>
      </c>
      <c r="AJ3016">
        <f>SUM(Post[[#This Row],[47]:[75]])</f>
        <v>0</v>
      </c>
    </row>
    <row r="3017" spans="1:36" x14ac:dyDescent="0.2">
      <c r="A3017" t="s">
        <v>62</v>
      </c>
      <c r="B3017" t="s">
        <v>54</v>
      </c>
      <c r="C3017">
        <v>23069</v>
      </c>
      <c r="D3017" t="s">
        <v>22</v>
      </c>
      <c r="E3017" t="s">
        <v>8</v>
      </c>
      <c r="F3017" t="s">
        <v>29</v>
      </c>
      <c r="AJ3017">
        <f>SUM(Post[[#This Row],[47]:[75]])</f>
        <v>0</v>
      </c>
    </row>
    <row r="3018" spans="1:36" x14ac:dyDescent="0.2">
      <c r="A3018" t="s">
        <v>62</v>
      </c>
      <c r="B3018" t="s">
        <v>54</v>
      </c>
      <c r="C3018">
        <v>25942</v>
      </c>
      <c r="D3018" t="s">
        <v>22</v>
      </c>
      <c r="E3018" t="s">
        <v>14</v>
      </c>
      <c r="F3018" t="s">
        <v>20</v>
      </c>
      <c r="G3018">
        <v>3</v>
      </c>
      <c r="AJ3018">
        <f>SUM(Post[[#This Row],[47]:[75]])</f>
        <v>3</v>
      </c>
    </row>
    <row r="3019" spans="1:36" x14ac:dyDescent="0.2">
      <c r="A3019" t="s">
        <v>62</v>
      </c>
      <c r="B3019" t="s">
        <v>54</v>
      </c>
      <c r="C3019">
        <v>28758</v>
      </c>
      <c r="D3019" t="s">
        <v>22</v>
      </c>
      <c r="E3019" t="s">
        <v>14</v>
      </c>
      <c r="F3019" t="s">
        <v>15</v>
      </c>
      <c r="W3019">
        <v>1</v>
      </c>
      <c r="AJ3019">
        <f>SUM(Post[[#This Row],[47]:[75]])</f>
        <v>1</v>
      </c>
    </row>
    <row r="3020" spans="1:36" x14ac:dyDescent="0.2">
      <c r="A3020" t="s">
        <v>62</v>
      </c>
      <c r="B3020" t="s">
        <v>54</v>
      </c>
      <c r="C3020">
        <v>30492</v>
      </c>
      <c r="D3020" t="s">
        <v>22</v>
      </c>
      <c r="E3020" t="s">
        <v>14</v>
      </c>
      <c r="F3020" t="s">
        <v>35</v>
      </c>
      <c r="N3020">
        <v>1</v>
      </c>
      <c r="X3020">
        <v>1</v>
      </c>
      <c r="AJ3020">
        <f>SUM(Post[[#This Row],[47]:[75]])</f>
        <v>2</v>
      </c>
    </row>
    <row r="3021" spans="1:36" x14ac:dyDescent="0.2">
      <c r="A3021" t="s">
        <v>62</v>
      </c>
      <c r="B3021" t="s">
        <v>54</v>
      </c>
      <c r="C3021">
        <v>31839</v>
      </c>
      <c r="D3021" t="s">
        <v>22</v>
      </c>
      <c r="E3021" t="s">
        <v>8</v>
      </c>
      <c r="F3021" t="s">
        <v>23</v>
      </c>
      <c r="AJ3021">
        <f>SUM(Post[[#This Row],[47]:[75]])</f>
        <v>0</v>
      </c>
    </row>
    <row r="3022" spans="1:36" x14ac:dyDescent="0.2">
      <c r="A3022" t="s">
        <v>62</v>
      </c>
      <c r="B3022" t="s">
        <v>54</v>
      </c>
      <c r="C3022">
        <v>32818</v>
      </c>
      <c r="D3022" t="s">
        <v>22</v>
      </c>
      <c r="E3022" t="s">
        <v>14</v>
      </c>
      <c r="F3022" t="s">
        <v>20</v>
      </c>
      <c r="J3022">
        <v>1</v>
      </c>
      <c r="X3022">
        <v>1</v>
      </c>
      <c r="AJ3022">
        <f>SUM(Post[[#This Row],[47]:[75]])</f>
        <v>2</v>
      </c>
    </row>
    <row r="3023" spans="1:36" x14ac:dyDescent="0.2">
      <c r="A3023" t="s">
        <v>62</v>
      </c>
      <c r="B3023" t="s">
        <v>54</v>
      </c>
      <c r="C3023">
        <v>8858</v>
      </c>
      <c r="D3023" t="s">
        <v>7</v>
      </c>
      <c r="E3023" t="s">
        <v>10</v>
      </c>
      <c r="F3023" t="s">
        <v>11</v>
      </c>
      <c r="Z3023">
        <v>1</v>
      </c>
      <c r="AA3023">
        <v>1</v>
      </c>
      <c r="AB3023">
        <v>2</v>
      </c>
      <c r="AC3023">
        <v>1</v>
      </c>
      <c r="AJ3023">
        <f>SUM(Post[[#This Row],[47]:[75]])</f>
        <v>5</v>
      </c>
    </row>
    <row r="3024" spans="1:36" x14ac:dyDescent="0.2">
      <c r="A3024" t="s">
        <v>62</v>
      </c>
      <c r="B3024" t="s">
        <v>54</v>
      </c>
      <c r="C3024">
        <v>3400</v>
      </c>
      <c r="D3024" t="s">
        <v>22</v>
      </c>
      <c r="E3024" t="s">
        <v>14</v>
      </c>
      <c r="F3024" t="s">
        <v>20</v>
      </c>
      <c r="H3024">
        <v>1</v>
      </c>
      <c r="N3024">
        <v>1</v>
      </c>
      <c r="R3024">
        <v>1</v>
      </c>
      <c r="V3024">
        <v>1</v>
      </c>
      <c r="AA3024">
        <v>1</v>
      </c>
      <c r="AE3024">
        <v>1</v>
      </c>
      <c r="AJ3024">
        <f>SUM(Post[[#This Row],[47]:[75]])</f>
        <v>6</v>
      </c>
    </row>
    <row r="3025" spans="1:36" x14ac:dyDescent="0.2">
      <c r="A3025" t="s">
        <v>62</v>
      </c>
      <c r="B3025" t="s">
        <v>54</v>
      </c>
      <c r="C3025">
        <v>4086</v>
      </c>
      <c r="D3025" t="s">
        <v>22</v>
      </c>
      <c r="E3025" t="s">
        <v>10</v>
      </c>
      <c r="F3025" t="s">
        <v>11</v>
      </c>
      <c r="AJ3025">
        <f>SUM(Post[[#This Row],[47]:[75]])</f>
        <v>0</v>
      </c>
    </row>
    <row r="3026" spans="1:36" x14ac:dyDescent="0.2">
      <c r="A3026" t="s">
        <v>62</v>
      </c>
      <c r="B3026" t="s">
        <v>54</v>
      </c>
      <c r="C3026">
        <v>5990</v>
      </c>
      <c r="D3026" t="s">
        <v>22</v>
      </c>
      <c r="E3026" t="s">
        <v>14</v>
      </c>
      <c r="F3026" t="s">
        <v>20</v>
      </c>
      <c r="AJ3026">
        <f>SUM(Post[[#This Row],[47]:[75]])</f>
        <v>0</v>
      </c>
    </row>
    <row r="3027" spans="1:36" x14ac:dyDescent="0.2">
      <c r="A3027" t="s">
        <v>62</v>
      </c>
      <c r="B3027" t="s">
        <v>54</v>
      </c>
      <c r="C3027">
        <v>7727</v>
      </c>
      <c r="D3027" t="s">
        <v>22</v>
      </c>
      <c r="E3027" t="s">
        <v>14</v>
      </c>
      <c r="F3027" t="s">
        <v>20</v>
      </c>
      <c r="I3027">
        <v>1</v>
      </c>
      <c r="AJ3027">
        <f>SUM(Post[[#This Row],[47]:[75]])</f>
        <v>1</v>
      </c>
    </row>
    <row r="3028" spans="1:36" x14ac:dyDescent="0.2">
      <c r="A3028" t="s">
        <v>62</v>
      </c>
      <c r="B3028" t="s">
        <v>54</v>
      </c>
      <c r="C3028">
        <v>17091</v>
      </c>
      <c r="D3028" t="s">
        <v>22</v>
      </c>
      <c r="E3028" t="s">
        <v>10</v>
      </c>
      <c r="F3028" t="s">
        <v>11</v>
      </c>
      <c r="T3028">
        <v>1</v>
      </c>
      <c r="AJ3028">
        <f>SUM(Post[[#This Row],[47]:[75]])</f>
        <v>1</v>
      </c>
    </row>
    <row r="3029" spans="1:36" x14ac:dyDescent="0.2">
      <c r="A3029" t="s">
        <v>62</v>
      </c>
      <c r="B3029" t="s">
        <v>54</v>
      </c>
      <c r="C3029">
        <v>713</v>
      </c>
      <c r="D3029" t="s">
        <v>7</v>
      </c>
      <c r="E3029" t="s">
        <v>14</v>
      </c>
      <c r="F3029" t="s">
        <v>31</v>
      </c>
      <c r="G3029">
        <v>1</v>
      </c>
      <c r="S3029">
        <v>1</v>
      </c>
      <c r="Z3029">
        <v>1</v>
      </c>
      <c r="AE3029">
        <v>1</v>
      </c>
      <c r="AJ3029">
        <f>SUM(Post[[#This Row],[47]:[75]])</f>
        <v>4</v>
      </c>
    </row>
    <row r="3030" spans="1:36" x14ac:dyDescent="0.2">
      <c r="A3030" t="s">
        <v>62</v>
      </c>
      <c r="B3030" t="s">
        <v>54</v>
      </c>
      <c r="C3030">
        <v>3558</v>
      </c>
      <c r="D3030" t="s">
        <v>7</v>
      </c>
      <c r="E3030" t="s">
        <v>14</v>
      </c>
      <c r="F3030" t="s">
        <v>15</v>
      </c>
      <c r="I3030">
        <v>1</v>
      </c>
      <c r="O3030">
        <v>1</v>
      </c>
      <c r="S3030">
        <v>1</v>
      </c>
      <c r="W3030">
        <v>1</v>
      </c>
      <c r="Z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f>SUM(Post[[#This Row],[47]:[75]])</f>
        <v>10</v>
      </c>
    </row>
    <row r="3031" spans="1:36" x14ac:dyDescent="0.2">
      <c r="A3031" t="s">
        <v>62</v>
      </c>
      <c r="B3031" t="s">
        <v>54</v>
      </c>
      <c r="C3031">
        <v>4540</v>
      </c>
      <c r="D3031" t="s">
        <v>7</v>
      </c>
      <c r="E3031" t="s">
        <v>14</v>
      </c>
      <c r="F3031" t="s">
        <v>20</v>
      </c>
      <c r="V3031">
        <v>1</v>
      </c>
      <c r="AJ3031">
        <f>SUM(Post[[#This Row],[47]:[75]])</f>
        <v>1</v>
      </c>
    </row>
    <row r="3032" spans="1:36" x14ac:dyDescent="0.2">
      <c r="A3032" t="s">
        <v>62</v>
      </c>
      <c r="B3032" t="s">
        <v>54</v>
      </c>
      <c r="C3032">
        <v>8173</v>
      </c>
      <c r="D3032" t="s">
        <v>7</v>
      </c>
      <c r="E3032" t="s">
        <v>14</v>
      </c>
      <c r="F3032" t="s">
        <v>20</v>
      </c>
      <c r="AJ3032">
        <f>SUM(Post[[#This Row],[47]:[75]])</f>
        <v>0</v>
      </c>
    </row>
    <row r="3033" spans="1:36" x14ac:dyDescent="0.2">
      <c r="A3033" t="s">
        <v>62</v>
      </c>
      <c r="B3033" t="s">
        <v>54</v>
      </c>
      <c r="C3033">
        <v>8250</v>
      </c>
      <c r="D3033" t="s">
        <v>7</v>
      </c>
      <c r="E3033" t="s">
        <v>14</v>
      </c>
      <c r="F3033" t="s">
        <v>20</v>
      </c>
      <c r="O3033">
        <v>1</v>
      </c>
      <c r="AJ3033">
        <f>SUM(Post[[#This Row],[47]:[75]])</f>
        <v>1</v>
      </c>
    </row>
    <row r="3034" spans="1:36" x14ac:dyDescent="0.2">
      <c r="A3034" t="s">
        <v>62</v>
      </c>
      <c r="B3034" t="s">
        <v>54</v>
      </c>
      <c r="C3034">
        <v>8961</v>
      </c>
      <c r="D3034" t="s">
        <v>7</v>
      </c>
      <c r="E3034" t="s">
        <v>14</v>
      </c>
      <c r="F3034" t="s">
        <v>20</v>
      </c>
      <c r="AJ3034">
        <f>SUM(Post[[#This Row],[47]:[75]])</f>
        <v>0</v>
      </c>
    </row>
    <row r="3035" spans="1:36" x14ac:dyDescent="0.2">
      <c r="A3035" t="s">
        <v>62</v>
      </c>
      <c r="B3035" t="s">
        <v>54</v>
      </c>
      <c r="C3035">
        <v>11129</v>
      </c>
      <c r="D3035" t="s">
        <v>7</v>
      </c>
      <c r="E3035" t="s">
        <v>14</v>
      </c>
      <c r="F3035" t="s">
        <v>20</v>
      </c>
      <c r="L3035">
        <v>1</v>
      </c>
      <c r="Z3035">
        <v>1</v>
      </c>
      <c r="AJ3035">
        <f>SUM(Post[[#This Row],[47]:[75]])</f>
        <v>2</v>
      </c>
    </row>
    <row r="3036" spans="1:36" x14ac:dyDescent="0.2">
      <c r="A3036" t="s">
        <v>62</v>
      </c>
      <c r="B3036" t="s">
        <v>54</v>
      </c>
      <c r="C3036">
        <v>11417</v>
      </c>
      <c r="D3036" t="s">
        <v>7</v>
      </c>
      <c r="E3036" t="s">
        <v>10</v>
      </c>
      <c r="F3036" t="s">
        <v>11</v>
      </c>
      <c r="AB3036">
        <v>1</v>
      </c>
      <c r="AJ3036">
        <f>SUM(Post[[#This Row],[47]:[75]])</f>
        <v>1</v>
      </c>
    </row>
    <row r="3037" spans="1:36" x14ac:dyDescent="0.2">
      <c r="A3037" t="s">
        <v>62</v>
      </c>
      <c r="B3037" t="s">
        <v>54</v>
      </c>
      <c r="C3037">
        <v>11417</v>
      </c>
      <c r="D3037" t="s">
        <v>7</v>
      </c>
      <c r="E3037" t="s">
        <v>14</v>
      </c>
      <c r="F3037" t="s">
        <v>21</v>
      </c>
      <c r="AC3037">
        <v>1</v>
      </c>
      <c r="AJ3037">
        <f>SUM(Post[[#This Row],[47]:[75]])</f>
        <v>1</v>
      </c>
    </row>
    <row r="3038" spans="1:36" x14ac:dyDescent="0.2">
      <c r="A3038" t="s">
        <v>62</v>
      </c>
      <c r="B3038" t="s">
        <v>54</v>
      </c>
      <c r="C3038">
        <v>11531</v>
      </c>
      <c r="D3038" t="s">
        <v>7</v>
      </c>
      <c r="E3038" t="s">
        <v>14</v>
      </c>
      <c r="F3038" t="s">
        <v>35</v>
      </c>
      <c r="G3038">
        <v>1</v>
      </c>
      <c r="T3038">
        <v>1</v>
      </c>
      <c r="AJ3038">
        <f>SUM(Post[[#This Row],[47]:[75]])</f>
        <v>2</v>
      </c>
    </row>
    <row r="3039" spans="1:36" x14ac:dyDescent="0.2">
      <c r="A3039" t="s">
        <v>62</v>
      </c>
      <c r="B3039" t="s">
        <v>54</v>
      </c>
      <c r="C3039">
        <v>11653</v>
      </c>
      <c r="D3039" t="s">
        <v>7</v>
      </c>
      <c r="E3039" t="s">
        <v>14</v>
      </c>
      <c r="F3039" t="s">
        <v>20</v>
      </c>
      <c r="G3039">
        <v>1</v>
      </c>
      <c r="X3039">
        <v>1</v>
      </c>
      <c r="AJ3039">
        <f>SUM(Post[[#This Row],[47]:[75]])</f>
        <v>2</v>
      </c>
    </row>
    <row r="3040" spans="1:36" x14ac:dyDescent="0.2">
      <c r="A3040" t="s">
        <v>62</v>
      </c>
      <c r="B3040" t="s">
        <v>54</v>
      </c>
      <c r="C3040">
        <v>12515</v>
      </c>
      <c r="D3040" t="s">
        <v>7</v>
      </c>
      <c r="E3040" t="s">
        <v>14</v>
      </c>
      <c r="F3040" t="s">
        <v>20</v>
      </c>
      <c r="W3040">
        <v>2</v>
      </c>
      <c r="AJ3040">
        <f>SUM(Post[[#This Row],[47]:[75]])</f>
        <v>2</v>
      </c>
    </row>
    <row r="3041" spans="1:36" x14ac:dyDescent="0.2">
      <c r="A3041" t="s">
        <v>62</v>
      </c>
      <c r="B3041" t="s">
        <v>54</v>
      </c>
      <c r="C3041">
        <v>14127</v>
      </c>
      <c r="D3041" t="s">
        <v>7</v>
      </c>
      <c r="E3041" t="s">
        <v>14</v>
      </c>
      <c r="F3041" t="s">
        <v>19</v>
      </c>
      <c r="AJ3041">
        <f>SUM(Post[[#This Row],[47]:[75]])</f>
        <v>0</v>
      </c>
    </row>
    <row r="3042" spans="1:36" x14ac:dyDescent="0.2">
      <c r="A3042" t="s">
        <v>62</v>
      </c>
      <c r="B3042" t="s">
        <v>54</v>
      </c>
      <c r="C3042">
        <v>21772</v>
      </c>
      <c r="D3042" t="s">
        <v>7</v>
      </c>
      <c r="E3042" t="s">
        <v>14</v>
      </c>
      <c r="F3042" t="s">
        <v>20</v>
      </c>
      <c r="R3042">
        <v>1</v>
      </c>
      <c r="AD3042">
        <v>1</v>
      </c>
      <c r="AJ3042">
        <f>SUM(Post[[#This Row],[47]:[75]])</f>
        <v>2</v>
      </c>
    </row>
    <row r="3043" spans="1:36" x14ac:dyDescent="0.2">
      <c r="A3043" t="s">
        <v>62</v>
      </c>
      <c r="B3043" t="s">
        <v>54</v>
      </c>
      <c r="C3043">
        <v>796</v>
      </c>
      <c r="D3043" t="s">
        <v>22</v>
      </c>
      <c r="E3043" t="s">
        <v>14</v>
      </c>
      <c r="F3043" t="s">
        <v>35</v>
      </c>
      <c r="L3043">
        <v>1</v>
      </c>
      <c r="Y3043">
        <v>1</v>
      </c>
      <c r="AJ3043">
        <f>SUM(Post[[#This Row],[47]:[75]])</f>
        <v>2</v>
      </c>
    </row>
    <row r="3044" spans="1:36" x14ac:dyDescent="0.2">
      <c r="A3044" t="s">
        <v>62</v>
      </c>
      <c r="B3044" t="s">
        <v>54</v>
      </c>
      <c r="C3044">
        <v>1798</v>
      </c>
      <c r="D3044" t="s">
        <v>22</v>
      </c>
      <c r="E3044" t="s">
        <v>14</v>
      </c>
      <c r="F3044" t="s">
        <v>20</v>
      </c>
      <c r="AJ3044">
        <f>SUM(Post[[#This Row],[47]:[75]])</f>
        <v>0</v>
      </c>
    </row>
    <row r="3045" spans="1:36" x14ac:dyDescent="0.2">
      <c r="A3045" t="s">
        <v>62</v>
      </c>
      <c r="B3045" t="s">
        <v>54</v>
      </c>
      <c r="C3045">
        <v>7279</v>
      </c>
      <c r="D3045" t="s">
        <v>22</v>
      </c>
      <c r="E3045" t="s">
        <v>14</v>
      </c>
      <c r="F3045" t="s">
        <v>20</v>
      </c>
      <c r="J3045">
        <v>1</v>
      </c>
      <c r="AG3045">
        <v>1</v>
      </c>
      <c r="AJ3045">
        <f>SUM(Post[[#This Row],[47]:[75]])</f>
        <v>2</v>
      </c>
    </row>
    <row r="3046" spans="1:36" x14ac:dyDescent="0.2">
      <c r="A3046" t="s">
        <v>62</v>
      </c>
      <c r="B3046" t="s">
        <v>54</v>
      </c>
      <c r="C3046">
        <v>7668</v>
      </c>
      <c r="D3046" t="s">
        <v>22</v>
      </c>
      <c r="E3046" t="s">
        <v>14</v>
      </c>
      <c r="F3046" t="s">
        <v>20</v>
      </c>
      <c r="J3046">
        <v>1</v>
      </c>
      <c r="AJ3046">
        <f>SUM(Post[[#This Row],[47]:[75]])</f>
        <v>1</v>
      </c>
    </row>
    <row r="3047" spans="1:36" x14ac:dyDescent="0.2">
      <c r="A3047" t="s">
        <v>62</v>
      </c>
      <c r="B3047" t="s">
        <v>54</v>
      </c>
      <c r="C3047">
        <v>9568</v>
      </c>
      <c r="D3047" t="s">
        <v>22</v>
      </c>
      <c r="E3047" t="s">
        <v>10</v>
      </c>
      <c r="F3047" t="s">
        <v>11</v>
      </c>
      <c r="N3047">
        <v>1</v>
      </c>
      <c r="AC3047">
        <v>1</v>
      </c>
      <c r="AJ3047">
        <f>SUM(Post[[#This Row],[47]:[75]])</f>
        <v>2</v>
      </c>
    </row>
    <row r="3048" spans="1:36" x14ac:dyDescent="0.2">
      <c r="A3048" t="s">
        <v>62</v>
      </c>
      <c r="B3048" t="s">
        <v>54</v>
      </c>
      <c r="C3048">
        <v>10565</v>
      </c>
      <c r="D3048" t="s">
        <v>22</v>
      </c>
      <c r="E3048" t="s">
        <v>10</v>
      </c>
      <c r="F3048" t="s">
        <v>11</v>
      </c>
      <c r="S3048">
        <v>1</v>
      </c>
      <c r="AF3048">
        <v>1</v>
      </c>
      <c r="AJ3048">
        <f>SUM(Post[[#This Row],[47]:[75]])</f>
        <v>2</v>
      </c>
    </row>
    <row r="3049" spans="1:36" x14ac:dyDescent="0.2">
      <c r="A3049" t="s">
        <v>62</v>
      </c>
      <c r="B3049" t="s">
        <v>54</v>
      </c>
      <c r="C3049">
        <v>10565</v>
      </c>
      <c r="D3049" t="s">
        <v>22</v>
      </c>
      <c r="E3049" t="s">
        <v>14</v>
      </c>
      <c r="F3049" t="s">
        <v>21</v>
      </c>
      <c r="AJ3049">
        <f>SUM(Post[[#This Row],[47]:[75]])</f>
        <v>0</v>
      </c>
    </row>
    <row r="3050" spans="1:36" x14ac:dyDescent="0.2">
      <c r="A3050" t="s">
        <v>62</v>
      </c>
      <c r="B3050" t="s">
        <v>54</v>
      </c>
      <c r="C3050">
        <v>12060</v>
      </c>
      <c r="D3050" t="s">
        <v>22</v>
      </c>
      <c r="E3050" t="s">
        <v>14</v>
      </c>
      <c r="F3050" t="s">
        <v>20</v>
      </c>
      <c r="R3050">
        <v>1</v>
      </c>
      <c r="AJ3050">
        <f>SUM(Post[[#This Row],[47]:[75]])</f>
        <v>1</v>
      </c>
    </row>
    <row r="3051" spans="1:36" x14ac:dyDescent="0.2">
      <c r="A3051" t="s">
        <v>62</v>
      </c>
      <c r="B3051" t="s">
        <v>54</v>
      </c>
      <c r="C3051">
        <v>18613</v>
      </c>
      <c r="D3051" t="s">
        <v>22</v>
      </c>
      <c r="E3051" t="s">
        <v>14</v>
      </c>
      <c r="F3051" t="s">
        <v>20</v>
      </c>
      <c r="O3051">
        <v>1</v>
      </c>
      <c r="AJ3051">
        <f>SUM(Post[[#This Row],[47]:[75]])</f>
        <v>1</v>
      </c>
    </row>
    <row r="3052" spans="1:36" x14ac:dyDescent="0.2">
      <c r="A3052" t="s">
        <v>62</v>
      </c>
      <c r="B3052" t="s">
        <v>54</v>
      </c>
      <c r="C3052">
        <v>19863</v>
      </c>
      <c r="D3052" t="s">
        <v>22</v>
      </c>
      <c r="E3052" t="s">
        <v>14</v>
      </c>
      <c r="F3052" t="s">
        <v>20</v>
      </c>
      <c r="I3052">
        <v>1</v>
      </c>
      <c r="P3052">
        <v>1</v>
      </c>
      <c r="AJ3052">
        <f>SUM(Post[[#This Row],[47]:[75]])</f>
        <v>2</v>
      </c>
    </row>
    <row r="3053" spans="1:36" x14ac:dyDescent="0.2">
      <c r="A3053" t="s">
        <v>62</v>
      </c>
      <c r="B3053" t="s">
        <v>54</v>
      </c>
      <c r="C3053">
        <v>22347</v>
      </c>
      <c r="D3053" t="s">
        <v>22</v>
      </c>
      <c r="E3053" t="s">
        <v>14</v>
      </c>
      <c r="F3053" t="s">
        <v>31</v>
      </c>
      <c r="AJ3053">
        <f>SUM(Post[[#This Row],[47]:[75]])</f>
        <v>0</v>
      </c>
    </row>
    <row r="3054" spans="1:36" x14ac:dyDescent="0.2">
      <c r="A3054" t="s">
        <v>62</v>
      </c>
      <c r="B3054" t="s">
        <v>54</v>
      </c>
      <c r="C3054">
        <v>27716</v>
      </c>
      <c r="D3054" t="s">
        <v>22</v>
      </c>
      <c r="E3054" t="s">
        <v>14</v>
      </c>
      <c r="F3054" t="s">
        <v>20</v>
      </c>
      <c r="AJ3054">
        <f>SUM(Post[[#This Row],[47]:[75]])</f>
        <v>0</v>
      </c>
    </row>
    <row r="3055" spans="1:36" x14ac:dyDescent="0.2">
      <c r="A3055" t="s">
        <v>62</v>
      </c>
      <c r="B3055" t="s">
        <v>54</v>
      </c>
      <c r="C3055">
        <v>8417</v>
      </c>
      <c r="D3055" t="s">
        <v>7</v>
      </c>
      <c r="E3055" t="s">
        <v>14</v>
      </c>
      <c r="F3055" t="s">
        <v>20</v>
      </c>
      <c r="W3055">
        <v>1</v>
      </c>
      <c r="AJ3055">
        <f>SUM(Post[[#This Row],[47]:[75]])</f>
        <v>1</v>
      </c>
    </row>
    <row r="3056" spans="1:36" x14ac:dyDescent="0.2">
      <c r="A3056" t="s">
        <v>62</v>
      </c>
      <c r="B3056" t="s">
        <v>54</v>
      </c>
      <c r="C3056">
        <v>33535</v>
      </c>
      <c r="D3056" t="s">
        <v>22</v>
      </c>
      <c r="E3056" t="s">
        <v>14</v>
      </c>
      <c r="F3056" t="s">
        <v>21</v>
      </c>
      <c r="W3056">
        <v>1</v>
      </c>
      <c r="Z3056">
        <v>1</v>
      </c>
      <c r="AE3056">
        <v>1</v>
      </c>
      <c r="AJ3056">
        <f>SUM(Post[[#This Row],[47]:[75]])</f>
        <v>3</v>
      </c>
    </row>
    <row r="3057" spans="1:36" x14ac:dyDescent="0.2">
      <c r="A3057" t="s">
        <v>62</v>
      </c>
      <c r="B3057" t="s">
        <v>54</v>
      </c>
      <c r="C3057">
        <v>33535</v>
      </c>
      <c r="D3057" t="s">
        <v>22</v>
      </c>
      <c r="E3057" t="s">
        <v>14</v>
      </c>
      <c r="F3057" t="s">
        <v>20</v>
      </c>
      <c r="J3057">
        <v>2</v>
      </c>
      <c r="N3057">
        <v>1</v>
      </c>
      <c r="R3057">
        <v>1</v>
      </c>
      <c r="W3057">
        <v>1</v>
      </c>
      <c r="AJ3057">
        <f>SUM(Post[[#This Row],[47]:[75]])</f>
        <v>5</v>
      </c>
    </row>
    <row r="3058" spans="1:36" x14ac:dyDescent="0.2">
      <c r="A3058" t="s">
        <v>62</v>
      </c>
      <c r="B3058" t="s">
        <v>54</v>
      </c>
      <c r="C3058">
        <v>2067</v>
      </c>
      <c r="D3058" t="s">
        <v>7</v>
      </c>
      <c r="E3058" t="s">
        <v>14</v>
      </c>
      <c r="F3058" t="s">
        <v>31</v>
      </c>
      <c r="AJ3058">
        <f>SUM(Post[[#This Row],[47]:[75]])</f>
        <v>0</v>
      </c>
    </row>
    <row r="3059" spans="1:36" x14ac:dyDescent="0.2">
      <c r="A3059" t="s">
        <v>62</v>
      </c>
      <c r="B3059" t="s">
        <v>54</v>
      </c>
      <c r="C3059">
        <v>2067</v>
      </c>
      <c r="D3059" t="s">
        <v>7</v>
      </c>
      <c r="E3059" t="s">
        <v>14</v>
      </c>
      <c r="F3059" t="s">
        <v>28</v>
      </c>
      <c r="AC3059">
        <v>1</v>
      </c>
      <c r="AE3059">
        <v>1</v>
      </c>
      <c r="AJ3059">
        <f>SUM(Post[[#This Row],[47]:[75]])</f>
        <v>2</v>
      </c>
    </row>
    <row r="3060" spans="1:36" x14ac:dyDescent="0.2">
      <c r="A3060" t="s">
        <v>62</v>
      </c>
      <c r="B3060" t="s">
        <v>54</v>
      </c>
      <c r="C3060">
        <v>2439</v>
      </c>
      <c r="D3060" t="s">
        <v>7</v>
      </c>
      <c r="E3060" t="s">
        <v>14</v>
      </c>
      <c r="F3060" t="s">
        <v>20</v>
      </c>
      <c r="G3060">
        <v>1</v>
      </c>
      <c r="V3060">
        <v>3</v>
      </c>
      <c r="X3060">
        <v>1</v>
      </c>
      <c r="AJ3060">
        <f>SUM(Post[[#This Row],[47]:[75]])</f>
        <v>5</v>
      </c>
    </row>
    <row r="3061" spans="1:36" x14ac:dyDescent="0.2">
      <c r="A3061" t="s">
        <v>62</v>
      </c>
      <c r="B3061" t="s">
        <v>54</v>
      </c>
      <c r="C3061">
        <v>4144</v>
      </c>
      <c r="D3061" t="s">
        <v>7</v>
      </c>
      <c r="E3061" t="s">
        <v>10</v>
      </c>
      <c r="F3061" t="s">
        <v>11</v>
      </c>
      <c r="AJ3061">
        <f>SUM(Post[[#This Row],[47]:[75]])</f>
        <v>0</v>
      </c>
    </row>
    <row r="3062" spans="1:36" x14ac:dyDescent="0.2">
      <c r="A3062" t="s">
        <v>62</v>
      </c>
      <c r="B3062" t="s">
        <v>54</v>
      </c>
      <c r="C3062">
        <v>5260</v>
      </c>
      <c r="D3062" t="s">
        <v>7</v>
      </c>
      <c r="E3062" t="s">
        <v>14</v>
      </c>
      <c r="F3062" t="s">
        <v>35</v>
      </c>
      <c r="AJ3062">
        <f>SUM(Post[[#This Row],[47]:[75]])</f>
        <v>0</v>
      </c>
    </row>
    <row r="3063" spans="1:36" x14ac:dyDescent="0.2">
      <c r="A3063" t="s">
        <v>62</v>
      </c>
      <c r="B3063" t="s">
        <v>54</v>
      </c>
      <c r="C3063">
        <v>5891</v>
      </c>
      <c r="D3063" t="s">
        <v>7</v>
      </c>
      <c r="E3063" t="s">
        <v>14</v>
      </c>
      <c r="F3063" t="s">
        <v>19</v>
      </c>
      <c r="Q3063">
        <v>1</v>
      </c>
      <c r="U3063">
        <v>1</v>
      </c>
      <c r="Y3063">
        <v>1</v>
      </c>
      <c r="AD3063">
        <v>1</v>
      </c>
      <c r="AJ3063">
        <f>SUM(Post[[#This Row],[47]:[75]])</f>
        <v>4</v>
      </c>
    </row>
    <row r="3064" spans="1:36" x14ac:dyDescent="0.2">
      <c r="A3064" t="s">
        <v>62</v>
      </c>
      <c r="B3064" t="s">
        <v>54</v>
      </c>
      <c r="C3064">
        <v>5891</v>
      </c>
      <c r="D3064" t="s">
        <v>7</v>
      </c>
      <c r="E3064" t="s">
        <v>14</v>
      </c>
      <c r="F3064" t="s">
        <v>20</v>
      </c>
      <c r="O3064">
        <v>1</v>
      </c>
      <c r="AC3064">
        <v>1</v>
      </c>
      <c r="AJ3064">
        <f>SUM(Post[[#This Row],[47]:[75]])</f>
        <v>2</v>
      </c>
    </row>
    <row r="3065" spans="1:36" x14ac:dyDescent="0.2">
      <c r="A3065" t="s">
        <v>62</v>
      </c>
      <c r="B3065" t="s">
        <v>54</v>
      </c>
      <c r="C3065">
        <v>10263</v>
      </c>
      <c r="D3065" t="s">
        <v>7</v>
      </c>
      <c r="E3065" t="s">
        <v>14</v>
      </c>
      <c r="F3065" t="s">
        <v>20</v>
      </c>
      <c r="O3065">
        <v>1</v>
      </c>
      <c r="AE3065">
        <v>1</v>
      </c>
      <c r="AJ3065">
        <f>SUM(Post[[#This Row],[47]:[75]])</f>
        <v>2</v>
      </c>
    </row>
    <row r="3066" spans="1:36" x14ac:dyDescent="0.2">
      <c r="A3066" t="s">
        <v>62</v>
      </c>
      <c r="B3066" t="s">
        <v>54</v>
      </c>
      <c r="C3066">
        <v>13071</v>
      </c>
      <c r="D3066" t="s">
        <v>7</v>
      </c>
      <c r="E3066" t="s">
        <v>14</v>
      </c>
      <c r="F3066" t="s">
        <v>31</v>
      </c>
      <c r="AJ3066">
        <f>SUM(Post[[#This Row],[47]:[75]])</f>
        <v>0</v>
      </c>
    </row>
    <row r="3067" spans="1:36" x14ac:dyDescent="0.2">
      <c r="A3067" t="s">
        <v>62</v>
      </c>
      <c r="B3067" t="s">
        <v>54</v>
      </c>
      <c r="C3067">
        <v>20450</v>
      </c>
      <c r="D3067" t="s">
        <v>7</v>
      </c>
      <c r="E3067" t="s">
        <v>14</v>
      </c>
      <c r="F3067" t="s">
        <v>20</v>
      </c>
      <c r="I3067">
        <v>2</v>
      </c>
      <c r="N3067">
        <v>1</v>
      </c>
      <c r="Q3067">
        <v>3</v>
      </c>
      <c r="AJ3067">
        <f>SUM(Post[[#This Row],[47]:[75]])</f>
        <v>6</v>
      </c>
    </row>
    <row r="3068" spans="1:36" x14ac:dyDescent="0.2">
      <c r="A3068" t="s">
        <v>62</v>
      </c>
      <c r="B3068" t="s">
        <v>54</v>
      </c>
      <c r="C3068">
        <v>3932</v>
      </c>
      <c r="D3068" t="s">
        <v>22</v>
      </c>
      <c r="E3068" t="s">
        <v>14</v>
      </c>
      <c r="F3068" t="s">
        <v>20</v>
      </c>
      <c r="J3068">
        <v>1</v>
      </c>
      <c r="X3068">
        <v>1</v>
      </c>
      <c r="AJ3068">
        <f>SUM(Post[[#This Row],[47]:[75]])</f>
        <v>2</v>
      </c>
    </row>
    <row r="3069" spans="1:36" x14ac:dyDescent="0.2">
      <c r="A3069" t="s">
        <v>62</v>
      </c>
      <c r="B3069" t="s">
        <v>54</v>
      </c>
      <c r="C3069">
        <v>6641</v>
      </c>
      <c r="D3069" t="s">
        <v>22</v>
      </c>
      <c r="E3069" t="s">
        <v>14</v>
      </c>
      <c r="F3069" t="s">
        <v>31</v>
      </c>
      <c r="AJ3069">
        <f>SUM(Post[[#This Row],[47]:[75]])</f>
        <v>0</v>
      </c>
    </row>
    <row r="3070" spans="1:36" x14ac:dyDescent="0.2">
      <c r="A3070" t="s">
        <v>62</v>
      </c>
      <c r="B3070" t="s">
        <v>54</v>
      </c>
      <c r="C3070">
        <v>7955</v>
      </c>
      <c r="D3070" t="s">
        <v>22</v>
      </c>
      <c r="E3070" t="s">
        <v>10</v>
      </c>
      <c r="F3070" t="s">
        <v>11</v>
      </c>
      <c r="AJ3070">
        <f>SUM(Post[[#This Row],[47]:[75]])</f>
        <v>0</v>
      </c>
    </row>
    <row r="3071" spans="1:36" x14ac:dyDescent="0.2">
      <c r="A3071" t="s">
        <v>62</v>
      </c>
      <c r="B3071" t="s">
        <v>54</v>
      </c>
      <c r="C3071">
        <v>7955</v>
      </c>
      <c r="D3071" t="s">
        <v>22</v>
      </c>
      <c r="E3071" t="s">
        <v>14</v>
      </c>
      <c r="F3071" t="s">
        <v>20</v>
      </c>
      <c r="I3071">
        <v>1</v>
      </c>
      <c r="N3071">
        <v>1</v>
      </c>
      <c r="AJ3071">
        <f>SUM(Post[[#This Row],[47]:[75]])</f>
        <v>2</v>
      </c>
    </row>
    <row r="3072" spans="1:36" x14ac:dyDescent="0.2">
      <c r="A3072" t="s">
        <v>62</v>
      </c>
      <c r="B3072" t="s">
        <v>54</v>
      </c>
      <c r="C3072">
        <v>8223</v>
      </c>
      <c r="D3072" t="s">
        <v>22</v>
      </c>
      <c r="E3072" t="s">
        <v>14</v>
      </c>
      <c r="F3072" t="s">
        <v>20</v>
      </c>
      <c r="AJ3072">
        <f>SUM(Post[[#This Row],[47]:[75]])</f>
        <v>0</v>
      </c>
    </row>
    <row r="3073" spans="1:36" x14ac:dyDescent="0.2">
      <c r="A3073" t="s">
        <v>62</v>
      </c>
      <c r="B3073" t="s">
        <v>54</v>
      </c>
      <c r="C3073">
        <v>8348</v>
      </c>
      <c r="D3073" t="s">
        <v>22</v>
      </c>
      <c r="E3073" t="s">
        <v>14</v>
      </c>
      <c r="F3073" t="s">
        <v>35</v>
      </c>
      <c r="J3073">
        <v>1</v>
      </c>
      <c r="AJ3073">
        <f>SUM(Post[[#This Row],[47]:[75]])</f>
        <v>1</v>
      </c>
    </row>
    <row r="3074" spans="1:36" x14ac:dyDescent="0.2">
      <c r="A3074" t="s">
        <v>62</v>
      </c>
      <c r="B3074" t="s">
        <v>54</v>
      </c>
      <c r="C3074">
        <v>8503</v>
      </c>
      <c r="D3074" t="s">
        <v>22</v>
      </c>
      <c r="E3074" t="s">
        <v>17</v>
      </c>
      <c r="F3074" t="s">
        <v>18</v>
      </c>
      <c r="H3074">
        <v>1</v>
      </c>
      <c r="L3074">
        <v>1</v>
      </c>
      <c r="R3074">
        <v>1</v>
      </c>
      <c r="U3074">
        <v>1</v>
      </c>
      <c r="Y3074">
        <v>1</v>
      </c>
      <c r="AC3074">
        <v>1</v>
      </c>
      <c r="AF3074">
        <v>1</v>
      </c>
      <c r="AJ3074">
        <f>SUM(Post[[#This Row],[47]:[75]])</f>
        <v>7</v>
      </c>
    </row>
    <row r="3075" spans="1:36" x14ac:dyDescent="0.2">
      <c r="A3075" t="s">
        <v>62</v>
      </c>
      <c r="B3075" t="s">
        <v>54</v>
      </c>
      <c r="C3075">
        <v>8503</v>
      </c>
      <c r="D3075" t="s">
        <v>22</v>
      </c>
      <c r="E3075" t="s">
        <v>14</v>
      </c>
      <c r="F3075" t="s">
        <v>20</v>
      </c>
      <c r="H3075">
        <v>1</v>
      </c>
      <c r="L3075">
        <v>1</v>
      </c>
      <c r="R3075">
        <v>1</v>
      </c>
      <c r="AA3075">
        <v>2</v>
      </c>
      <c r="AJ3075">
        <f>SUM(Post[[#This Row],[47]:[75]])</f>
        <v>5</v>
      </c>
    </row>
    <row r="3076" spans="1:36" x14ac:dyDescent="0.2">
      <c r="A3076" t="s">
        <v>62</v>
      </c>
      <c r="B3076" t="s">
        <v>54</v>
      </c>
      <c r="C3076">
        <v>8559</v>
      </c>
      <c r="D3076" t="s">
        <v>22</v>
      </c>
      <c r="E3076" t="s">
        <v>14</v>
      </c>
      <c r="F3076" t="s">
        <v>20</v>
      </c>
      <c r="AJ3076">
        <f>SUM(Post[[#This Row],[47]:[75]])</f>
        <v>0</v>
      </c>
    </row>
    <row r="3077" spans="1:36" x14ac:dyDescent="0.2">
      <c r="A3077" t="s">
        <v>62</v>
      </c>
      <c r="B3077" t="s">
        <v>54</v>
      </c>
      <c r="C3077">
        <v>12968</v>
      </c>
      <c r="D3077" t="s">
        <v>22</v>
      </c>
      <c r="E3077" t="s">
        <v>10</v>
      </c>
      <c r="F3077" t="s">
        <v>11</v>
      </c>
      <c r="AJ3077">
        <f>SUM(Post[[#This Row],[47]:[75]])</f>
        <v>0</v>
      </c>
    </row>
    <row r="3078" spans="1:36" x14ac:dyDescent="0.2">
      <c r="A3078" t="s">
        <v>62</v>
      </c>
      <c r="B3078" t="s">
        <v>54</v>
      </c>
      <c r="C3078">
        <v>12968</v>
      </c>
      <c r="D3078" t="s">
        <v>22</v>
      </c>
      <c r="E3078" t="s">
        <v>14</v>
      </c>
      <c r="F3078" t="s">
        <v>20</v>
      </c>
      <c r="AJ3078">
        <f>SUM(Post[[#This Row],[47]:[75]])</f>
        <v>0</v>
      </c>
    </row>
    <row r="3079" spans="1:36" x14ac:dyDescent="0.2">
      <c r="A3079" t="s">
        <v>62</v>
      </c>
      <c r="B3079" t="s">
        <v>54</v>
      </c>
      <c r="C3079">
        <v>13070</v>
      </c>
      <c r="D3079" t="s">
        <v>22</v>
      </c>
      <c r="E3079" t="s">
        <v>14</v>
      </c>
      <c r="F3079" t="s">
        <v>20</v>
      </c>
      <c r="AJ3079">
        <f>SUM(Post[[#This Row],[47]:[75]])</f>
        <v>0</v>
      </c>
    </row>
    <row r="3080" spans="1:36" x14ac:dyDescent="0.2">
      <c r="A3080" t="s">
        <v>62</v>
      </c>
      <c r="B3080" t="s">
        <v>54</v>
      </c>
      <c r="C3080">
        <v>17188</v>
      </c>
      <c r="D3080" t="s">
        <v>7</v>
      </c>
      <c r="E3080" t="s">
        <v>10</v>
      </c>
      <c r="F3080" t="s">
        <v>11</v>
      </c>
      <c r="AJ3080">
        <f>SUM(Post[[#This Row],[47]:[75]])</f>
        <v>0</v>
      </c>
    </row>
    <row r="3081" spans="1:36" x14ac:dyDescent="0.2">
      <c r="A3081" t="s">
        <v>62</v>
      </c>
      <c r="B3081" t="s">
        <v>54</v>
      </c>
      <c r="C3081">
        <v>7734</v>
      </c>
      <c r="D3081" t="s">
        <v>7</v>
      </c>
      <c r="E3081" t="s">
        <v>14</v>
      </c>
      <c r="F3081" t="s">
        <v>31</v>
      </c>
      <c r="AJ3081">
        <f>SUM(Post[[#This Row],[47]:[75]])</f>
        <v>0</v>
      </c>
    </row>
    <row r="3082" spans="1:36" x14ac:dyDescent="0.2">
      <c r="A3082" t="s">
        <v>62</v>
      </c>
      <c r="B3082" t="s">
        <v>54</v>
      </c>
      <c r="C3082">
        <v>7734</v>
      </c>
      <c r="D3082" t="s">
        <v>7</v>
      </c>
      <c r="E3082" t="s">
        <v>14</v>
      </c>
      <c r="F3082" t="s">
        <v>28</v>
      </c>
      <c r="S3082">
        <v>1</v>
      </c>
      <c r="AG3082">
        <v>1</v>
      </c>
      <c r="AJ3082">
        <f>SUM(Post[[#This Row],[47]:[75]])</f>
        <v>2</v>
      </c>
    </row>
    <row r="3083" spans="1:36" x14ac:dyDescent="0.2">
      <c r="A3083" t="s">
        <v>62</v>
      </c>
      <c r="B3083" t="s">
        <v>54</v>
      </c>
      <c r="C3083">
        <v>663</v>
      </c>
      <c r="D3083" t="s">
        <v>22</v>
      </c>
      <c r="E3083" t="s">
        <v>10</v>
      </c>
      <c r="F3083" t="s">
        <v>11</v>
      </c>
      <c r="AJ3083">
        <f>SUM(Post[[#This Row],[47]:[75]])</f>
        <v>0</v>
      </c>
    </row>
    <row r="3084" spans="1:36" x14ac:dyDescent="0.2">
      <c r="A3084" t="s">
        <v>62</v>
      </c>
      <c r="B3084" t="s">
        <v>54</v>
      </c>
      <c r="C3084">
        <v>663</v>
      </c>
      <c r="D3084" t="s">
        <v>22</v>
      </c>
      <c r="E3084" t="s">
        <v>14</v>
      </c>
      <c r="F3084" t="s">
        <v>19</v>
      </c>
      <c r="H3084">
        <v>1</v>
      </c>
      <c r="L3084">
        <v>1</v>
      </c>
      <c r="X3084">
        <v>1</v>
      </c>
      <c r="AJ3084">
        <f>SUM(Post[[#This Row],[47]:[75]])</f>
        <v>3</v>
      </c>
    </row>
    <row r="3085" spans="1:36" x14ac:dyDescent="0.2">
      <c r="A3085" t="s">
        <v>62</v>
      </c>
      <c r="B3085" t="s">
        <v>54</v>
      </c>
      <c r="C3085">
        <v>6323</v>
      </c>
      <c r="D3085" t="s">
        <v>22</v>
      </c>
      <c r="E3085" t="s">
        <v>14</v>
      </c>
      <c r="F3085" t="s">
        <v>20</v>
      </c>
      <c r="G3085">
        <v>1</v>
      </c>
      <c r="U3085">
        <v>1</v>
      </c>
      <c r="AG3085">
        <v>1</v>
      </c>
      <c r="AJ3085">
        <f>SUM(Post[[#This Row],[47]:[75]])</f>
        <v>3</v>
      </c>
    </row>
    <row r="3086" spans="1:36" x14ac:dyDescent="0.2">
      <c r="A3086" t="s">
        <v>62</v>
      </c>
      <c r="B3086" t="s">
        <v>54</v>
      </c>
      <c r="C3086">
        <v>10200</v>
      </c>
      <c r="D3086" t="s">
        <v>22</v>
      </c>
      <c r="E3086" t="s">
        <v>14</v>
      </c>
      <c r="F3086" t="s">
        <v>20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J3086">
        <f>SUM(Post[[#This Row],[47]:[75]])</f>
        <v>21</v>
      </c>
    </row>
    <row r="3087" spans="1:36" x14ac:dyDescent="0.2">
      <c r="A3087" t="s">
        <v>62</v>
      </c>
      <c r="B3087" t="s">
        <v>54</v>
      </c>
      <c r="C3087">
        <v>19144</v>
      </c>
      <c r="D3087" t="s">
        <v>22</v>
      </c>
      <c r="E3087" t="s">
        <v>14</v>
      </c>
      <c r="F3087" t="s">
        <v>20</v>
      </c>
      <c r="S3087">
        <v>1</v>
      </c>
      <c r="AJ3087">
        <f>SUM(Post[[#This Row],[47]:[75]])</f>
        <v>1</v>
      </c>
    </row>
    <row r="3088" spans="1:36" x14ac:dyDescent="0.2">
      <c r="A3088" t="s">
        <v>62</v>
      </c>
      <c r="B3088" t="s">
        <v>54</v>
      </c>
      <c r="C3088">
        <v>6109</v>
      </c>
      <c r="D3088" t="s">
        <v>7</v>
      </c>
      <c r="E3088" t="s">
        <v>8</v>
      </c>
      <c r="F3088" t="s">
        <v>23</v>
      </c>
      <c r="H3088">
        <v>1</v>
      </c>
      <c r="AJ3088">
        <f>SUM(Post[[#This Row],[47]:[75]])</f>
        <v>1</v>
      </c>
    </row>
    <row r="3089" spans="1:36" x14ac:dyDescent="0.2">
      <c r="A3089" t="s">
        <v>62</v>
      </c>
      <c r="B3089" t="s">
        <v>54</v>
      </c>
      <c r="C3089">
        <v>6437</v>
      </c>
      <c r="D3089" t="s">
        <v>7</v>
      </c>
      <c r="E3089" t="s">
        <v>8</v>
      </c>
      <c r="F3089" t="s">
        <v>9</v>
      </c>
      <c r="Q3089">
        <v>1</v>
      </c>
      <c r="AJ3089">
        <f>SUM(Post[[#This Row],[47]:[75]])</f>
        <v>1</v>
      </c>
    </row>
    <row r="3090" spans="1:36" x14ac:dyDescent="0.2">
      <c r="A3090" t="s">
        <v>62</v>
      </c>
      <c r="B3090" t="s">
        <v>54</v>
      </c>
      <c r="C3090">
        <v>10039</v>
      </c>
      <c r="D3090" t="s">
        <v>7</v>
      </c>
      <c r="E3090" t="s">
        <v>8</v>
      </c>
      <c r="F3090" t="s">
        <v>29</v>
      </c>
      <c r="J3090">
        <v>1</v>
      </c>
      <c r="Y3090">
        <v>1</v>
      </c>
      <c r="AJ3090">
        <f>SUM(Post[[#This Row],[47]:[75]])</f>
        <v>2</v>
      </c>
    </row>
    <row r="3091" spans="1:36" x14ac:dyDescent="0.2">
      <c r="A3091" t="s">
        <v>62</v>
      </c>
      <c r="B3091" t="s">
        <v>54</v>
      </c>
      <c r="C3091">
        <v>806</v>
      </c>
      <c r="D3091" t="s">
        <v>22</v>
      </c>
      <c r="E3091" t="s">
        <v>8</v>
      </c>
      <c r="F3091" t="s">
        <v>23</v>
      </c>
      <c r="I3091">
        <v>1</v>
      </c>
      <c r="S3091">
        <v>1</v>
      </c>
      <c r="AH3091">
        <v>1</v>
      </c>
      <c r="AJ3091">
        <f>SUM(Post[[#This Row],[47]:[75]])</f>
        <v>3</v>
      </c>
    </row>
    <row r="3092" spans="1:36" x14ac:dyDescent="0.2">
      <c r="A3092" t="s">
        <v>62</v>
      </c>
      <c r="B3092" t="s">
        <v>54</v>
      </c>
      <c r="C3092">
        <v>2190</v>
      </c>
      <c r="D3092" t="s">
        <v>22</v>
      </c>
      <c r="E3092" t="s">
        <v>8</v>
      </c>
      <c r="F3092" t="s">
        <v>23</v>
      </c>
      <c r="H3092">
        <v>1</v>
      </c>
      <c r="W3092">
        <v>1</v>
      </c>
      <c r="AJ3092">
        <f>SUM(Post[[#This Row],[47]:[75]])</f>
        <v>2</v>
      </c>
    </row>
    <row r="3093" spans="1:36" x14ac:dyDescent="0.2">
      <c r="A3093" t="s">
        <v>62</v>
      </c>
      <c r="B3093" t="s">
        <v>54</v>
      </c>
      <c r="C3093">
        <v>3502</v>
      </c>
      <c r="D3093" t="s">
        <v>22</v>
      </c>
      <c r="E3093" t="s">
        <v>8</v>
      </c>
      <c r="F3093" t="s">
        <v>23</v>
      </c>
      <c r="L3093">
        <v>1</v>
      </c>
      <c r="AD3093">
        <v>1</v>
      </c>
      <c r="AJ3093">
        <f>SUM(Post[[#This Row],[47]:[75]])</f>
        <v>2</v>
      </c>
    </row>
    <row r="3094" spans="1:36" x14ac:dyDescent="0.2">
      <c r="A3094" t="s">
        <v>62</v>
      </c>
      <c r="B3094" t="s">
        <v>54</v>
      </c>
      <c r="C3094">
        <v>5315</v>
      </c>
      <c r="D3094" t="s">
        <v>22</v>
      </c>
      <c r="E3094" t="s">
        <v>8</v>
      </c>
      <c r="F3094" t="s">
        <v>45</v>
      </c>
      <c r="G3094">
        <v>1</v>
      </c>
      <c r="O3094">
        <v>1</v>
      </c>
      <c r="S3094">
        <v>1</v>
      </c>
      <c r="W3094">
        <v>1</v>
      </c>
      <c r="AB3094">
        <v>1</v>
      </c>
      <c r="AF3094">
        <v>1</v>
      </c>
      <c r="AJ3094">
        <f>SUM(Post[[#This Row],[47]:[75]])</f>
        <v>6</v>
      </c>
    </row>
    <row r="3095" spans="1:36" x14ac:dyDescent="0.2">
      <c r="A3095" t="s">
        <v>62</v>
      </c>
      <c r="B3095" t="s">
        <v>54</v>
      </c>
      <c r="C3095">
        <v>5387</v>
      </c>
      <c r="D3095" t="s">
        <v>22</v>
      </c>
      <c r="E3095" t="s">
        <v>8</v>
      </c>
      <c r="F3095" t="s">
        <v>29</v>
      </c>
      <c r="AJ3095">
        <f>SUM(Post[[#This Row],[47]:[75]])</f>
        <v>0</v>
      </c>
    </row>
    <row r="3096" spans="1:36" x14ac:dyDescent="0.2">
      <c r="A3096" t="s">
        <v>62</v>
      </c>
      <c r="B3096" t="s">
        <v>54</v>
      </c>
      <c r="C3096">
        <v>5990</v>
      </c>
      <c r="D3096" t="s">
        <v>22</v>
      </c>
      <c r="E3096" t="s">
        <v>8</v>
      </c>
      <c r="F3096" t="s">
        <v>23</v>
      </c>
      <c r="AJ3096">
        <f>SUM(Post[[#This Row],[47]:[75]])</f>
        <v>0</v>
      </c>
    </row>
    <row r="3097" spans="1:36" x14ac:dyDescent="0.2">
      <c r="A3097" t="s">
        <v>62</v>
      </c>
      <c r="B3097" t="s">
        <v>54</v>
      </c>
      <c r="C3097">
        <v>6060</v>
      </c>
      <c r="D3097" t="s">
        <v>22</v>
      </c>
      <c r="E3097" t="s">
        <v>8</v>
      </c>
      <c r="F3097" t="s">
        <v>9</v>
      </c>
      <c r="S3097">
        <v>1</v>
      </c>
      <c r="AH3097">
        <v>1</v>
      </c>
      <c r="AJ3097">
        <f>SUM(Post[[#This Row],[47]:[75]])</f>
        <v>2</v>
      </c>
    </row>
    <row r="3098" spans="1:36" x14ac:dyDescent="0.2">
      <c r="A3098" t="s">
        <v>62</v>
      </c>
      <c r="B3098" t="s">
        <v>54</v>
      </c>
      <c r="C3098">
        <v>7727</v>
      </c>
      <c r="D3098" t="s">
        <v>22</v>
      </c>
      <c r="E3098" t="s">
        <v>8</v>
      </c>
      <c r="F3098" t="s">
        <v>29</v>
      </c>
      <c r="I3098">
        <v>1</v>
      </c>
      <c r="Y3098">
        <v>1</v>
      </c>
      <c r="AJ3098">
        <f>SUM(Post[[#This Row],[47]:[75]])</f>
        <v>2</v>
      </c>
    </row>
    <row r="3099" spans="1:36" x14ac:dyDescent="0.2">
      <c r="A3099" t="s">
        <v>62</v>
      </c>
      <c r="B3099" t="s">
        <v>54</v>
      </c>
      <c r="C3099">
        <v>8305</v>
      </c>
      <c r="D3099" t="s">
        <v>22</v>
      </c>
      <c r="E3099" t="s">
        <v>8</v>
      </c>
      <c r="F3099" t="s">
        <v>23</v>
      </c>
      <c r="AF3099">
        <v>1</v>
      </c>
      <c r="AJ3099">
        <f>SUM(Post[[#This Row],[47]:[75]])</f>
        <v>1</v>
      </c>
    </row>
    <row r="3100" spans="1:36" x14ac:dyDescent="0.2">
      <c r="A3100" t="s">
        <v>62</v>
      </c>
      <c r="B3100" t="s">
        <v>54</v>
      </c>
      <c r="C3100">
        <v>10753</v>
      </c>
      <c r="D3100" t="s">
        <v>22</v>
      </c>
      <c r="E3100" t="s">
        <v>8</v>
      </c>
      <c r="F3100" t="s">
        <v>23</v>
      </c>
      <c r="AJ3100">
        <f>SUM(Post[[#This Row],[47]:[75]])</f>
        <v>0</v>
      </c>
    </row>
    <row r="3101" spans="1:36" x14ac:dyDescent="0.2">
      <c r="A3101" t="s">
        <v>62</v>
      </c>
      <c r="B3101" t="s">
        <v>54</v>
      </c>
      <c r="C3101">
        <v>11249</v>
      </c>
      <c r="D3101" t="s">
        <v>22</v>
      </c>
      <c r="E3101" t="s">
        <v>8</v>
      </c>
      <c r="F3101" t="s">
        <v>29</v>
      </c>
      <c r="Y3101">
        <v>1</v>
      </c>
      <c r="AJ3101">
        <f>SUM(Post[[#This Row],[47]:[75]])</f>
        <v>1</v>
      </c>
    </row>
    <row r="3102" spans="1:36" x14ac:dyDescent="0.2">
      <c r="A3102" t="s">
        <v>62</v>
      </c>
      <c r="B3102" t="s">
        <v>54</v>
      </c>
      <c r="C3102">
        <v>13044</v>
      </c>
      <c r="D3102" t="s">
        <v>22</v>
      </c>
      <c r="E3102" t="s">
        <v>8</v>
      </c>
      <c r="F3102" t="s">
        <v>9</v>
      </c>
      <c r="K3102">
        <v>2</v>
      </c>
      <c r="AJ3102">
        <f>SUM(Post[[#This Row],[47]:[75]])</f>
        <v>2</v>
      </c>
    </row>
    <row r="3103" spans="1:36" x14ac:dyDescent="0.2">
      <c r="A3103" t="s">
        <v>62</v>
      </c>
      <c r="B3103" t="s">
        <v>54</v>
      </c>
      <c r="C3103">
        <v>13582</v>
      </c>
      <c r="D3103" t="s">
        <v>22</v>
      </c>
      <c r="E3103" t="s">
        <v>8</v>
      </c>
      <c r="F3103" t="s">
        <v>9</v>
      </c>
      <c r="I3103">
        <v>1</v>
      </c>
      <c r="U3103">
        <v>2</v>
      </c>
      <c r="AJ3103">
        <f>SUM(Post[[#This Row],[47]:[75]])</f>
        <v>3</v>
      </c>
    </row>
    <row r="3104" spans="1:36" x14ac:dyDescent="0.2">
      <c r="A3104" t="s">
        <v>62</v>
      </c>
      <c r="B3104" t="s">
        <v>54</v>
      </c>
      <c r="C3104">
        <v>14126</v>
      </c>
      <c r="D3104" t="s">
        <v>22</v>
      </c>
      <c r="E3104" t="s">
        <v>8</v>
      </c>
      <c r="F3104" t="s">
        <v>23</v>
      </c>
      <c r="O3104">
        <v>1</v>
      </c>
      <c r="X3104">
        <v>1</v>
      </c>
      <c r="AJ3104">
        <f>SUM(Post[[#This Row],[47]:[75]])</f>
        <v>2</v>
      </c>
    </row>
    <row r="3105" spans="1:36" x14ac:dyDescent="0.2">
      <c r="A3105" t="s">
        <v>62</v>
      </c>
      <c r="B3105" t="s">
        <v>54</v>
      </c>
      <c r="C3105">
        <v>17187</v>
      </c>
      <c r="D3105" t="s">
        <v>22</v>
      </c>
      <c r="E3105" t="s">
        <v>37</v>
      </c>
      <c r="F3105" t="s">
        <v>39</v>
      </c>
      <c r="I3105">
        <v>2</v>
      </c>
      <c r="X3105">
        <v>1</v>
      </c>
      <c r="AJ3105">
        <f>SUM(Post[[#This Row],[47]:[75]])</f>
        <v>3</v>
      </c>
    </row>
    <row r="3106" spans="1:36" x14ac:dyDescent="0.2">
      <c r="A3106" t="s">
        <v>62</v>
      </c>
      <c r="B3106" t="s">
        <v>54</v>
      </c>
      <c r="C3106">
        <v>17187</v>
      </c>
      <c r="D3106" t="s">
        <v>22</v>
      </c>
      <c r="E3106" t="s">
        <v>37</v>
      </c>
      <c r="F3106" t="s">
        <v>38</v>
      </c>
      <c r="X3106">
        <v>1</v>
      </c>
      <c r="AJ3106">
        <f>SUM(Post[[#This Row],[47]:[75]])</f>
        <v>1</v>
      </c>
    </row>
    <row r="3107" spans="1:36" x14ac:dyDescent="0.2">
      <c r="A3107" t="s">
        <v>62</v>
      </c>
      <c r="B3107" t="s">
        <v>54</v>
      </c>
      <c r="C3107">
        <v>17187</v>
      </c>
      <c r="D3107" t="s">
        <v>22</v>
      </c>
      <c r="E3107" t="s">
        <v>8</v>
      </c>
      <c r="F3107" t="s">
        <v>23</v>
      </c>
      <c r="AJ3107">
        <f>SUM(Post[[#This Row],[47]:[75]])</f>
        <v>0</v>
      </c>
    </row>
    <row r="3108" spans="1:36" x14ac:dyDescent="0.2">
      <c r="A3108" t="s">
        <v>62</v>
      </c>
      <c r="B3108" t="s">
        <v>54</v>
      </c>
      <c r="C3108">
        <v>17554</v>
      </c>
      <c r="D3108" t="s">
        <v>22</v>
      </c>
      <c r="E3108" t="s">
        <v>8</v>
      </c>
      <c r="F3108" t="s">
        <v>23</v>
      </c>
      <c r="AJ3108">
        <f>SUM(Post[[#This Row],[47]:[75]])</f>
        <v>0</v>
      </c>
    </row>
    <row r="3109" spans="1:36" x14ac:dyDescent="0.2">
      <c r="A3109" t="s">
        <v>62</v>
      </c>
      <c r="B3109" t="s">
        <v>54</v>
      </c>
      <c r="C3109">
        <v>19214</v>
      </c>
      <c r="D3109" t="s">
        <v>22</v>
      </c>
      <c r="E3109" t="s">
        <v>8</v>
      </c>
      <c r="F3109" t="s">
        <v>23</v>
      </c>
      <c r="O3109">
        <v>1</v>
      </c>
      <c r="AJ3109">
        <f>SUM(Post[[#This Row],[47]:[75]])</f>
        <v>1</v>
      </c>
    </row>
    <row r="3110" spans="1:36" x14ac:dyDescent="0.2">
      <c r="A3110" t="s">
        <v>62</v>
      </c>
      <c r="B3110" t="s">
        <v>54</v>
      </c>
      <c r="C3110">
        <v>21273</v>
      </c>
      <c r="D3110" t="s">
        <v>22</v>
      </c>
      <c r="E3110" t="s">
        <v>37</v>
      </c>
      <c r="F3110" t="s">
        <v>39</v>
      </c>
      <c r="I3110">
        <v>1</v>
      </c>
      <c r="T3110">
        <v>2</v>
      </c>
      <c r="AJ3110">
        <f>SUM(Post[[#This Row],[47]:[75]])</f>
        <v>3</v>
      </c>
    </row>
    <row r="3111" spans="1:36" x14ac:dyDescent="0.2">
      <c r="A3111" t="s">
        <v>62</v>
      </c>
      <c r="B3111" t="s">
        <v>54</v>
      </c>
      <c r="C3111">
        <v>21273</v>
      </c>
      <c r="D3111" t="s">
        <v>22</v>
      </c>
      <c r="E3111" t="s">
        <v>37</v>
      </c>
      <c r="F3111" t="s">
        <v>38</v>
      </c>
      <c r="AC3111">
        <v>1</v>
      </c>
      <c r="AJ3111">
        <f>SUM(Post[[#This Row],[47]:[75]])</f>
        <v>1</v>
      </c>
    </row>
    <row r="3112" spans="1:36" x14ac:dyDescent="0.2">
      <c r="A3112" t="s">
        <v>62</v>
      </c>
      <c r="B3112" t="s">
        <v>54</v>
      </c>
      <c r="C3112">
        <v>21767</v>
      </c>
      <c r="D3112" t="s">
        <v>22</v>
      </c>
      <c r="E3112" t="s">
        <v>8</v>
      </c>
      <c r="F3112" t="s">
        <v>23</v>
      </c>
      <c r="I3112">
        <v>1</v>
      </c>
      <c r="X3112">
        <v>1</v>
      </c>
      <c r="AJ3112">
        <f>SUM(Post[[#This Row],[47]:[75]])</f>
        <v>2</v>
      </c>
    </row>
    <row r="3113" spans="1:36" x14ac:dyDescent="0.2">
      <c r="A3113" t="s">
        <v>62</v>
      </c>
      <c r="B3113" t="s">
        <v>54</v>
      </c>
      <c r="C3113">
        <v>23597</v>
      </c>
      <c r="D3113" t="s">
        <v>22</v>
      </c>
      <c r="E3113" t="s">
        <v>8</v>
      </c>
      <c r="F3113" t="s">
        <v>23</v>
      </c>
      <c r="AJ3113">
        <f>SUM(Post[[#This Row],[47]:[75]])</f>
        <v>0</v>
      </c>
    </row>
    <row r="3114" spans="1:36" x14ac:dyDescent="0.2">
      <c r="A3114" t="s">
        <v>62</v>
      </c>
      <c r="B3114" t="s">
        <v>54</v>
      </c>
      <c r="C3114">
        <v>23616</v>
      </c>
      <c r="D3114" t="s">
        <v>22</v>
      </c>
      <c r="E3114" t="s">
        <v>8</v>
      </c>
      <c r="F3114" t="s">
        <v>23</v>
      </c>
      <c r="R3114">
        <v>1</v>
      </c>
      <c r="AE3114">
        <v>1</v>
      </c>
      <c r="AJ3114">
        <f>SUM(Post[[#This Row],[47]:[75]])</f>
        <v>2</v>
      </c>
    </row>
    <row r="3115" spans="1:36" x14ac:dyDescent="0.2">
      <c r="A3115" t="s">
        <v>62</v>
      </c>
      <c r="B3115" t="s">
        <v>54</v>
      </c>
      <c r="C3115">
        <v>27386</v>
      </c>
      <c r="D3115" t="s">
        <v>22</v>
      </c>
      <c r="E3115" t="s">
        <v>8</v>
      </c>
      <c r="F3115" t="s">
        <v>23</v>
      </c>
      <c r="Y3115">
        <v>1</v>
      </c>
      <c r="AC3115">
        <v>1</v>
      </c>
      <c r="AJ3115">
        <f>SUM(Post[[#This Row],[47]:[75]])</f>
        <v>2</v>
      </c>
    </row>
    <row r="3116" spans="1:36" x14ac:dyDescent="0.2">
      <c r="A3116" t="s">
        <v>62</v>
      </c>
      <c r="B3116" t="s">
        <v>54</v>
      </c>
      <c r="C3116">
        <v>28384</v>
      </c>
      <c r="D3116" t="s">
        <v>22</v>
      </c>
      <c r="E3116" t="s">
        <v>8</v>
      </c>
      <c r="F3116" t="s">
        <v>29</v>
      </c>
      <c r="G3116">
        <v>2</v>
      </c>
      <c r="AJ3116">
        <f>SUM(Post[[#This Row],[47]:[75]])</f>
        <v>2</v>
      </c>
    </row>
    <row r="3117" spans="1:36" x14ac:dyDescent="0.2">
      <c r="A3117" t="s">
        <v>62</v>
      </c>
      <c r="B3117" t="s">
        <v>54</v>
      </c>
      <c r="C3117">
        <v>28872</v>
      </c>
      <c r="D3117" t="s">
        <v>22</v>
      </c>
      <c r="E3117" t="s">
        <v>8</v>
      </c>
      <c r="F3117" t="s">
        <v>23</v>
      </c>
      <c r="I3117">
        <v>1</v>
      </c>
      <c r="W3117">
        <v>1</v>
      </c>
      <c r="AH3117">
        <v>1</v>
      </c>
      <c r="AJ3117">
        <f>SUM(Post[[#This Row],[47]:[75]])</f>
        <v>3</v>
      </c>
    </row>
    <row r="3118" spans="1:36" x14ac:dyDescent="0.2">
      <c r="A3118" t="s">
        <v>62</v>
      </c>
      <c r="B3118" t="s">
        <v>54</v>
      </c>
      <c r="C3118">
        <v>33099</v>
      </c>
      <c r="D3118" t="s">
        <v>22</v>
      </c>
      <c r="E3118" t="s">
        <v>8</v>
      </c>
      <c r="F3118" t="s">
        <v>29</v>
      </c>
      <c r="R3118">
        <v>2</v>
      </c>
      <c r="AD3118">
        <v>1</v>
      </c>
      <c r="AJ3118">
        <f>SUM(Post[[#This Row],[47]:[75]])</f>
        <v>3</v>
      </c>
    </row>
    <row r="3119" spans="1:36" x14ac:dyDescent="0.2">
      <c r="A3119" t="s">
        <v>62</v>
      </c>
      <c r="B3119" t="s">
        <v>54</v>
      </c>
      <c r="C3119">
        <v>5938</v>
      </c>
      <c r="D3119" t="s">
        <v>7</v>
      </c>
      <c r="E3119" t="s">
        <v>8</v>
      </c>
      <c r="F3119" t="s">
        <v>23</v>
      </c>
      <c r="G3119">
        <v>1</v>
      </c>
      <c r="V3119">
        <v>1</v>
      </c>
      <c r="AH3119">
        <v>1</v>
      </c>
      <c r="AJ3119">
        <f>SUM(Post[[#This Row],[47]:[75]])</f>
        <v>3</v>
      </c>
    </row>
    <row r="3120" spans="1:36" x14ac:dyDescent="0.2">
      <c r="A3120" t="s">
        <v>62</v>
      </c>
      <c r="B3120" t="s">
        <v>54</v>
      </c>
      <c r="C3120">
        <v>6247</v>
      </c>
      <c r="D3120" t="s">
        <v>7</v>
      </c>
      <c r="E3120" t="s">
        <v>8</v>
      </c>
      <c r="F3120" t="s">
        <v>23</v>
      </c>
      <c r="AJ3120">
        <f>SUM(Post[[#This Row],[47]:[75]])</f>
        <v>0</v>
      </c>
    </row>
    <row r="3121" spans="1:36" x14ac:dyDescent="0.2">
      <c r="A3121" t="s">
        <v>62</v>
      </c>
      <c r="B3121" t="s">
        <v>54</v>
      </c>
      <c r="C3121">
        <v>7271</v>
      </c>
      <c r="D3121" t="s">
        <v>7</v>
      </c>
      <c r="E3121" t="s">
        <v>8</v>
      </c>
      <c r="F3121" t="s">
        <v>29</v>
      </c>
      <c r="J3121">
        <v>1</v>
      </c>
      <c r="AJ3121">
        <f>SUM(Post[[#This Row],[47]:[75]])</f>
        <v>1</v>
      </c>
    </row>
    <row r="3122" spans="1:36" x14ac:dyDescent="0.2">
      <c r="A3122" t="s">
        <v>62</v>
      </c>
      <c r="B3122" t="s">
        <v>54</v>
      </c>
      <c r="C3122">
        <v>8695</v>
      </c>
      <c r="D3122" t="s">
        <v>7</v>
      </c>
      <c r="E3122" t="s">
        <v>8</v>
      </c>
      <c r="F3122" t="s">
        <v>23</v>
      </c>
      <c r="AJ3122">
        <f>SUM(Post[[#This Row],[47]:[75]])</f>
        <v>0</v>
      </c>
    </row>
    <row r="3123" spans="1:36" x14ac:dyDescent="0.2">
      <c r="A3123" t="s">
        <v>62</v>
      </c>
      <c r="B3123" t="s">
        <v>54</v>
      </c>
      <c r="C3123">
        <v>9740</v>
      </c>
      <c r="D3123" t="s">
        <v>7</v>
      </c>
      <c r="E3123" t="s">
        <v>8</v>
      </c>
      <c r="F3123" t="s">
        <v>9</v>
      </c>
      <c r="AJ3123">
        <f>SUM(Post[[#This Row],[47]:[75]])</f>
        <v>0</v>
      </c>
    </row>
    <row r="3124" spans="1:36" x14ac:dyDescent="0.2">
      <c r="A3124" t="s">
        <v>62</v>
      </c>
      <c r="B3124" t="s">
        <v>54</v>
      </c>
      <c r="C3124">
        <v>9740</v>
      </c>
      <c r="D3124" t="s">
        <v>7</v>
      </c>
      <c r="E3124" t="s">
        <v>8</v>
      </c>
      <c r="F3124" t="s">
        <v>29</v>
      </c>
      <c r="AJ3124">
        <f>SUM(Post[[#This Row],[47]:[75]])</f>
        <v>0</v>
      </c>
    </row>
    <row r="3125" spans="1:36" x14ac:dyDescent="0.2">
      <c r="A3125" t="s">
        <v>62</v>
      </c>
      <c r="B3125" t="s">
        <v>54</v>
      </c>
      <c r="C3125">
        <v>10114</v>
      </c>
      <c r="D3125" t="s">
        <v>7</v>
      </c>
      <c r="E3125" t="s">
        <v>8</v>
      </c>
      <c r="F3125" t="s">
        <v>23</v>
      </c>
      <c r="O3125">
        <v>1</v>
      </c>
      <c r="AJ3125">
        <f>SUM(Post[[#This Row],[47]:[75]])</f>
        <v>1</v>
      </c>
    </row>
    <row r="3126" spans="1:36" x14ac:dyDescent="0.2">
      <c r="A3126" t="s">
        <v>62</v>
      </c>
      <c r="B3126" t="s">
        <v>54</v>
      </c>
      <c r="C3126">
        <v>21772</v>
      </c>
      <c r="D3126" t="s">
        <v>7</v>
      </c>
      <c r="E3126" t="s">
        <v>8</v>
      </c>
      <c r="F3126" t="s">
        <v>23</v>
      </c>
      <c r="U3126">
        <v>1</v>
      </c>
      <c r="X3126">
        <v>1</v>
      </c>
      <c r="AJ3126">
        <f>SUM(Post[[#This Row],[47]:[75]])</f>
        <v>2</v>
      </c>
    </row>
    <row r="3127" spans="1:36" x14ac:dyDescent="0.2">
      <c r="A3127" t="s">
        <v>62</v>
      </c>
      <c r="B3127" t="s">
        <v>54</v>
      </c>
      <c r="C3127">
        <v>3607</v>
      </c>
      <c r="D3127" t="s">
        <v>22</v>
      </c>
      <c r="E3127" t="s">
        <v>8</v>
      </c>
      <c r="F3127" t="s">
        <v>29</v>
      </c>
      <c r="AJ3127">
        <f>SUM(Post[[#This Row],[47]:[75]])</f>
        <v>0</v>
      </c>
    </row>
    <row r="3128" spans="1:36" x14ac:dyDescent="0.2">
      <c r="A3128" t="s">
        <v>62</v>
      </c>
      <c r="B3128" t="s">
        <v>54</v>
      </c>
      <c r="C3128">
        <v>5444</v>
      </c>
      <c r="D3128" t="s">
        <v>22</v>
      </c>
      <c r="E3128" t="s">
        <v>8</v>
      </c>
      <c r="F3128" t="s">
        <v>9</v>
      </c>
      <c r="AJ3128">
        <f>SUM(Post[[#This Row],[47]:[75]])</f>
        <v>0</v>
      </c>
    </row>
    <row r="3129" spans="1:36" x14ac:dyDescent="0.2">
      <c r="A3129" t="s">
        <v>62</v>
      </c>
      <c r="B3129" t="s">
        <v>54</v>
      </c>
      <c r="C3129">
        <v>6083</v>
      </c>
      <c r="D3129" t="s">
        <v>22</v>
      </c>
      <c r="E3129" t="s">
        <v>8</v>
      </c>
      <c r="F3129" t="s">
        <v>23</v>
      </c>
      <c r="G3129">
        <v>2</v>
      </c>
      <c r="H3129">
        <v>1</v>
      </c>
      <c r="AJ3129">
        <f>SUM(Post[[#This Row],[47]:[75]])</f>
        <v>3</v>
      </c>
    </row>
    <row r="3130" spans="1:36" x14ac:dyDescent="0.2">
      <c r="A3130" t="s">
        <v>62</v>
      </c>
      <c r="B3130" t="s">
        <v>54</v>
      </c>
      <c r="C3130">
        <v>7311</v>
      </c>
      <c r="D3130" t="s">
        <v>22</v>
      </c>
      <c r="E3130" t="s">
        <v>8</v>
      </c>
      <c r="F3130" t="s">
        <v>23</v>
      </c>
      <c r="S3130">
        <v>1</v>
      </c>
      <c r="AJ3130">
        <f>SUM(Post[[#This Row],[47]:[75]])</f>
        <v>1</v>
      </c>
    </row>
    <row r="3131" spans="1:36" x14ac:dyDescent="0.2">
      <c r="A3131" t="s">
        <v>62</v>
      </c>
      <c r="B3131" t="s">
        <v>54</v>
      </c>
      <c r="C3131">
        <v>9706</v>
      </c>
      <c r="D3131" t="s">
        <v>22</v>
      </c>
      <c r="E3131" t="s">
        <v>8</v>
      </c>
      <c r="F3131" t="s">
        <v>23</v>
      </c>
      <c r="J3131">
        <v>1</v>
      </c>
      <c r="AJ3131">
        <f>SUM(Post[[#This Row],[47]:[75]])</f>
        <v>1</v>
      </c>
    </row>
    <row r="3132" spans="1:36" x14ac:dyDescent="0.2">
      <c r="A3132" t="s">
        <v>62</v>
      </c>
      <c r="B3132" t="s">
        <v>54</v>
      </c>
      <c r="C3132">
        <v>9706</v>
      </c>
      <c r="D3132" t="s">
        <v>22</v>
      </c>
      <c r="E3132" t="s">
        <v>26</v>
      </c>
      <c r="F3132" t="s">
        <v>27</v>
      </c>
      <c r="L3132">
        <v>1</v>
      </c>
      <c r="AJ3132">
        <f>SUM(Post[[#This Row],[47]:[75]])</f>
        <v>1</v>
      </c>
    </row>
    <row r="3133" spans="1:36" x14ac:dyDescent="0.2">
      <c r="A3133" t="s">
        <v>62</v>
      </c>
      <c r="B3133" t="s">
        <v>54</v>
      </c>
      <c r="C3133">
        <v>10565</v>
      </c>
      <c r="D3133" t="s">
        <v>22</v>
      </c>
      <c r="E3133" t="s">
        <v>8</v>
      </c>
      <c r="F3133" t="s">
        <v>23</v>
      </c>
      <c r="G3133">
        <v>1</v>
      </c>
      <c r="V3133">
        <v>1</v>
      </c>
      <c r="AJ3133">
        <f>SUM(Post[[#This Row],[47]:[75]])</f>
        <v>2</v>
      </c>
    </row>
    <row r="3134" spans="1:36" x14ac:dyDescent="0.2">
      <c r="A3134" t="s">
        <v>62</v>
      </c>
      <c r="B3134" t="s">
        <v>54</v>
      </c>
      <c r="C3134">
        <v>10705</v>
      </c>
      <c r="D3134" t="s">
        <v>22</v>
      </c>
      <c r="E3134" t="s">
        <v>8</v>
      </c>
      <c r="F3134" t="s">
        <v>23</v>
      </c>
      <c r="J3134">
        <v>1</v>
      </c>
      <c r="AJ3134">
        <f>SUM(Post[[#This Row],[47]:[75]])</f>
        <v>1</v>
      </c>
    </row>
    <row r="3135" spans="1:36" x14ac:dyDescent="0.2">
      <c r="A3135" t="s">
        <v>62</v>
      </c>
      <c r="B3135" t="s">
        <v>54</v>
      </c>
      <c r="C3135">
        <v>13066</v>
      </c>
      <c r="D3135" t="s">
        <v>22</v>
      </c>
      <c r="E3135" t="s">
        <v>8</v>
      </c>
      <c r="F3135" t="s">
        <v>29</v>
      </c>
      <c r="U3135">
        <v>2</v>
      </c>
      <c r="AB3135">
        <v>1</v>
      </c>
      <c r="AG3135">
        <v>1</v>
      </c>
      <c r="AJ3135">
        <f>SUM(Post[[#This Row],[47]:[75]])</f>
        <v>4</v>
      </c>
    </row>
    <row r="3136" spans="1:36" x14ac:dyDescent="0.2">
      <c r="A3136" t="s">
        <v>147</v>
      </c>
      <c r="G3136">
        <f>SUBTOTAL(109,Post[47])</f>
        <v>332</v>
      </c>
      <c r="H3136">
        <f>SUBTOTAL(109,Post[48])</f>
        <v>330</v>
      </c>
      <c r="I3136">
        <f>SUBTOTAL(109,Post[49])</f>
        <v>331</v>
      </c>
      <c r="J3136">
        <f>SUBTOTAL(109,Post[50])</f>
        <v>354</v>
      </c>
      <c r="K3136">
        <f>SUBTOTAL(109,Post[51])</f>
        <v>341</v>
      </c>
      <c r="L3136">
        <f>SUBTOTAL(109,Post[52])</f>
        <v>280</v>
      </c>
      <c r="M3136">
        <f>SUBTOTAL(109,Post[53])</f>
        <v>0</v>
      </c>
      <c r="N3136">
        <f>SUBTOTAL(109,Post[54])</f>
        <v>253</v>
      </c>
      <c r="O3136">
        <f>SUBTOTAL(109,Post[55])</f>
        <v>315</v>
      </c>
      <c r="P3136">
        <f>SUBTOTAL(109,Post[56])</f>
        <v>266</v>
      </c>
      <c r="Q3136">
        <f>SUBTOTAL(109,Post[57])</f>
        <v>339</v>
      </c>
      <c r="R3136">
        <f>SUBTOTAL(109,Post[58])</f>
        <v>291</v>
      </c>
      <c r="S3136">
        <f>SUBTOTAL(109,Post[59])</f>
        <v>287</v>
      </c>
      <c r="T3136">
        <f>SUBTOTAL(109,Post[60])</f>
        <v>266</v>
      </c>
      <c r="U3136">
        <f>SUBTOTAL(109,Post[61])</f>
        <v>300</v>
      </c>
      <c r="V3136">
        <f>SUBTOTAL(109,Post[62])</f>
        <v>314</v>
      </c>
      <c r="W3136">
        <f>SUBTOTAL(109,Post[63])</f>
        <v>319</v>
      </c>
      <c r="X3136">
        <f>SUBTOTAL(109,Post[64])</f>
        <v>334</v>
      </c>
      <c r="Y3136">
        <f>SUBTOTAL(109,Post[65])</f>
        <v>283</v>
      </c>
      <c r="Z3136">
        <f>SUBTOTAL(109,Post[66])</f>
        <v>314</v>
      </c>
      <c r="AA3136">
        <f>SUBTOTAL(109,Post[67])</f>
        <v>309</v>
      </c>
      <c r="AB3136">
        <f>SUBTOTAL(109,Post[68])</f>
        <v>323</v>
      </c>
      <c r="AC3136">
        <f>SUBTOTAL(109,Post[69])</f>
        <v>332</v>
      </c>
      <c r="AD3136">
        <f>SUBTOTAL(109,Post[70])</f>
        <v>342</v>
      </c>
      <c r="AE3136">
        <f>SUBTOTAL(109,Post[71])</f>
        <v>315</v>
      </c>
      <c r="AF3136">
        <f>SUBTOTAL(109,Post[72])</f>
        <v>317</v>
      </c>
      <c r="AG3136">
        <f>SUBTOTAL(109,Post[73])</f>
        <v>325</v>
      </c>
      <c r="AH3136">
        <f>SUBTOTAL(109,Post[74])</f>
        <v>283</v>
      </c>
      <c r="AI3136">
        <f>SUBTOTAL(109,Post[75])</f>
        <v>164</v>
      </c>
      <c r="AJ3136">
        <f>SUBTOTAL(109,Post[SCRIPTS])</f>
        <v>8559</v>
      </c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0C9F-9636-FD46-93CC-0277EE2C4C2A}">
  <dimension ref="A1:X20"/>
  <sheetViews>
    <sheetView topLeftCell="A2" workbookViewId="0">
      <selection activeCell="A18" sqref="A18:T20"/>
    </sheetView>
  </sheetViews>
  <sheetFormatPr baseColWidth="10" defaultRowHeight="15" x14ac:dyDescent="0.2"/>
  <cols>
    <col min="1" max="1" width="67.1640625" bestFit="1" customWidth="1"/>
    <col min="2" max="2" width="14.83203125" bestFit="1" customWidth="1"/>
    <col min="3" max="8" width="4.1640625" bestFit="1" customWidth="1"/>
    <col min="9" max="9" width="7.83203125" bestFit="1" customWidth="1"/>
    <col min="10" max="10" width="5.83203125" bestFit="1" customWidth="1"/>
    <col min="11" max="18" width="4.1640625" bestFit="1" customWidth="1"/>
    <col min="19" max="19" width="8.33203125" bestFit="1" customWidth="1"/>
    <col min="20" max="20" width="10" bestFit="1" customWidth="1"/>
    <col min="21" max="21" width="12.6640625" bestFit="1" customWidth="1"/>
    <col min="22" max="22" width="16.33203125" bestFit="1" customWidth="1"/>
    <col min="23" max="23" width="12.6640625" bestFit="1" customWidth="1"/>
    <col min="24" max="24" width="16.33203125" bestFit="1" customWidth="1"/>
    <col min="25" max="25" width="12.6640625" bestFit="1" customWidth="1"/>
    <col min="26" max="26" width="16.33203125" bestFit="1" customWidth="1"/>
    <col min="27" max="27" width="12.6640625" bestFit="1" customWidth="1"/>
    <col min="28" max="28" width="16.33203125" bestFit="1" customWidth="1"/>
    <col min="29" max="29" width="12.6640625" bestFit="1" customWidth="1"/>
    <col min="30" max="30" width="16.33203125" bestFit="1" customWidth="1"/>
    <col min="31" max="31" width="12.6640625" bestFit="1" customWidth="1"/>
    <col min="32" max="32" width="16.33203125" bestFit="1" customWidth="1"/>
    <col min="33" max="33" width="12.6640625" bestFit="1" customWidth="1"/>
    <col min="34" max="34" width="16.33203125" bestFit="1" customWidth="1"/>
    <col min="35" max="35" width="12.6640625" bestFit="1" customWidth="1"/>
    <col min="36" max="36" width="19.6640625" bestFit="1" customWidth="1"/>
    <col min="37" max="37" width="16" bestFit="1" customWidth="1"/>
    <col min="38" max="38" width="20.5" bestFit="1" customWidth="1"/>
    <col min="39" max="39" width="17" bestFit="1" customWidth="1"/>
    <col min="40" max="43" width="16.33203125" bestFit="1" customWidth="1"/>
    <col min="44" max="44" width="7.83203125" bestFit="1" customWidth="1"/>
    <col min="45" max="53" width="5.83203125" bestFit="1" customWidth="1"/>
    <col min="54" max="54" width="8.33203125" bestFit="1" customWidth="1"/>
    <col min="55" max="61" width="12.6640625" bestFit="1" customWidth="1"/>
    <col min="62" max="62" width="7.83203125" bestFit="1" customWidth="1"/>
    <col min="63" max="71" width="5.83203125" bestFit="1" customWidth="1"/>
    <col min="72" max="72" width="8.33203125" bestFit="1" customWidth="1"/>
    <col min="73" max="73" width="18.6640625" bestFit="1" customWidth="1"/>
    <col min="74" max="74" width="14.83203125" bestFit="1" customWidth="1"/>
    <col min="75" max="75" width="20.5" bestFit="1" customWidth="1"/>
    <col min="76" max="76" width="17" bestFit="1" customWidth="1"/>
  </cols>
  <sheetData>
    <row r="1" spans="1:24" x14ac:dyDescent="0.2">
      <c r="A1" s="8" t="s">
        <v>64</v>
      </c>
      <c r="B1" t="s">
        <v>152</v>
      </c>
    </row>
    <row r="3" spans="1:24" x14ac:dyDescent="0.2">
      <c r="A3" s="8" t="s">
        <v>151</v>
      </c>
      <c r="B3" s="8" t="s">
        <v>153</v>
      </c>
      <c r="V3" s="13" t="s">
        <v>158</v>
      </c>
      <c r="W3" s="12" t="s">
        <v>159</v>
      </c>
      <c r="X3" s="14" t="s">
        <v>160</v>
      </c>
    </row>
    <row r="4" spans="1:24" x14ac:dyDescent="0.2">
      <c r="B4" t="s">
        <v>6</v>
      </c>
      <c r="I4" t="s">
        <v>154</v>
      </c>
      <c r="J4" t="s">
        <v>54</v>
      </c>
      <c r="S4" t="s">
        <v>155</v>
      </c>
      <c r="T4" t="s">
        <v>150</v>
      </c>
    </row>
    <row r="5" spans="1:24" x14ac:dyDescent="0.2">
      <c r="A5" s="8" t="s">
        <v>149</v>
      </c>
      <c r="B5" t="s">
        <v>5</v>
      </c>
      <c r="C5" t="s">
        <v>42</v>
      </c>
      <c r="D5" t="s">
        <v>46</v>
      </c>
      <c r="E5" t="s">
        <v>48</v>
      </c>
      <c r="F5" t="s">
        <v>7</v>
      </c>
      <c r="G5" t="s">
        <v>50</v>
      </c>
      <c r="H5" t="s">
        <v>51</v>
      </c>
      <c r="J5" t="s">
        <v>53</v>
      </c>
      <c r="K5" t="s">
        <v>56</v>
      </c>
      <c r="L5" t="s">
        <v>57</v>
      </c>
      <c r="M5" t="s">
        <v>58</v>
      </c>
      <c r="N5" t="s">
        <v>22</v>
      </c>
      <c r="O5" t="s">
        <v>59</v>
      </c>
      <c r="P5" t="s">
        <v>60</v>
      </c>
      <c r="Q5" t="s">
        <v>61</v>
      </c>
      <c r="R5" t="s">
        <v>62</v>
      </c>
    </row>
    <row r="6" spans="1:24" x14ac:dyDescent="0.2">
      <c r="A6" s="9" t="s">
        <v>40</v>
      </c>
      <c r="B6">
        <v>0</v>
      </c>
      <c r="C6">
        <v>4</v>
      </c>
      <c r="D6">
        <v>0</v>
      </c>
      <c r="E6">
        <v>15</v>
      </c>
      <c r="F6">
        <v>9</v>
      </c>
      <c r="G6">
        <v>0</v>
      </c>
      <c r="H6">
        <v>5</v>
      </c>
      <c r="I6">
        <v>33</v>
      </c>
      <c r="K6">
        <v>12</v>
      </c>
      <c r="M6">
        <v>5</v>
      </c>
      <c r="O6">
        <v>7</v>
      </c>
      <c r="Q6">
        <v>4</v>
      </c>
      <c r="R6">
        <v>2</v>
      </c>
      <c r="S6">
        <v>30</v>
      </c>
      <c r="T6">
        <v>63</v>
      </c>
    </row>
    <row r="7" spans="1:24" x14ac:dyDescent="0.2">
      <c r="A7" s="9" t="s">
        <v>37</v>
      </c>
      <c r="B7">
        <v>9</v>
      </c>
      <c r="C7">
        <v>6</v>
      </c>
      <c r="D7">
        <v>0</v>
      </c>
      <c r="E7">
        <v>28</v>
      </c>
      <c r="F7">
        <v>30</v>
      </c>
      <c r="H7">
        <v>27</v>
      </c>
      <c r="I7">
        <v>100</v>
      </c>
      <c r="J7">
        <v>2</v>
      </c>
      <c r="K7">
        <v>12</v>
      </c>
      <c r="L7">
        <v>0</v>
      </c>
      <c r="M7">
        <v>9</v>
      </c>
      <c r="N7">
        <v>1</v>
      </c>
      <c r="O7">
        <v>7</v>
      </c>
      <c r="P7">
        <v>4</v>
      </c>
      <c r="Q7">
        <v>3</v>
      </c>
      <c r="R7">
        <v>25</v>
      </c>
      <c r="S7">
        <v>63</v>
      </c>
      <c r="T7">
        <v>163</v>
      </c>
      <c r="V7" t="s">
        <v>156</v>
      </c>
      <c r="W7" t="s">
        <v>157</v>
      </c>
    </row>
    <row r="8" spans="1:24" x14ac:dyDescent="0.2">
      <c r="A8" s="10" t="s">
        <v>10</v>
      </c>
      <c r="B8" s="11">
        <v>54</v>
      </c>
      <c r="C8" s="11">
        <v>24</v>
      </c>
      <c r="D8" s="11">
        <v>13</v>
      </c>
      <c r="E8" s="11">
        <v>11</v>
      </c>
      <c r="F8" s="11">
        <v>29</v>
      </c>
      <c r="G8" s="12">
        <v>6</v>
      </c>
      <c r="H8" s="11">
        <v>82</v>
      </c>
      <c r="I8" s="11">
        <v>219</v>
      </c>
      <c r="J8" s="11"/>
      <c r="K8" s="11">
        <v>16</v>
      </c>
      <c r="L8" s="13">
        <v>113</v>
      </c>
      <c r="M8" s="11">
        <v>37</v>
      </c>
      <c r="N8" s="11">
        <v>71</v>
      </c>
      <c r="O8" s="11">
        <v>38</v>
      </c>
      <c r="P8" s="11">
        <v>15</v>
      </c>
      <c r="Q8" s="11">
        <v>57</v>
      </c>
      <c r="R8" s="11">
        <v>63</v>
      </c>
      <c r="S8" s="11">
        <v>410</v>
      </c>
      <c r="T8" s="11">
        <v>629</v>
      </c>
      <c r="V8">
        <f>MAX(B8:H8,J8:R8)</f>
        <v>113</v>
      </c>
      <c r="W8">
        <f>MIN(B8:H8,J8:R8)</f>
        <v>6</v>
      </c>
    </row>
    <row r="9" spans="1:24" x14ac:dyDescent="0.2">
      <c r="A9" s="10" t="s">
        <v>8</v>
      </c>
      <c r="B9" s="11">
        <v>333</v>
      </c>
      <c r="C9" s="11">
        <v>91</v>
      </c>
      <c r="D9" s="11">
        <v>178</v>
      </c>
      <c r="E9" s="12">
        <v>577</v>
      </c>
      <c r="F9" s="11">
        <v>218</v>
      </c>
      <c r="G9" s="11">
        <v>72</v>
      </c>
      <c r="H9" s="11">
        <v>334</v>
      </c>
      <c r="I9" s="11">
        <v>1803</v>
      </c>
      <c r="J9" s="13">
        <v>30</v>
      </c>
      <c r="K9" s="11">
        <v>352</v>
      </c>
      <c r="L9" s="11">
        <v>233</v>
      </c>
      <c r="M9" s="11">
        <v>152</v>
      </c>
      <c r="N9" s="11">
        <v>401</v>
      </c>
      <c r="O9" s="11">
        <v>456</v>
      </c>
      <c r="P9" s="11">
        <v>127</v>
      </c>
      <c r="Q9" s="11">
        <v>316</v>
      </c>
      <c r="R9" s="11">
        <v>295</v>
      </c>
      <c r="S9" s="11">
        <v>2362</v>
      </c>
      <c r="T9" s="11">
        <v>4165</v>
      </c>
      <c r="V9">
        <f>MAX(B9:H9,J9:R9)</f>
        <v>577</v>
      </c>
      <c r="W9">
        <f>MIN(B9:H9,J9:R9)</f>
        <v>30</v>
      </c>
    </row>
    <row r="10" spans="1:24" x14ac:dyDescent="0.2">
      <c r="A10" s="9" t="s">
        <v>24</v>
      </c>
      <c r="B10">
        <v>21</v>
      </c>
      <c r="F10">
        <v>0</v>
      </c>
      <c r="I10">
        <v>21</v>
      </c>
      <c r="T10">
        <v>21</v>
      </c>
    </row>
    <row r="11" spans="1:24" x14ac:dyDescent="0.2">
      <c r="A11" s="9" t="s">
        <v>32</v>
      </c>
      <c r="B11">
        <v>1</v>
      </c>
      <c r="E11">
        <v>1</v>
      </c>
      <c r="F11">
        <v>27</v>
      </c>
      <c r="H11">
        <v>2</v>
      </c>
      <c r="I11">
        <v>31</v>
      </c>
      <c r="K11">
        <v>0</v>
      </c>
      <c r="L11">
        <v>3</v>
      </c>
      <c r="O11">
        <v>5</v>
      </c>
      <c r="P11">
        <v>7</v>
      </c>
      <c r="Q11">
        <v>1</v>
      </c>
      <c r="R11">
        <v>7</v>
      </c>
      <c r="S11">
        <v>23</v>
      </c>
      <c r="T11">
        <v>54</v>
      </c>
    </row>
    <row r="12" spans="1:24" x14ac:dyDescent="0.2">
      <c r="A12" s="9" t="s">
        <v>17</v>
      </c>
      <c r="B12">
        <v>3</v>
      </c>
      <c r="E12">
        <v>0</v>
      </c>
      <c r="F12">
        <v>34</v>
      </c>
      <c r="H12">
        <v>8</v>
      </c>
      <c r="I12">
        <v>45</v>
      </c>
      <c r="L12">
        <v>0</v>
      </c>
      <c r="O12">
        <v>17</v>
      </c>
      <c r="P12">
        <v>1</v>
      </c>
      <c r="Q12">
        <v>4</v>
      </c>
      <c r="R12">
        <v>7</v>
      </c>
      <c r="S12">
        <v>29</v>
      </c>
      <c r="T12">
        <v>74</v>
      </c>
    </row>
    <row r="13" spans="1:24" x14ac:dyDescent="0.2">
      <c r="A13" s="9" t="s">
        <v>26</v>
      </c>
      <c r="B13">
        <v>4</v>
      </c>
      <c r="D13">
        <v>4</v>
      </c>
      <c r="E13">
        <v>8</v>
      </c>
      <c r="F13">
        <v>1</v>
      </c>
      <c r="H13">
        <v>10</v>
      </c>
      <c r="I13">
        <v>27</v>
      </c>
      <c r="J13">
        <v>2</v>
      </c>
      <c r="K13">
        <v>11</v>
      </c>
      <c r="L13">
        <v>0</v>
      </c>
      <c r="M13">
        <v>4</v>
      </c>
      <c r="N13">
        <v>16</v>
      </c>
      <c r="O13">
        <v>4</v>
      </c>
      <c r="P13">
        <v>27</v>
      </c>
      <c r="R13">
        <v>3</v>
      </c>
      <c r="S13">
        <v>67</v>
      </c>
      <c r="T13">
        <v>94</v>
      </c>
    </row>
    <row r="14" spans="1:24" x14ac:dyDescent="0.2">
      <c r="A14" s="9" t="s">
        <v>12</v>
      </c>
      <c r="B14">
        <v>10</v>
      </c>
      <c r="D14">
        <v>2</v>
      </c>
      <c r="E14">
        <v>0</v>
      </c>
      <c r="F14">
        <v>1</v>
      </c>
      <c r="G14">
        <v>1</v>
      </c>
      <c r="H14">
        <v>3</v>
      </c>
      <c r="I14">
        <v>17</v>
      </c>
      <c r="K14">
        <v>0</v>
      </c>
      <c r="L14">
        <v>1</v>
      </c>
      <c r="N14">
        <v>0</v>
      </c>
      <c r="O14">
        <v>27</v>
      </c>
      <c r="Q14">
        <v>2</v>
      </c>
      <c r="R14">
        <v>0</v>
      </c>
      <c r="S14">
        <v>30</v>
      </c>
      <c r="T14">
        <v>47</v>
      </c>
    </row>
    <row r="15" spans="1:24" x14ac:dyDescent="0.2">
      <c r="A15" s="10" t="s">
        <v>14</v>
      </c>
      <c r="B15" s="11">
        <v>170</v>
      </c>
      <c r="C15" s="11">
        <v>139</v>
      </c>
      <c r="D15" s="11">
        <v>187</v>
      </c>
      <c r="E15" s="11">
        <v>343</v>
      </c>
      <c r="F15" s="11">
        <v>261</v>
      </c>
      <c r="G15" s="11">
        <v>27</v>
      </c>
      <c r="H15" s="12">
        <v>408</v>
      </c>
      <c r="I15" s="11">
        <v>1535</v>
      </c>
      <c r="J15" s="13">
        <v>3</v>
      </c>
      <c r="K15" s="11">
        <v>234</v>
      </c>
      <c r="L15" s="11">
        <v>335</v>
      </c>
      <c r="M15" s="11">
        <v>83</v>
      </c>
      <c r="N15" s="11">
        <v>240</v>
      </c>
      <c r="O15" s="11">
        <v>278</v>
      </c>
      <c r="P15" s="11">
        <v>91</v>
      </c>
      <c r="Q15" s="11">
        <v>177</v>
      </c>
      <c r="R15" s="11">
        <v>273</v>
      </c>
      <c r="S15" s="11">
        <v>1714</v>
      </c>
      <c r="T15" s="11">
        <v>3249</v>
      </c>
      <c r="V15">
        <f>MAX(B15:H15,J15:R15)</f>
        <v>408</v>
      </c>
      <c r="W15">
        <f>MIN(B15:H15,J15:R15)</f>
        <v>3</v>
      </c>
    </row>
    <row r="16" spans="1:24" x14ac:dyDescent="0.2">
      <c r="A16" s="9" t="s">
        <v>150</v>
      </c>
      <c r="B16">
        <v>605</v>
      </c>
      <c r="C16">
        <v>264</v>
      </c>
      <c r="D16">
        <v>384</v>
      </c>
      <c r="E16">
        <v>983</v>
      </c>
      <c r="F16">
        <v>610</v>
      </c>
      <c r="G16">
        <v>106</v>
      </c>
      <c r="H16">
        <v>879</v>
      </c>
      <c r="I16">
        <v>3831</v>
      </c>
      <c r="J16">
        <v>37</v>
      </c>
      <c r="K16">
        <v>637</v>
      </c>
      <c r="L16">
        <v>685</v>
      </c>
      <c r="M16">
        <v>290</v>
      </c>
      <c r="N16">
        <v>729</v>
      </c>
      <c r="O16">
        <v>839</v>
      </c>
      <c r="P16">
        <v>272</v>
      </c>
      <c r="Q16">
        <v>564</v>
      </c>
      <c r="R16">
        <v>675</v>
      </c>
      <c r="S16">
        <v>4728</v>
      </c>
      <c r="T16">
        <v>8559</v>
      </c>
    </row>
    <row r="18" spans="1:20" x14ac:dyDescent="0.2">
      <c r="A18" s="15" t="s">
        <v>162</v>
      </c>
      <c r="B18">
        <f>GETPIVOTDATA("SCRIPTS",$A$3,"DOCTOR","A","GROUPING","Jan","CATEGORY","H2-RECEPTOR ANTAGONISTS")/28</f>
        <v>1.9285714285714286</v>
      </c>
      <c r="C18">
        <f>GETPIVOTDATA("SCRIPTS",$A$3,"DOCTOR","B","GROUPING","Jan","CATEGORY","H2-RECEPTOR ANTAGONISTS")/28</f>
        <v>0.8571428571428571</v>
      </c>
      <c r="D18">
        <f>GETPIVOTDATA("SCRIPTS",$A$3,"DOCTOR","C","GROUPING","Jan","CATEGORY","H2-RECEPTOR ANTAGONISTS")/28</f>
        <v>0.4642857142857143</v>
      </c>
      <c r="E18">
        <f>GETPIVOTDATA("SCRIPTS",$A$3,"DOCTOR","E","GROUPING","Jan","CATEGORY","H2-RECEPTOR ANTAGONISTS")/28</f>
        <v>0.39285714285714285</v>
      </c>
      <c r="F18">
        <f>GETPIVOTDATA("SCRIPTS",$A$3,"DOCTOR","F","GROUPING","Jan","CATEGORY","H2-RECEPTOR ANTAGONISTS")/28</f>
        <v>1.0357142857142858</v>
      </c>
      <c r="G18">
        <f>GETPIVOTDATA("SCRIPTS",$A$3,"DOCTOR","G","GROUPING","Jan","CATEGORY","H2-RECEPTOR ANTAGONISTS")/28</f>
        <v>0.21428571428571427</v>
      </c>
      <c r="H18">
        <f>GETPIVOTDATA("SCRIPTS",$A$3,"DOCTOR","H","GROUPING","Jan","CATEGORY","H2-RECEPTOR ANTAGONISTS")/28</f>
        <v>2.9285714285714284</v>
      </c>
      <c r="I18">
        <f>GETPIVOTDATA("SCRIPTS",$A$3,"GROUPING","Jan","CATEGORY","H2-RECEPTOR ANTAGONISTS")/28</f>
        <v>7.8214285714285712</v>
      </c>
      <c r="J18">
        <f>GETPIVOTDATA("SCRIPTS",$A$3,"DOCTOR","I","GROUPING","Nov","CATEGORY","H2-RECEPTOR ANTAGONISTS")/28</f>
        <v>0</v>
      </c>
      <c r="K18">
        <f>GETPIVOTDATA("SCRIPTS",$A$3,"DOCTOR","J","GROUPING","Nov","CATEGORY","H2-RECEPTOR ANTAGONISTS")/28</f>
        <v>0.5714285714285714</v>
      </c>
      <c r="L18">
        <f>GETPIVOTDATA("SCRIPTS",$A$3,"DOCTOR","K","GROUPING","Nov","CATEGORY","H2-RECEPTOR ANTAGONISTS")/28</f>
        <v>4.0357142857142856</v>
      </c>
      <c r="M18">
        <f>GETPIVOTDATA("SCRIPTS",$A$3,"DOCTOR","L","GROUPING","Nov","CATEGORY","H2-RECEPTOR ANTAGONISTS")/28</f>
        <v>1.3214285714285714</v>
      </c>
      <c r="N18">
        <f>GETPIVOTDATA("SCRIPTS",$A$3,"DOCTOR","M","GROUPING","Nov","CATEGORY","H2-RECEPTOR ANTAGONISTS")/28</f>
        <v>2.5357142857142856</v>
      </c>
      <c r="O18">
        <f>GETPIVOTDATA("SCRIPTS",$A$3,"DOCTOR","N","GROUPING","Nov","CATEGORY","H2-RECEPTOR ANTAGONISTS")/28</f>
        <v>1.3571428571428572</v>
      </c>
      <c r="P18">
        <f>GETPIVOTDATA("SCRIPTS",$A$3,"DOCTOR","O","GROUPING","Nov","CATEGORY","H2-RECEPTOR ANTAGONISTS")/28</f>
        <v>0.5357142857142857</v>
      </c>
      <c r="Q18">
        <f>GETPIVOTDATA("SCRIPTS",$A$3,"DOCTOR","P","GROUPING","Nov","CATEGORY","H2-RECEPTOR ANTAGONISTS")/28</f>
        <v>2.0357142857142856</v>
      </c>
      <c r="R18">
        <f>GETPIVOTDATA("SCRIPTS",$A$3,"DOCTOR","Q","GROUPING","Nov","CATEGORY","H2-RECEPTOR ANTAGONISTS")/28</f>
        <v>2.25</v>
      </c>
      <c r="S18">
        <f>GETPIVOTDATA("SCRIPTS",$A$3,"GROUPING","Nov","CATEGORY","H2-RECEPTOR ANTAGONISTS")/28</f>
        <v>14.642857142857142</v>
      </c>
      <c r="T18">
        <f>GETPIVOTDATA("SCRIPTS",$A$3,"CATEGORY","H2-RECEPTOR ANTAGONISTS")/28</f>
        <v>22.464285714285715</v>
      </c>
    </row>
    <row r="19" spans="1:20" x14ac:dyDescent="0.2">
      <c r="A19" s="15" t="s">
        <v>163</v>
      </c>
      <c r="B19">
        <f>GETPIVOTDATA("SCRIPTS",$A$3,"DOCTOR","A","GROUPING","Jan","CATEGORY","HMG COA REDUCTASE INHIBITORS")/28</f>
        <v>11.892857142857142</v>
      </c>
      <c r="C19">
        <f>GETPIVOTDATA("SCRIPTS",$A$3,"DOCTOR","B","GROUPING","Jan","CATEGORY","HMG COA REDUCTASE INHIBITORS")/28</f>
        <v>3.25</v>
      </c>
      <c r="D19">
        <f>GETPIVOTDATA("SCRIPTS",$A$3,"DOCTOR","C","GROUPING","Jan","CATEGORY","HMG COA REDUCTASE INHIBITORS")/28</f>
        <v>6.3571428571428568</v>
      </c>
      <c r="E19">
        <f>GETPIVOTDATA("SCRIPTS",$A$3,"DOCTOR","E","GROUPING","Jan","CATEGORY","HMG COA REDUCTASE INHIBITORS")/28</f>
        <v>20.607142857142858</v>
      </c>
      <c r="F19">
        <f>GETPIVOTDATA("SCRIPTS",$A$3,"DOCTOR","F","GROUPING","Jan","CATEGORY","HMG COA REDUCTASE INHIBITORS")/28</f>
        <v>7.7857142857142856</v>
      </c>
      <c r="G19">
        <f>GETPIVOTDATA("SCRIPTS",$A$3,"DOCTOR","G","GROUPING","Jan","CATEGORY","HMG COA REDUCTASE INHIBITORS")/28</f>
        <v>2.5714285714285716</v>
      </c>
      <c r="H19">
        <f>GETPIVOTDATA("SCRIPTS",$A$3,"DOCTOR","H","GROUPING","Jan","CATEGORY","HMG COA REDUCTASE INHIBITORS")/28</f>
        <v>11.928571428571429</v>
      </c>
      <c r="I19">
        <f>GETPIVOTDATA("SCRIPTS",$A$3,"GROUPING","Jan","CATEGORY","HMG COA REDUCTASE INHIBITORS")/28</f>
        <v>64.392857142857139</v>
      </c>
      <c r="J19">
        <f>GETPIVOTDATA("SCRIPTS",$A$3,"DOCTOR","I","GROUPING","Nov","CATEGORY","HMG COA REDUCTASE INHIBITORS")/28</f>
        <v>1.0714285714285714</v>
      </c>
      <c r="K19">
        <f>GETPIVOTDATA("SCRIPTS",$A$3,"DOCTOR","J","GROUPING","Nov","CATEGORY","HMG COA REDUCTASE INHIBITORS")/28</f>
        <v>12.571428571428571</v>
      </c>
      <c r="L19">
        <f>GETPIVOTDATA("SCRIPTS",$A$3,"DOCTOR","K","GROUPING","Nov","CATEGORY","HMG COA REDUCTASE INHIBITORS")/28</f>
        <v>8.3214285714285712</v>
      </c>
      <c r="M19">
        <f>GETPIVOTDATA("SCRIPTS",$A$3,"DOCTOR","L","GROUPING","Nov","CATEGORY","HMG COA REDUCTASE INHIBITORS")/28</f>
        <v>5.4285714285714288</v>
      </c>
      <c r="N19">
        <f>GETPIVOTDATA("SCRIPTS",$A$3,"DOCTOR","M","GROUPING","Nov","CATEGORY","HMG COA REDUCTASE INHIBITORS")/28</f>
        <v>14.321428571428571</v>
      </c>
      <c r="O19">
        <f>GETPIVOTDATA("SCRIPTS",$A$3,"DOCTOR","N","GROUPING","Nov","CATEGORY","HMG COA REDUCTASE INHIBITORS")/28</f>
        <v>16.285714285714285</v>
      </c>
      <c r="P19">
        <f>GETPIVOTDATA("SCRIPTS",$A$3,"DOCTOR","O","GROUPING","Nov","CATEGORY","HMG COA REDUCTASE INHIBITORS")/28</f>
        <v>4.5357142857142856</v>
      </c>
      <c r="Q19">
        <f>GETPIVOTDATA("SCRIPTS",$A$3,"DOCTOR","P","GROUPING","Nov","CATEGORY","HMG COA REDUCTASE INHIBITORS")/28</f>
        <v>11.285714285714286</v>
      </c>
      <c r="R19">
        <f>GETPIVOTDATA("SCRIPTS",$A$3,"DOCTOR","Q","GROUPING","Nov","CATEGORY","HMG COA REDUCTASE INHIBITORS")/28</f>
        <v>10.535714285714286</v>
      </c>
      <c r="S19">
        <f>GETPIVOTDATA("SCRIPTS",$A$3,"GROUPING","Nov","CATEGORY","HMG COA REDUCTASE INHIBITORS")/28</f>
        <v>84.357142857142861</v>
      </c>
      <c r="T19">
        <f>GETPIVOTDATA("SCRIPTS",$A$3,"CATEGORY","HMG COA REDUCTASE INHIBITORS")/28</f>
        <v>148.75</v>
      </c>
    </row>
    <row r="20" spans="1:20" x14ac:dyDescent="0.2">
      <c r="A20" s="15" t="s">
        <v>164</v>
      </c>
      <c r="B20">
        <f>GETPIVOTDATA("SCRIPTS",$A$3,"DOCTOR","A","GROUPING","Jan","CATEGORY","PROTON PUMP INHIBITORS")/28</f>
        <v>6.0714285714285712</v>
      </c>
      <c r="C20">
        <f>GETPIVOTDATA("SCRIPTS",$A$3,"DOCTOR","B","GROUPING","Jan","CATEGORY","PROTON PUMP INHIBITORS")/28</f>
        <v>4.9642857142857144</v>
      </c>
      <c r="D20">
        <f>GETPIVOTDATA("SCRIPTS",$A$3,"DOCTOR","C","GROUPING","Jan","CATEGORY","PROTON PUMP INHIBITORS")/28</f>
        <v>6.6785714285714288</v>
      </c>
      <c r="E20">
        <f>GETPIVOTDATA("SCRIPTS",$A$3,"DOCTOR","E","GROUPING","Jan","CATEGORY","PROTON PUMP INHIBITORS")/28</f>
        <v>12.25</v>
      </c>
      <c r="F20">
        <f>GETPIVOTDATA("SCRIPTS",$A$3,"DOCTOR","F","GROUPING","Jan","CATEGORY","PROTON PUMP INHIBITORS")/28</f>
        <v>9.3214285714285712</v>
      </c>
      <c r="G20">
        <f>GETPIVOTDATA("SCRIPTS",$A$3,"DOCTOR","G","GROUPING","Jan","CATEGORY","PROTON PUMP INHIBITORS")/28</f>
        <v>0.9642857142857143</v>
      </c>
      <c r="H20">
        <f>GETPIVOTDATA("SCRIPTS",$A$3,"DOCTOR","H","GROUPING","Jan","CATEGORY","PROTON PUMP INHIBITORS")/28</f>
        <v>14.571428571428571</v>
      </c>
      <c r="I20">
        <f>GETPIVOTDATA("SCRIPTS",$A$3,"GROUPING","Jan","CATEGORY","PROTON PUMP INHIBITORS")/28</f>
        <v>54.821428571428569</v>
      </c>
      <c r="J20">
        <f>GETPIVOTDATA("SCRIPTS",$A$3,"DOCTOR","I","GROUPING","Nov","CATEGORY","PROTON PUMP INHIBITORS")/28</f>
        <v>0.10714285714285714</v>
      </c>
      <c r="K20">
        <f>GETPIVOTDATA("SCRIPTS",$A$3,"DOCTOR","J","GROUPING","Nov","CATEGORY","PROTON PUMP INHIBITORS")/28</f>
        <v>8.3571428571428577</v>
      </c>
      <c r="L20">
        <f>GETPIVOTDATA("SCRIPTS",$A$3,"DOCTOR","K","GROUPING","Nov","CATEGORY","PROTON PUMP INHIBITORS")/28</f>
        <v>11.964285714285714</v>
      </c>
      <c r="M20">
        <f>GETPIVOTDATA("SCRIPTS",$A$3,"DOCTOR","L","GROUPING","Nov","CATEGORY","PROTON PUMP INHIBITORS")/28</f>
        <v>2.9642857142857144</v>
      </c>
      <c r="N20">
        <f>GETPIVOTDATA("SCRIPTS",$A$3,"DOCTOR","M","GROUPING","Nov","CATEGORY","PROTON PUMP INHIBITORS")/28</f>
        <v>8.5714285714285712</v>
      </c>
      <c r="O20">
        <f>GETPIVOTDATA("SCRIPTS",$A$3,"DOCTOR","N","GROUPING","Nov","CATEGORY","PROTON PUMP INHIBITORS")/28</f>
        <v>9.9285714285714288</v>
      </c>
      <c r="P20">
        <f>GETPIVOTDATA("SCRIPTS",$A$3,"DOCTOR","O","GROUPING","Nov","CATEGORY","PROTON PUMP INHIBITORS")/28</f>
        <v>3.25</v>
      </c>
      <c r="Q20">
        <f>GETPIVOTDATA("SCRIPTS",$A$3,"DOCTOR","P","GROUPING","Nov","CATEGORY","PROTON PUMP INHIBITORS")/28</f>
        <v>6.3214285714285712</v>
      </c>
      <c r="R20">
        <f>GETPIVOTDATA("SCRIPTS",$A$3,"DOCTOR","Q","GROUPING","Nov","CATEGORY","PROTON PUMP INHIBITORS")/28</f>
        <v>9.75</v>
      </c>
      <c r="S20">
        <f>GETPIVOTDATA("SCRIPTS",$A$3,"GROUPING","Nov","CATEGORY","PROTON PUMP INHIBITORS")/28</f>
        <v>61.214285714285715</v>
      </c>
      <c r="T20">
        <f>GETPIVOTDATA("SCRIPTS",$A$3,"CATEGORY","PROTON PUMP INHIBITORS")/28</f>
        <v>116.03571428571429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BDCD-A253-5F40-960F-948E81FA57C1}">
  <dimension ref="A1:AE41"/>
  <sheetViews>
    <sheetView topLeftCell="A6" zoomScale="50" zoomScaleNormal="75" workbookViewId="0">
      <selection activeCell="AC44" sqref="AC44"/>
    </sheetView>
  </sheetViews>
  <sheetFormatPr baseColWidth="10" defaultRowHeight="15" x14ac:dyDescent="0.2"/>
  <cols>
    <col min="1" max="1" width="67.1640625" bestFit="1" customWidth="1"/>
    <col min="2" max="10" width="4.6640625" bestFit="1" customWidth="1"/>
    <col min="11" max="30" width="5.6640625" bestFit="1" customWidth="1"/>
  </cols>
  <sheetData>
    <row r="1" spans="1:31" x14ac:dyDescent="0.2">
      <c r="A1" t="s">
        <v>148</v>
      </c>
    </row>
    <row r="2" spans="1:31" x14ac:dyDescent="0.2">
      <c r="A2" t="s">
        <v>3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144</v>
      </c>
      <c r="AC2" t="s">
        <v>145</v>
      </c>
      <c r="AD2" t="s">
        <v>146</v>
      </c>
      <c r="AE2" t="s">
        <v>117</v>
      </c>
    </row>
    <row r="3" spans="1:31" x14ac:dyDescent="0.2">
      <c r="A3" t="s">
        <v>8</v>
      </c>
      <c r="B3">
        <f>SUMIFS(Post[47],Post[CATEGORY],Table12[[#This Row],[CATEGORY]])</f>
        <v>155</v>
      </c>
      <c r="C3">
        <f>SUMIFS(Post[48],Post[CATEGORY],Table12[[#This Row],[CATEGORY]])</f>
        <v>169</v>
      </c>
      <c r="D3">
        <f>SUMIFS(Post[49],Post[CATEGORY],Table12[[#This Row],[CATEGORY]])</f>
        <v>164</v>
      </c>
      <c r="E3">
        <f>SUMIFS(Post[50],Post[CATEGORY],Table12[[#This Row],[CATEGORY]])</f>
        <v>159</v>
      </c>
      <c r="F3">
        <f>SUMIFS(Post[51],Post[CATEGORY],Table12[[#This Row],[CATEGORY]])</f>
        <v>167</v>
      </c>
      <c r="G3">
        <f>SUMIFS(Post[52],Post[CATEGORY],Table12[[#This Row],[CATEGORY]])</f>
        <v>138</v>
      </c>
      <c r="H3">
        <f>SUMIFS(Post[53],Post[CATEGORY],Table12[[#This Row],[CATEGORY]])</f>
        <v>0</v>
      </c>
      <c r="I3">
        <f>SUMIFS(Post[54],Post[CATEGORY],Table12[[#This Row],[CATEGORY]])</f>
        <v>105</v>
      </c>
      <c r="J3">
        <f>SUMIFS(Post[55],Post[CATEGORY],Table12[[#This Row],[CATEGORY]])</f>
        <v>144</v>
      </c>
      <c r="K3">
        <f>SUMIFS(Post[56],Post[CATEGORY],Table12[[#This Row],[CATEGORY]])</f>
        <v>136</v>
      </c>
      <c r="L3">
        <f>SUMIFS(Post[57],Post[CATEGORY],Table12[[#This Row],[CATEGORY]])</f>
        <v>151</v>
      </c>
      <c r="M3">
        <f>SUMIFS(Post[58],Post[CATEGORY],Table12[[#This Row],[CATEGORY]])</f>
        <v>140</v>
      </c>
      <c r="N3">
        <f>SUMIFS(Post[59],Post[CATEGORY],Table12[[#This Row],[CATEGORY]])</f>
        <v>137</v>
      </c>
      <c r="O3">
        <f>SUMIFS(Post[60],Post[CATEGORY],Table12[[#This Row],[CATEGORY]])</f>
        <v>131</v>
      </c>
      <c r="P3">
        <f>SUMIFS(Post[61],Post[CATEGORY],Table12[[#This Row],[CATEGORY]])</f>
        <v>149</v>
      </c>
      <c r="Q3">
        <f>SUMIFS(Post[62],Post[CATEGORY],Table12[[#This Row],[CATEGORY]])</f>
        <v>157</v>
      </c>
      <c r="R3">
        <f>SUMIFS(Post[63],Post[CATEGORY],Table12[[#This Row],[CATEGORY]])</f>
        <v>145</v>
      </c>
      <c r="S3">
        <f>SUMIFS(Post[64],Post[CATEGORY],Table12[[#This Row],[CATEGORY]])</f>
        <v>158</v>
      </c>
      <c r="T3">
        <f>SUMIFS(Post[65],Post[CATEGORY],Table12[[#This Row],[CATEGORY]])</f>
        <v>149</v>
      </c>
      <c r="U3">
        <f>SUMIFS(Post[66],Post[CATEGORY],Table12[[#This Row],[CATEGORY]])</f>
        <v>140</v>
      </c>
      <c r="V3">
        <f>SUMIFS(Post[67],Post[CATEGORY],Table12[[#This Row],[CATEGORY]])</f>
        <v>154</v>
      </c>
      <c r="W3">
        <f>SUMIFS(Post[68],Post[CATEGORY],Table12[[#This Row],[CATEGORY]])</f>
        <v>171</v>
      </c>
      <c r="X3">
        <f>SUMIFS(Post[69],Post[CATEGORY],Table12[[#This Row],[CATEGORY]])</f>
        <v>176</v>
      </c>
      <c r="Y3">
        <f>SUMIFS(Post[70],Post[CATEGORY],Table12[[#This Row],[CATEGORY]])</f>
        <v>172</v>
      </c>
      <c r="Z3">
        <f>SUMIFS(Post[71],Post[CATEGORY],Table12[[#This Row],[CATEGORY]])</f>
        <v>151</v>
      </c>
      <c r="AA3">
        <f>SUMIFS(Post[72],Post[CATEGORY],Table12[[#This Row],[CATEGORY]])</f>
        <v>155</v>
      </c>
      <c r="AB3">
        <f>SUMIFS(Post[73],Post[CATEGORY],Table12[[#This Row],[CATEGORY]])</f>
        <v>169</v>
      </c>
      <c r="AC3">
        <f>SUMIFS(Post[74],Post[CATEGORY],Table12[[#This Row],[CATEGORY]])</f>
        <v>131</v>
      </c>
      <c r="AD3">
        <f>SUMIFS(Post[75],Post[CATEGORY],Table12[[#This Row],[CATEGORY]])</f>
        <v>92</v>
      </c>
      <c r="AE3">
        <f>SUM(Table12[[#This Row],[47]:[75]])</f>
        <v>4165</v>
      </c>
    </row>
    <row r="4" spans="1:31" x14ac:dyDescent="0.2">
      <c r="A4" t="s">
        <v>10</v>
      </c>
      <c r="B4">
        <f>SUMIFS(Post[47],Post[CATEGORY],Table12[[#This Row],[CATEGORY]])</f>
        <v>21</v>
      </c>
      <c r="C4">
        <f>SUMIFS(Post[48],Post[CATEGORY],Table12[[#This Row],[CATEGORY]])</f>
        <v>15</v>
      </c>
      <c r="D4">
        <f>SUMIFS(Post[49],Post[CATEGORY],Table12[[#This Row],[CATEGORY]])</f>
        <v>20</v>
      </c>
      <c r="E4">
        <f>SUMIFS(Post[50],Post[CATEGORY],Table12[[#This Row],[CATEGORY]])</f>
        <v>27</v>
      </c>
      <c r="F4">
        <f>SUMIFS(Post[51],Post[CATEGORY],Table12[[#This Row],[CATEGORY]])</f>
        <v>22</v>
      </c>
      <c r="G4">
        <f>SUMIFS(Post[52],Post[CATEGORY],Table12[[#This Row],[CATEGORY]])</f>
        <v>15</v>
      </c>
      <c r="H4">
        <f>SUMIFS(Post[53],Post[CATEGORY],Table12[[#This Row],[CATEGORY]])</f>
        <v>0</v>
      </c>
      <c r="I4">
        <f>SUMIFS(Post[54],Post[CATEGORY],Table12[[#This Row],[CATEGORY]])</f>
        <v>23</v>
      </c>
      <c r="J4">
        <f>SUMIFS(Post[55],Post[CATEGORY],Table12[[#This Row],[CATEGORY]])</f>
        <v>26</v>
      </c>
      <c r="K4">
        <f>SUMIFS(Post[56],Post[CATEGORY],Table12[[#This Row],[CATEGORY]])</f>
        <v>10</v>
      </c>
      <c r="L4">
        <f>SUMIFS(Post[57],Post[CATEGORY],Table12[[#This Row],[CATEGORY]])</f>
        <v>20</v>
      </c>
      <c r="M4">
        <f>SUMIFS(Post[58],Post[CATEGORY],Table12[[#This Row],[CATEGORY]])</f>
        <v>22</v>
      </c>
      <c r="N4">
        <f>SUMIFS(Post[59],Post[CATEGORY],Table12[[#This Row],[CATEGORY]])</f>
        <v>32</v>
      </c>
      <c r="O4">
        <f>SUMIFS(Post[60],Post[CATEGORY],Table12[[#This Row],[CATEGORY]])</f>
        <v>16</v>
      </c>
      <c r="P4">
        <f>SUMIFS(Post[61],Post[CATEGORY],Table12[[#This Row],[CATEGORY]])</f>
        <v>22</v>
      </c>
      <c r="Q4">
        <f>SUMIFS(Post[62],Post[CATEGORY],Table12[[#This Row],[CATEGORY]])</f>
        <v>17</v>
      </c>
      <c r="R4">
        <f>SUMIFS(Post[63],Post[CATEGORY],Table12[[#This Row],[CATEGORY]])</f>
        <v>24</v>
      </c>
      <c r="S4">
        <f>SUMIFS(Post[64],Post[CATEGORY],Table12[[#This Row],[CATEGORY]])</f>
        <v>27</v>
      </c>
      <c r="T4">
        <f>SUMIFS(Post[65],Post[CATEGORY],Table12[[#This Row],[CATEGORY]])</f>
        <v>23</v>
      </c>
      <c r="U4">
        <f>SUMIFS(Post[66],Post[CATEGORY],Table12[[#This Row],[CATEGORY]])</f>
        <v>24</v>
      </c>
      <c r="V4">
        <f>SUMIFS(Post[67],Post[CATEGORY],Table12[[#This Row],[CATEGORY]])</f>
        <v>23</v>
      </c>
      <c r="W4">
        <f>SUMIFS(Post[68],Post[CATEGORY],Table12[[#This Row],[CATEGORY]])</f>
        <v>30</v>
      </c>
      <c r="X4">
        <f>SUMIFS(Post[69],Post[CATEGORY],Table12[[#This Row],[CATEGORY]])</f>
        <v>27</v>
      </c>
      <c r="Y4">
        <f>SUMIFS(Post[70],Post[CATEGORY],Table12[[#This Row],[CATEGORY]])</f>
        <v>25</v>
      </c>
      <c r="Z4">
        <f>SUMIFS(Post[71],Post[CATEGORY],Table12[[#This Row],[CATEGORY]])</f>
        <v>24</v>
      </c>
      <c r="AA4">
        <f>SUMIFS(Post[72],Post[CATEGORY],Table12[[#This Row],[CATEGORY]])</f>
        <v>32</v>
      </c>
      <c r="AB4">
        <f>SUMIFS(Post[73],Post[CATEGORY],Table12[[#This Row],[CATEGORY]])</f>
        <v>22</v>
      </c>
      <c r="AC4">
        <f>SUMIFS(Post[74],Post[CATEGORY],Table12[[#This Row],[CATEGORY]])</f>
        <v>26</v>
      </c>
      <c r="AD4">
        <f>SUMIFS(Post[75],Post[CATEGORY],Table12[[#This Row],[CATEGORY]])</f>
        <v>14</v>
      </c>
      <c r="AE4">
        <f>SUM(Table12[[#This Row],[47]:[75]])</f>
        <v>629</v>
      </c>
    </row>
    <row r="5" spans="1:31" x14ac:dyDescent="0.2">
      <c r="A5" t="s">
        <v>12</v>
      </c>
      <c r="B5">
        <f>SUMIFS(Post[47],Post[CATEGORY],Table12[[#This Row],[CATEGORY]])</f>
        <v>1</v>
      </c>
      <c r="C5">
        <f>SUMIFS(Post[48],Post[CATEGORY],Table12[[#This Row],[CATEGORY]])</f>
        <v>2</v>
      </c>
      <c r="D5">
        <f>SUMIFS(Post[49],Post[CATEGORY],Table12[[#This Row],[CATEGORY]])</f>
        <v>1</v>
      </c>
      <c r="E5">
        <f>SUMIFS(Post[50],Post[CATEGORY],Table12[[#This Row],[CATEGORY]])</f>
        <v>5</v>
      </c>
      <c r="F5">
        <f>SUMIFS(Post[51],Post[CATEGORY],Table12[[#This Row],[CATEGORY]])</f>
        <v>1</v>
      </c>
      <c r="G5">
        <f>SUMIFS(Post[52],Post[CATEGORY],Table12[[#This Row],[CATEGORY]])</f>
        <v>1</v>
      </c>
      <c r="H5">
        <f>SUMIFS(Post[53],Post[CATEGORY],Table12[[#This Row],[CATEGORY]])</f>
        <v>0</v>
      </c>
      <c r="I5">
        <f>SUMIFS(Post[54],Post[CATEGORY],Table12[[#This Row],[CATEGORY]])</f>
        <v>1</v>
      </c>
      <c r="J5">
        <f>SUMIFS(Post[55],Post[CATEGORY],Table12[[#This Row],[CATEGORY]])</f>
        <v>1</v>
      </c>
      <c r="K5">
        <f>SUMIFS(Post[56],Post[CATEGORY],Table12[[#This Row],[CATEGORY]])</f>
        <v>1</v>
      </c>
      <c r="L5">
        <f>SUMIFS(Post[57],Post[CATEGORY],Table12[[#This Row],[CATEGORY]])</f>
        <v>6</v>
      </c>
      <c r="M5">
        <f>SUMIFS(Post[58],Post[CATEGORY],Table12[[#This Row],[CATEGORY]])</f>
        <v>1</v>
      </c>
      <c r="N5">
        <f>SUMIFS(Post[59],Post[CATEGORY],Table12[[#This Row],[CATEGORY]])</f>
        <v>1</v>
      </c>
      <c r="O5">
        <f>SUMIFS(Post[60],Post[CATEGORY],Table12[[#This Row],[CATEGORY]])</f>
        <v>1</v>
      </c>
      <c r="P5">
        <f>SUMIFS(Post[61],Post[CATEGORY],Table12[[#This Row],[CATEGORY]])</f>
        <v>1</v>
      </c>
      <c r="Q5">
        <f>SUMIFS(Post[62],Post[CATEGORY],Table12[[#This Row],[CATEGORY]])</f>
        <v>5</v>
      </c>
      <c r="R5">
        <f>SUMIFS(Post[63],Post[CATEGORY],Table12[[#This Row],[CATEGORY]])</f>
        <v>2</v>
      </c>
      <c r="S5">
        <f>SUMIFS(Post[64],Post[CATEGORY],Table12[[#This Row],[CATEGORY]])</f>
        <v>1</v>
      </c>
      <c r="T5">
        <f>SUMIFS(Post[65],Post[CATEGORY],Table12[[#This Row],[CATEGORY]])</f>
        <v>1</v>
      </c>
      <c r="U5">
        <f>SUMIFS(Post[66],Post[CATEGORY],Table12[[#This Row],[CATEGORY]])</f>
        <v>1</v>
      </c>
      <c r="V5">
        <f>SUMIFS(Post[67],Post[CATEGORY],Table12[[#This Row],[CATEGORY]])</f>
        <v>2</v>
      </c>
      <c r="W5">
        <f>SUMIFS(Post[68],Post[CATEGORY],Table12[[#This Row],[CATEGORY]])</f>
        <v>2</v>
      </c>
      <c r="X5">
        <f>SUMIFS(Post[69],Post[CATEGORY],Table12[[#This Row],[CATEGORY]])</f>
        <v>1</v>
      </c>
      <c r="Y5">
        <f>SUMIFS(Post[70],Post[CATEGORY],Table12[[#This Row],[CATEGORY]])</f>
        <v>2</v>
      </c>
      <c r="Z5">
        <f>SUMIFS(Post[71],Post[CATEGORY],Table12[[#This Row],[CATEGORY]])</f>
        <v>1</v>
      </c>
      <c r="AA5">
        <f>SUMIFS(Post[72],Post[CATEGORY],Table12[[#This Row],[CATEGORY]])</f>
        <v>1</v>
      </c>
      <c r="AB5">
        <f>SUMIFS(Post[73],Post[CATEGORY],Table12[[#This Row],[CATEGORY]])</f>
        <v>2</v>
      </c>
      <c r="AC5">
        <f>SUMIFS(Post[74],Post[CATEGORY],Table12[[#This Row],[CATEGORY]])</f>
        <v>1</v>
      </c>
      <c r="AD5">
        <f>SUMIFS(Post[75],Post[CATEGORY],Table12[[#This Row],[CATEGORY]])</f>
        <v>1</v>
      </c>
      <c r="AE5">
        <f>SUM(Table12[[#This Row],[47]:[75]])</f>
        <v>47</v>
      </c>
    </row>
    <row r="6" spans="1:31" x14ac:dyDescent="0.2">
      <c r="A6" t="s">
        <v>14</v>
      </c>
      <c r="B6">
        <f>SUMIFS(Post[47],Post[CATEGORY],Table12[[#This Row],[CATEGORY]])</f>
        <v>142</v>
      </c>
      <c r="C6">
        <f>SUMIFS(Post[48],Post[CATEGORY],Table12[[#This Row],[CATEGORY]])</f>
        <v>133</v>
      </c>
      <c r="D6">
        <f>SUMIFS(Post[49],Post[CATEGORY],Table12[[#This Row],[CATEGORY]])</f>
        <v>127</v>
      </c>
      <c r="E6">
        <f>SUMIFS(Post[50],Post[CATEGORY],Table12[[#This Row],[CATEGORY]])</f>
        <v>147</v>
      </c>
      <c r="F6">
        <f>SUMIFS(Post[51],Post[CATEGORY],Table12[[#This Row],[CATEGORY]])</f>
        <v>134</v>
      </c>
      <c r="G6">
        <f>SUMIFS(Post[52],Post[CATEGORY],Table12[[#This Row],[CATEGORY]])</f>
        <v>106</v>
      </c>
      <c r="H6">
        <f>SUMIFS(Post[53],Post[CATEGORY],Table12[[#This Row],[CATEGORY]])</f>
        <v>0</v>
      </c>
      <c r="I6">
        <f>SUMIFS(Post[54],Post[CATEGORY],Table12[[#This Row],[CATEGORY]])</f>
        <v>101</v>
      </c>
      <c r="J6">
        <f>SUMIFS(Post[55],Post[CATEGORY],Table12[[#This Row],[CATEGORY]])</f>
        <v>127</v>
      </c>
      <c r="K6">
        <f>SUMIFS(Post[56],Post[CATEGORY],Table12[[#This Row],[CATEGORY]])</f>
        <v>105</v>
      </c>
      <c r="L6">
        <f>SUMIFS(Post[57],Post[CATEGORY],Table12[[#This Row],[CATEGORY]])</f>
        <v>138</v>
      </c>
      <c r="M6">
        <f>SUMIFS(Post[58],Post[CATEGORY],Table12[[#This Row],[CATEGORY]])</f>
        <v>115</v>
      </c>
      <c r="N6">
        <f>SUMIFS(Post[59],Post[CATEGORY],Table12[[#This Row],[CATEGORY]])</f>
        <v>105</v>
      </c>
      <c r="O6">
        <f>SUMIFS(Post[60],Post[CATEGORY],Table12[[#This Row],[CATEGORY]])</f>
        <v>108</v>
      </c>
      <c r="P6">
        <f>SUMIFS(Post[61],Post[CATEGORY],Table12[[#This Row],[CATEGORY]])</f>
        <v>110</v>
      </c>
      <c r="Q6">
        <f>SUMIFS(Post[62],Post[CATEGORY],Table12[[#This Row],[CATEGORY]])</f>
        <v>116</v>
      </c>
      <c r="R6">
        <f>SUMIFS(Post[63],Post[CATEGORY],Table12[[#This Row],[CATEGORY]])</f>
        <v>132</v>
      </c>
      <c r="S6">
        <f>SUMIFS(Post[64],Post[CATEGORY],Table12[[#This Row],[CATEGORY]])</f>
        <v>129</v>
      </c>
      <c r="T6">
        <f>SUMIFS(Post[65],Post[CATEGORY],Table12[[#This Row],[CATEGORY]])</f>
        <v>91</v>
      </c>
      <c r="U6">
        <f>SUMIFS(Post[66],Post[CATEGORY],Table12[[#This Row],[CATEGORY]])</f>
        <v>131</v>
      </c>
      <c r="V6">
        <f>SUMIFS(Post[67],Post[CATEGORY],Table12[[#This Row],[CATEGORY]])</f>
        <v>117</v>
      </c>
      <c r="W6">
        <f>SUMIFS(Post[68],Post[CATEGORY],Table12[[#This Row],[CATEGORY]])</f>
        <v>107</v>
      </c>
      <c r="X6">
        <f>SUMIFS(Post[69],Post[CATEGORY],Table12[[#This Row],[CATEGORY]])</f>
        <v>112</v>
      </c>
      <c r="Y6">
        <f>SUMIFS(Post[70],Post[CATEGORY],Table12[[#This Row],[CATEGORY]])</f>
        <v>121</v>
      </c>
      <c r="Z6">
        <f>SUMIFS(Post[71],Post[CATEGORY],Table12[[#This Row],[CATEGORY]])</f>
        <v>118</v>
      </c>
      <c r="AA6">
        <f>SUMIFS(Post[72],Post[CATEGORY],Table12[[#This Row],[CATEGORY]])</f>
        <v>111</v>
      </c>
      <c r="AB6">
        <f>SUMIFS(Post[73],Post[CATEGORY],Table12[[#This Row],[CATEGORY]])</f>
        <v>109</v>
      </c>
      <c r="AC6">
        <f>SUMIFS(Post[74],Post[CATEGORY],Table12[[#This Row],[CATEGORY]])</f>
        <v>109</v>
      </c>
      <c r="AD6">
        <f>SUMIFS(Post[75],Post[CATEGORY],Table12[[#This Row],[CATEGORY]])</f>
        <v>48</v>
      </c>
      <c r="AE6">
        <f>SUM(Table12[[#This Row],[47]:[75]])</f>
        <v>3249</v>
      </c>
    </row>
    <row r="7" spans="1:31" x14ac:dyDescent="0.2">
      <c r="A7" t="s">
        <v>17</v>
      </c>
      <c r="B7">
        <f>SUMIFS(Post[47],Post[CATEGORY],Table12[[#This Row],[CATEGORY]])</f>
        <v>1</v>
      </c>
      <c r="C7">
        <f>SUMIFS(Post[48],Post[CATEGORY],Table12[[#This Row],[CATEGORY]])</f>
        <v>3</v>
      </c>
      <c r="D7">
        <f>SUMIFS(Post[49],Post[CATEGORY],Table12[[#This Row],[CATEGORY]])</f>
        <v>2</v>
      </c>
      <c r="E7">
        <f>SUMIFS(Post[50],Post[CATEGORY],Table12[[#This Row],[CATEGORY]])</f>
        <v>1</v>
      </c>
      <c r="F7">
        <f>SUMIFS(Post[51],Post[CATEGORY],Table12[[#This Row],[CATEGORY]])</f>
        <v>1</v>
      </c>
      <c r="G7">
        <f>SUMIFS(Post[52],Post[CATEGORY],Table12[[#This Row],[CATEGORY]])</f>
        <v>3</v>
      </c>
      <c r="H7">
        <f>SUMIFS(Post[53],Post[CATEGORY],Table12[[#This Row],[CATEGORY]])</f>
        <v>0</v>
      </c>
      <c r="I7">
        <f>SUMIFS(Post[54],Post[CATEGORY],Table12[[#This Row],[CATEGORY]])</f>
        <v>1</v>
      </c>
      <c r="J7">
        <f>SUMIFS(Post[55],Post[CATEGORY],Table12[[#This Row],[CATEGORY]])</f>
        <v>2</v>
      </c>
      <c r="K7">
        <f>SUMIFS(Post[56],Post[CATEGORY],Table12[[#This Row],[CATEGORY]])</f>
        <v>1</v>
      </c>
      <c r="L7">
        <f>SUMIFS(Post[57],Post[CATEGORY],Table12[[#This Row],[CATEGORY]])</f>
        <v>5</v>
      </c>
      <c r="M7">
        <f>SUMIFS(Post[58],Post[CATEGORY],Table12[[#This Row],[CATEGORY]])</f>
        <v>2</v>
      </c>
      <c r="N7">
        <f>SUMIFS(Post[59],Post[CATEGORY],Table12[[#This Row],[CATEGORY]])</f>
        <v>1</v>
      </c>
      <c r="O7">
        <f>SUMIFS(Post[60],Post[CATEGORY],Table12[[#This Row],[CATEGORY]])</f>
        <v>1</v>
      </c>
      <c r="P7">
        <f>SUMIFS(Post[61],Post[CATEGORY],Table12[[#This Row],[CATEGORY]])</f>
        <v>5</v>
      </c>
      <c r="Q7">
        <f>SUMIFS(Post[62],Post[CATEGORY],Table12[[#This Row],[CATEGORY]])</f>
        <v>1</v>
      </c>
      <c r="R7">
        <f>SUMIFS(Post[63],Post[CATEGORY],Table12[[#This Row],[CATEGORY]])</f>
        <v>1</v>
      </c>
      <c r="S7">
        <f>SUMIFS(Post[64],Post[CATEGORY],Table12[[#This Row],[CATEGORY]])</f>
        <v>2</v>
      </c>
      <c r="T7">
        <f>SUMIFS(Post[65],Post[CATEGORY],Table12[[#This Row],[CATEGORY]])</f>
        <v>5</v>
      </c>
      <c r="U7">
        <f>SUMIFS(Post[66],Post[CATEGORY],Table12[[#This Row],[CATEGORY]])</f>
        <v>1</v>
      </c>
      <c r="V7">
        <f>SUMIFS(Post[67],Post[CATEGORY],Table12[[#This Row],[CATEGORY]])</f>
        <v>2</v>
      </c>
      <c r="W7">
        <f>SUMIFS(Post[68],Post[CATEGORY],Table12[[#This Row],[CATEGORY]])</f>
        <v>1</v>
      </c>
      <c r="X7">
        <f>SUMIFS(Post[69],Post[CATEGORY],Table12[[#This Row],[CATEGORY]])</f>
        <v>6</v>
      </c>
      <c r="Y7">
        <f>SUMIFS(Post[70],Post[CATEGORY],Table12[[#This Row],[CATEGORY]])</f>
        <v>5</v>
      </c>
      <c r="Z7">
        <f>SUMIFS(Post[71],Post[CATEGORY],Table12[[#This Row],[CATEGORY]])</f>
        <v>4</v>
      </c>
      <c r="AA7">
        <f>SUMIFS(Post[72],Post[CATEGORY],Table12[[#This Row],[CATEGORY]])</f>
        <v>5</v>
      </c>
      <c r="AB7">
        <f>SUMIFS(Post[73],Post[CATEGORY],Table12[[#This Row],[CATEGORY]])</f>
        <v>8</v>
      </c>
      <c r="AC7">
        <f>SUMIFS(Post[74],Post[CATEGORY],Table12[[#This Row],[CATEGORY]])</f>
        <v>4</v>
      </c>
      <c r="AD7">
        <f>SUMIFS(Post[75],Post[CATEGORY],Table12[[#This Row],[CATEGORY]])</f>
        <v>0</v>
      </c>
      <c r="AE7">
        <f>SUM(Table12[[#This Row],[47]:[75]])</f>
        <v>74</v>
      </c>
    </row>
    <row r="8" spans="1:31" x14ac:dyDescent="0.2">
      <c r="A8" t="s">
        <v>24</v>
      </c>
      <c r="B8">
        <f>SUMIFS(Post[47],Post[CATEGORY],Table12[[#This Row],[CATEGORY]])</f>
        <v>0</v>
      </c>
      <c r="C8">
        <f>SUMIFS(Post[48],Post[CATEGORY],Table12[[#This Row],[CATEGORY]])</f>
        <v>1</v>
      </c>
      <c r="D8">
        <f>SUMIFS(Post[49],Post[CATEGORY],Table12[[#This Row],[CATEGORY]])</f>
        <v>0</v>
      </c>
      <c r="E8">
        <f>SUMIFS(Post[50],Post[CATEGORY],Table12[[#This Row],[CATEGORY]])</f>
        <v>0</v>
      </c>
      <c r="F8">
        <f>SUMIFS(Post[51],Post[CATEGORY],Table12[[#This Row],[CATEGORY]])</f>
        <v>0</v>
      </c>
      <c r="G8">
        <f>SUMIFS(Post[52],Post[CATEGORY],Table12[[#This Row],[CATEGORY]])</f>
        <v>2</v>
      </c>
      <c r="H8">
        <f>SUMIFS(Post[53],Post[CATEGORY],Table12[[#This Row],[CATEGORY]])</f>
        <v>0</v>
      </c>
      <c r="I8">
        <f>SUMIFS(Post[54],Post[CATEGORY],Table12[[#This Row],[CATEGORY]])</f>
        <v>4</v>
      </c>
      <c r="J8">
        <f>SUMIFS(Post[55],Post[CATEGORY],Table12[[#This Row],[CATEGORY]])</f>
        <v>0</v>
      </c>
      <c r="K8">
        <f>SUMIFS(Post[56],Post[CATEGORY],Table12[[#This Row],[CATEGORY]])</f>
        <v>2</v>
      </c>
      <c r="L8">
        <f>SUMIFS(Post[57],Post[CATEGORY],Table12[[#This Row],[CATEGORY]])</f>
        <v>0</v>
      </c>
      <c r="M8">
        <f>SUMIFS(Post[58],Post[CATEGORY],Table12[[#This Row],[CATEGORY]])</f>
        <v>1</v>
      </c>
      <c r="N8">
        <f>SUMIFS(Post[59],Post[CATEGORY],Table12[[#This Row],[CATEGORY]])</f>
        <v>0</v>
      </c>
      <c r="O8">
        <f>SUMIFS(Post[60],Post[CATEGORY],Table12[[#This Row],[CATEGORY]])</f>
        <v>0</v>
      </c>
      <c r="P8">
        <f>SUMIFS(Post[61],Post[CATEGORY],Table12[[#This Row],[CATEGORY]])</f>
        <v>3</v>
      </c>
      <c r="Q8">
        <f>SUMIFS(Post[62],Post[CATEGORY],Table12[[#This Row],[CATEGORY]])</f>
        <v>0</v>
      </c>
      <c r="R8">
        <f>SUMIFS(Post[63],Post[CATEGORY],Table12[[#This Row],[CATEGORY]])</f>
        <v>0</v>
      </c>
      <c r="S8">
        <f>SUMIFS(Post[64],Post[CATEGORY],Table12[[#This Row],[CATEGORY]])</f>
        <v>0</v>
      </c>
      <c r="T8">
        <f>SUMIFS(Post[65],Post[CATEGORY],Table12[[#This Row],[CATEGORY]])</f>
        <v>1</v>
      </c>
      <c r="U8">
        <f>SUMIFS(Post[66],Post[CATEGORY],Table12[[#This Row],[CATEGORY]])</f>
        <v>5</v>
      </c>
      <c r="V8">
        <f>SUMIFS(Post[67],Post[CATEGORY],Table12[[#This Row],[CATEGORY]])</f>
        <v>0</v>
      </c>
      <c r="W8">
        <f>SUMIFS(Post[68],Post[CATEGORY],Table12[[#This Row],[CATEGORY]])</f>
        <v>0</v>
      </c>
      <c r="X8">
        <f>SUMIFS(Post[69],Post[CATEGORY],Table12[[#This Row],[CATEGORY]])</f>
        <v>1</v>
      </c>
      <c r="Y8">
        <f>SUMIFS(Post[70],Post[CATEGORY],Table12[[#This Row],[CATEGORY]])</f>
        <v>0</v>
      </c>
      <c r="Z8">
        <f>SUMIFS(Post[71],Post[CATEGORY],Table12[[#This Row],[CATEGORY]])</f>
        <v>0</v>
      </c>
      <c r="AA8">
        <f>SUMIFS(Post[72],Post[CATEGORY],Table12[[#This Row],[CATEGORY]])</f>
        <v>0</v>
      </c>
      <c r="AB8">
        <f>SUMIFS(Post[73],Post[CATEGORY],Table12[[#This Row],[CATEGORY]])</f>
        <v>1</v>
      </c>
      <c r="AC8">
        <f>SUMIFS(Post[74],Post[CATEGORY],Table12[[#This Row],[CATEGORY]])</f>
        <v>0</v>
      </c>
      <c r="AD8">
        <f>SUMIFS(Post[75],Post[CATEGORY],Table12[[#This Row],[CATEGORY]])</f>
        <v>0</v>
      </c>
      <c r="AE8">
        <f>SUM(Table12[[#This Row],[47]:[75]])</f>
        <v>21</v>
      </c>
    </row>
    <row r="9" spans="1:31" x14ac:dyDescent="0.2">
      <c r="A9" t="s">
        <v>26</v>
      </c>
      <c r="B9">
        <f>SUMIFS(Post[47],Post[CATEGORY],Table12[[#This Row],[CATEGORY]])</f>
        <v>3</v>
      </c>
      <c r="C9">
        <f>SUMIFS(Post[48],Post[CATEGORY],Table12[[#This Row],[CATEGORY]])</f>
        <v>2</v>
      </c>
      <c r="D9">
        <f>SUMIFS(Post[49],Post[CATEGORY],Table12[[#This Row],[CATEGORY]])</f>
        <v>5</v>
      </c>
      <c r="E9">
        <f>SUMIFS(Post[50],Post[CATEGORY],Table12[[#This Row],[CATEGORY]])</f>
        <v>3</v>
      </c>
      <c r="F9">
        <f>SUMIFS(Post[51],Post[CATEGORY],Table12[[#This Row],[CATEGORY]])</f>
        <v>4</v>
      </c>
      <c r="G9">
        <f>SUMIFS(Post[52],Post[CATEGORY],Table12[[#This Row],[CATEGORY]])</f>
        <v>2</v>
      </c>
      <c r="H9">
        <f>SUMIFS(Post[53],Post[CATEGORY],Table12[[#This Row],[CATEGORY]])</f>
        <v>0</v>
      </c>
      <c r="I9">
        <f>SUMIFS(Post[54],Post[CATEGORY],Table12[[#This Row],[CATEGORY]])</f>
        <v>5</v>
      </c>
      <c r="J9">
        <f>SUMIFS(Post[55],Post[CATEGORY],Table12[[#This Row],[CATEGORY]])</f>
        <v>4</v>
      </c>
      <c r="K9">
        <f>SUMIFS(Post[56],Post[CATEGORY],Table12[[#This Row],[CATEGORY]])</f>
        <v>5</v>
      </c>
      <c r="L9">
        <f>SUMIFS(Post[57],Post[CATEGORY],Table12[[#This Row],[CATEGORY]])</f>
        <v>2</v>
      </c>
      <c r="M9">
        <f>SUMIFS(Post[58],Post[CATEGORY],Table12[[#This Row],[CATEGORY]])</f>
        <v>3</v>
      </c>
      <c r="N9">
        <f>SUMIFS(Post[59],Post[CATEGORY],Table12[[#This Row],[CATEGORY]])</f>
        <v>4</v>
      </c>
      <c r="O9">
        <f>SUMIFS(Post[60],Post[CATEGORY],Table12[[#This Row],[CATEGORY]])</f>
        <v>2</v>
      </c>
      <c r="P9">
        <f>SUMIFS(Post[61],Post[CATEGORY],Table12[[#This Row],[CATEGORY]])</f>
        <v>0</v>
      </c>
      <c r="Q9">
        <f>SUMIFS(Post[62],Post[CATEGORY],Table12[[#This Row],[CATEGORY]])</f>
        <v>9</v>
      </c>
      <c r="R9">
        <f>SUMIFS(Post[63],Post[CATEGORY],Table12[[#This Row],[CATEGORY]])</f>
        <v>3</v>
      </c>
      <c r="S9">
        <f>SUMIFS(Post[64],Post[CATEGORY],Table12[[#This Row],[CATEGORY]])</f>
        <v>4</v>
      </c>
      <c r="T9">
        <f>SUMIFS(Post[65],Post[CATEGORY],Table12[[#This Row],[CATEGORY]])</f>
        <v>0</v>
      </c>
      <c r="U9">
        <f>SUMIFS(Post[66],Post[CATEGORY],Table12[[#This Row],[CATEGORY]])</f>
        <v>5</v>
      </c>
      <c r="V9">
        <f>SUMIFS(Post[67],Post[CATEGORY],Table12[[#This Row],[CATEGORY]])</f>
        <v>3</v>
      </c>
      <c r="W9">
        <f>SUMIFS(Post[68],Post[CATEGORY],Table12[[#This Row],[CATEGORY]])</f>
        <v>5</v>
      </c>
      <c r="X9">
        <f>SUMIFS(Post[69],Post[CATEGORY],Table12[[#This Row],[CATEGORY]])</f>
        <v>1</v>
      </c>
      <c r="Y9">
        <f>SUMIFS(Post[70],Post[CATEGORY],Table12[[#This Row],[CATEGORY]])</f>
        <v>6</v>
      </c>
      <c r="Z9">
        <f>SUMIFS(Post[71],Post[CATEGORY],Table12[[#This Row],[CATEGORY]])</f>
        <v>1</v>
      </c>
      <c r="AA9">
        <f>SUMIFS(Post[72],Post[CATEGORY],Table12[[#This Row],[CATEGORY]])</f>
        <v>6</v>
      </c>
      <c r="AB9">
        <f>SUMIFS(Post[73],Post[CATEGORY],Table12[[#This Row],[CATEGORY]])</f>
        <v>3</v>
      </c>
      <c r="AC9">
        <f>SUMIFS(Post[74],Post[CATEGORY],Table12[[#This Row],[CATEGORY]])</f>
        <v>2</v>
      </c>
      <c r="AD9">
        <f>SUMIFS(Post[75],Post[CATEGORY],Table12[[#This Row],[CATEGORY]])</f>
        <v>2</v>
      </c>
      <c r="AE9">
        <f>SUM(Table12[[#This Row],[47]:[75]])</f>
        <v>94</v>
      </c>
    </row>
    <row r="10" spans="1:31" x14ac:dyDescent="0.2">
      <c r="A10" t="s">
        <v>32</v>
      </c>
      <c r="B10">
        <f>SUMIFS(Post[47],Post[CATEGORY],Table12[[#This Row],[CATEGORY]])</f>
        <v>3</v>
      </c>
      <c r="C10">
        <f>SUMIFS(Post[48],Post[CATEGORY],Table12[[#This Row],[CATEGORY]])</f>
        <v>2</v>
      </c>
      <c r="D10">
        <f>SUMIFS(Post[49],Post[CATEGORY],Table12[[#This Row],[CATEGORY]])</f>
        <v>4</v>
      </c>
      <c r="E10">
        <f>SUMIFS(Post[50],Post[CATEGORY],Table12[[#This Row],[CATEGORY]])</f>
        <v>1</v>
      </c>
      <c r="F10">
        <f>SUMIFS(Post[51],Post[CATEGORY],Table12[[#This Row],[CATEGORY]])</f>
        <v>2</v>
      </c>
      <c r="G10">
        <f>SUMIFS(Post[52],Post[CATEGORY],Table12[[#This Row],[CATEGORY]])</f>
        <v>4</v>
      </c>
      <c r="H10">
        <f>SUMIFS(Post[53],Post[CATEGORY],Table12[[#This Row],[CATEGORY]])</f>
        <v>0</v>
      </c>
      <c r="I10">
        <f>SUMIFS(Post[54],Post[CATEGORY],Table12[[#This Row],[CATEGORY]])</f>
        <v>4</v>
      </c>
      <c r="J10">
        <f>SUMIFS(Post[55],Post[CATEGORY],Table12[[#This Row],[CATEGORY]])</f>
        <v>2</v>
      </c>
      <c r="K10">
        <f>SUMIFS(Post[56],Post[CATEGORY],Table12[[#This Row],[CATEGORY]])</f>
        <v>1</v>
      </c>
      <c r="L10">
        <f>SUMIFS(Post[57],Post[CATEGORY],Table12[[#This Row],[CATEGORY]])</f>
        <v>4</v>
      </c>
      <c r="M10">
        <f>SUMIFS(Post[58],Post[CATEGORY],Table12[[#This Row],[CATEGORY]])</f>
        <v>1</v>
      </c>
      <c r="N10">
        <f>SUMIFS(Post[59],Post[CATEGORY],Table12[[#This Row],[CATEGORY]])</f>
        <v>3</v>
      </c>
      <c r="O10">
        <f>SUMIFS(Post[60],Post[CATEGORY],Table12[[#This Row],[CATEGORY]])</f>
        <v>2</v>
      </c>
      <c r="P10">
        <f>SUMIFS(Post[61],Post[CATEGORY],Table12[[#This Row],[CATEGORY]])</f>
        <v>2</v>
      </c>
      <c r="Q10">
        <f>SUMIFS(Post[62],Post[CATEGORY],Table12[[#This Row],[CATEGORY]])</f>
        <v>1</v>
      </c>
      <c r="R10">
        <f>SUMIFS(Post[63],Post[CATEGORY],Table12[[#This Row],[CATEGORY]])</f>
        <v>2</v>
      </c>
      <c r="S10">
        <f>SUMIFS(Post[64],Post[CATEGORY],Table12[[#This Row],[CATEGORY]])</f>
        <v>2</v>
      </c>
      <c r="T10">
        <f>SUMIFS(Post[65],Post[CATEGORY],Table12[[#This Row],[CATEGORY]])</f>
        <v>1</v>
      </c>
      <c r="U10">
        <f>SUMIFS(Post[66],Post[CATEGORY],Table12[[#This Row],[CATEGORY]])</f>
        <v>2</v>
      </c>
      <c r="V10">
        <f>SUMIFS(Post[67],Post[CATEGORY],Table12[[#This Row],[CATEGORY]])</f>
        <v>1</v>
      </c>
      <c r="W10">
        <f>SUMIFS(Post[68],Post[CATEGORY],Table12[[#This Row],[CATEGORY]])</f>
        <v>1</v>
      </c>
      <c r="X10">
        <f>SUMIFS(Post[69],Post[CATEGORY],Table12[[#This Row],[CATEGORY]])</f>
        <v>1</v>
      </c>
      <c r="Y10">
        <f>SUMIFS(Post[70],Post[CATEGORY],Table12[[#This Row],[CATEGORY]])</f>
        <v>1</v>
      </c>
      <c r="Z10">
        <f>SUMIFS(Post[71],Post[CATEGORY],Table12[[#This Row],[CATEGORY]])</f>
        <v>2</v>
      </c>
      <c r="AA10">
        <f>SUMIFS(Post[72],Post[CATEGORY],Table12[[#This Row],[CATEGORY]])</f>
        <v>1</v>
      </c>
      <c r="AB10">
        <f>SUMIFS(Post[73],Post[CATEGORY],Table12[[#This Row],[CATEGORY]])</f>
        <v>2</v>
      </c>
      <c r="AC10">
        <f>SUMIFS(Post[74],Post[CATEGORY],Table12[[#This Row],[CATEGORY]])</f>
        <v>2</v>
      </c>
      <c r="AD10">
        <f>SUMIFS(Post[75],Post[CATEGORY],Table12[[#This Row],[CATEGORY]])</f>
        <v>0</v>
      </c>
      <c r="AE10">
        <f>SUM(Table12[[#This Row],[47]:[75]])</f>
        <v>54</v>
      </c>
    </row>
    <row r="11" spans="1:31" x14ac:dyDescent="0.2">
      <c r="A11" t="s">
        <v>37</v>
      </c>
      <c r="B11">
        <f>SUMIFS(Post[47],Post[CATEGORY],Table12[[#This Row],[CATEGORY]])</f>
        <v>5</v>
      </c>
      <c r="C11">
        <f>SUMIFS(Post[48],Post[CATEGORY],Table12[[#This Row],[CATEGORY]])</f>
        <v>3</v>
      </c>
      <c r="D11">
        <f>SUMIFS(Post[49],Post[CATEGORY],Table12[[#This Row],[CATEGORY]])</f>
        <v>5</v>
      </c>
      <c r="E11">
        <f>SUMIFS(Post[50],Post[CATEGORY],Table12[[#This Row],[CATEGORY]])</f>
        <v>4</v>
      </c>
      <c r="F11">
        <f>SUMIFS(Post[51],Post[CATEGORY],Table12[[#This Row],[CATEGORY]])</f>
        <v>7</v>
      </c>
      <c r="G11">
        <f>SUMIFS(Post[52],Post[CATEGORY],Table12[[#This Row],[CATEGORY]])</f>
        <v>5</v>
      </c>
      <c r="H11">
        <f>SUMIFS(Post[53],Post[CATEGORY],Table12[[#This Row],[CATEGORY]])</f>
        <v>0</v>
      </c>
      <c r="I11">
        <f>SUMIFS(Post[54],Post[CATEGORY],Table12[[#This Row],[CATEGORY]])</f>
        <v>7</v>
      </c>
      <c r="J11">
        <f>SUMIFS(Post[55],Post[CATEGORY],Table12[[#This Row],[CATEGORY]])</f>
        <v>6</v>
      </c>
      <c r="K11">
        <f>SUMIFS(Post[56],Post[CATEGORY],Table12[[#This Row],[CATEGORY]])</f>
        <v>3</v>
      </c>
      <c r="L11">
        <f>SUMIFS(Post[57],Post[CATEGORY],Table12[[#This Row],[CATEGORY]])</f>
        <v>12</v>
      </c>
      <c r="M11">
        <f>SUMIFS(Post[58],Post[CATEGORY],Table12[[#This Row],[CATEGORY]])</f>
        <v>6</v>
      </c>
      <c r="N11">
        <f>SUMIFS(Post[59],Post[CATEGORY],Table12[[#This Row],[CATEGORY]])</f>
        <v>2</v>
      </c>
      <c r="O11">
        <f>SUMIFS(Post[60],Post[CATEGORY],Table12[[#This Row],[CATEGORY]])</f>
        <v>4</v>
      </c>
      <c r="P11">
        <f>SUMIFS(Post[61],Post[CATEGORY],Table12[[#This Row],[CATEGORY]])</f>
        <v>7</v>
      </c>
      <c r="Q11">
        <f>SUMIFS(Post[62],Post[CATEGORY],Table12[[#This Row],[CATEGORY]])</f>
        <v>7</v>
      </c>
      <c r="R11">
        <f>SUMIFS(Post[63],Post[CATEGORY],Table12[[#This Row],[CATEGORY]])</f>
        <v>8</v>
      </c>
      <c r="S11">
        <f>SUMIFS(Post[64],Post[CATEGORY],Table12[[#This Row],[CATEGORY]])</f>
        <v>6</v>
      </c>
      <c r="T11">
        <f>SUMIFS(Post[65],Post[CATEGORY],Table12[[#This Row],[CATEGORY]])</f>
        <v>10</v>
      </c>
      <c r="U11">
        <f>SUMIFS(Post[66],Post[CATEGORY],Table12[[#This Row],[CATEGORY]])</f>
        <v>4</v>
      </c>
      <c r="V11">
        <f>SUMIFS(Post[67],Post[CATEGORY],Table12[[#This Row],[CATEGORY]])</f>
        <v>6</v>
      </c>
      <c r="W11">
        <f>SUMIFS(Post[68],Post[CATEGORY],Table12[[#This Row],[CATEGORY]])</f>
        <v>5</v>
      </c>
      <c r="X11">
        <f>SUMIFS(Post[69],Post[CATEGORY],Table12[[#This Row],[CATEGORY]])</f>
        <v>6</v>
      </c>
      <c r="Y11">
        <f>SUMIFS(Post[70],Post[CATEGORY],Table12[[#This Row],[CATEGORY]])</f>
        <v>6</v>
      </c>
      <c r="Z11">
        <f>SUMIFS(Post[71],Post[CATEGORY],Table12[[#This Row],[CATEGORY]])</f>
        <v>11</v>
      </c>
      <c r="AA11">
        <f>SUMIFS(Post[72],Post[CATEGORY],Table12[[#This Row],[CATEGORY]])</f>
        <v>4</v>
      </c>
      <c r="AB11">
        <f>SUMIFS(Post[73],Post[CATEGORY],Table12[[#This Row],[CATEGORY]])</f>
        <v>5</v>
      </c>
      <c r="AC11">
        <f>SUMIFS(Post[74],Post[CATEGORY],Table12[[#This Row],[CATEGORY]])</f>
        <v>3</v>
      </c>
      <c r="AD11">
        <f>SUMIFS(Post[75],Post[CATEGORY],Table12[[#This Row],[CATEGORY]])</f>
        <v>6</v>
      </c>
      <c r="AE11">
        <f>SUM(Table12[[#This Row],[47]:[75]])</f>
        <v>163</v>
      </c>
    </row>
    <row r="12" spans="1:31" x14ac:dyDescent="0.2">
      <c r="A12" t="s">
        <v>40</v>
      </c>
      <c r="B12">
        <f>SUMIFS(Post[47],Post[CATEGORY],Table12[[#This Row],[CATEGORY]])</f>
        <v>1</v>
      </c>
      <c r="C12">
        <f>SUMIFS(Post[48],Post[CATEGORY],Table12[[#This Row],[CATEGORY]])</f>
        <v>0</v>
      </c>
      <c r="D12">
        <f>SUMIFS(Post[49],Post[CATEGORY],Table12[[#This Row],[CATEGORY]])</f>
        <v>3</v>
      </c>
      <c r="E12">
        <f>SUMIFS(Post[50],Post[CATEGORY],Table12[[#This Row],[CATEGORY]])</f>
        <v>7</v>
      </c>
      <c r="F12">
        <f>SUMIFS(Post[51],Post[CATEGORY],Table12[[#This Row],[CATEGORY]])</f>
        <v>3</v>
      </c>
      <c r="G12">
        <f>SUMIFS(Post[52],Post[CATEGORY],Table12[[#This Row],[CATEGORY]])</f>
        <v>4</v>
      </c>
      <c r="H12">
        <f>SUMIFS(Post[53],Post[CATEGORY],Table12[[#This Row],[CATEGORY]])</f>
        <v>0</v>
      </c>
      <c r="I12">
        <f>SUMIFS(Post[54],Post[CATEGORY],Table12[[#This Row],[CATEGORY]])</f>
        <v>2</v>
      </c>
      <c r="J12">
        <f>SUMIFS(Post[55],Post[CATEGORY],Table12[[#This Row],[CATEGORY]])</f>
        <v>3</v>
      </c>
      <c r="K12">
        <f>SUMIFS(Post[56],Post[CATEGORY],Table12[[#This Row],[CATEGORY]])</f>
        <v>2</v>
      </c>
      <c r="L12">
        <f>SUMIFS(Post[57],Post[CATEGORY],Table12[[#This Row],[CATEGORY]])</f>
        <v>1</v>
      </c>
      <c r="M12">
        <f>SUMIFS(Post[58],Post[CATEGORY],Table12[[#This Row],[CATEGORY]])</f>
        <v>0</v>
      </c>
      <c r="N12">
        <f>SUMIFS(Post[59],Post[CATEGORY],Table12[[#This Row],[CATEGORY]])</f>
        <v>2</v>
      </c>
      <c r="O12">
        <f>SUMIFS(Post[60],Post[CATEGORY],Table12[[#This Row],[CATEGORY]])</f>
        <v>1</v>
      </c>
      <c r="P12">
        <f>SUMIFS(Post[61],Post[CATEGORY],Table12[[#This Row],[CATEGORY]])</f>
        <v>1</v>
      </c>
      <c r="Q12">
        <f>SUMIFS(Post[62],Post[CATEGORY],Table12[[#This Row],[CATEGORY]])</f>
        <v>1</v>
      </c>
      <c r="R12">
        <f>SUMIFS(Post[63],Post[CATEGORY],Table12[[#This Row],[CATEGORY]])</f>
        <v>2</v>
      </c>
      <c r="S12">
        <f>SUMIFS(Post[64],Post[CATEGORY],Table12[[#This Row],[CATEGORY]])</f>
        <v>5</v>
      </c>
      <c r="T12">
        <f>SUMIFS(Post[65],Post[CATEGORY],Table12[[#This Row],[CATEGORY]])</f>
        <v>2</v>
      </c>
      <c r="U12">
        <f>SUMIFS(Post[66],Post[CATEGORY],Table12[[#This Row],[CATEGORY]])</f>
        <v>1</v>
      </c>
      <c r="V12">
        <f>SUMIFS(Post[67],Post[CATEGORY],Table12[[#This Row],[CATEGORY]])</f>
        <v>1</v>
      </c>
      <c r="W12">
        <f>SUMIFS(Post[68],Post[CATEGORY],Table12[[#This Row],[CATEGORY]])</f>
        <v>1</v>
      </c>
      <c r="X12">
        <f>SUMIFS(Post[69],Post[CATEGORY],Table12[[#This Row],[CATEGORY]])</f>
        <v>1</v>
      </c>
      <c r="Y12">
        <f>SUMIFS(Post[70],Post[CATEGORY],Table12[[#This Row],[CATEGORY]])</f>
        <v>4</v>
      </c>
      <c r="Z12">
        <f>SUMIFS(Post[71],Post[CATEGORY],Table12[[#This Row],[CATEGORY]])</f>
        <v>3</v>
      </c>
      <c r="AA12">
        <f>SUMIFS(Post[72],Post[CATEGORY],Table12[[#This Row],[CATEGORY]])</f>
        <v>2</v>
      </c>
      <c r="AB12">
        <f>SUMIFS(Post[73],Post[CATEGORY],Table12[[#This Row],[CATEGORY]])</f>
        <v>4</v>
      </c>
      <c r="AC12">
        <f>SUMIFS(Post[74],Post[CATEGORY],Table12[[#This Row],[CATEGORY]])</f>
        <v>5</v>
      </c>
      <c r="AD12">
        <f>SUMIFS(Post[75],Post[CATEGORY],Table12[[#This Row],[CATEGORY]])</f>
        <v>1</v>
      </c>
      <c r="AE12">
        <f>SUM(Table12[[#This Row],[47]:[75]])</f>
        <v>63</v>
      </c>
    </row>
    <row r="13" spans="1:31" x14ac:dyDescent="0.2">
      <c r="A13" t="s">
        <v>147</v>
      </c>
      <c r="B13">
        <f>SUBTOTAL(109,Table12[47])</f>
        <v>332</v>
      </c>
      <c r="C13">
        <f>SUBTOTAL(109,Table12[48])</f>
        <v>330</v>
      </c>
      <c r="D13">
        <f>SUBTOTAL(109,Table12[49])</f>
        <v>331</v>
      </c>
      <c r="E13">
        <f>SUBTOTAL(109,Table12[50])</f>
        <v>354</v>
      </c>
      <c r="F13">
        <f>SUBTOTAL(109,Table12[51])</f>
        <v>341</v>
      </c>
      <c r="G13">
        <f>SUBTOTAL(109,Table12[52])</f>
        <v>280</v>
      </c>
      <c r="H13">
        <f>SUBTOTAL(109,Table12[53])</f>
        <v>0</v>
      </c>
      <c r="I13">
        <f>SUBTOTAL(109,Table12[54])</f>
        <v>253</v>
      </c>
      <c r="J13">
        <f>SUBTOTAL(109,Table12[55])</f>
        <v>315</v>
      </c>
      <c r="K13">
        <f>SUBTOTAL(109,Table12[56])</f>
        <v>266</v>
      </c>
      <c r="L13">
        <f>SUBTOTAL(109,Table12[57])</f>
        <v>339</v>
      </c>
      <c r="M13">
        <f>SUBTOTAL(109,Table12[58])</f>
        <v>291</v>
      </c>
      <c r="N13">
        <f>SUBTOTAL(109,Table12[59])</f>
        <v>287</v>
      </c>
      <c r="O13">
        <f>SUBTOTAL(109,Table12[60])</f>
        <v>266</v>
      </c>
      <c r="P13">
        <f>SUBTOTAL(109,Table12[61])</f>
        <v>300</v>
      </c>
      <c r="Q13">
        <f>SUBTOTAL(109,Table12[62])</f>
        <v>314</v>
      </c>
      <c r="R13">
        <f>SUBTOTAL(109,Table12[63])</f>
        <v>319</v>
      </c>
      <c r="S13">
        <f>SUBTOTAL(109,Table12[64])</f>
        <v>334</v>
      </c>
      <c r="T13">
        <f>SUBTOTAL(109,Table12[65])</f>
        <v>283</v>
      </c>
      <c r="U13">
        <f>SUBTOTAL(109,Table12[66])</f>
        <v>314</v>
      </c>
      <c r="V13">
        <f>SUBTOTAL(109,Table12[67])</f>
        <v>309</v>
      </c>
      <c r="W13">
        <f>SUBTOTAL(109,Table12[68])</f>
        <v>323</v>
      </c>
      <c r="X13">
        <f>SUBTOTAL(109,Table12[69])</f>
        <v>332</v>
      </c>
      <c r="Y13">
        <f>SUBTOTAL(109,Table12[70])</f>
        <v>342</v>
      </c>
      <c r="Z13">
        <f>SUBTOTAL(109,Table12[71])</f>
        <v>315</v>
      </c>
      <c r="AA13">
        <f>SUBTOTAL(109,Table12[72])</f>
        <v>317</v>
      </c>
      <c r="AB13">
        <f>SUBTOTAL(109,Table12[73])</f>
        <v>325</v>
      </c>
      <c r="AC13">
        <f>SUBTOTAL(109,Table12[74])</f>
        <v>283</v>
      </c>
      <c r="AD13">
        <f>SUBTOTAL(109,Table12[75])</f>
        <v>164</v>
      </c>
      <c r="AE13">
        <f>SUBTOTAL(109,Table12[SCRIPTS])</f>
        <v>8559</v>
      </c>
    </row>
    <row r="15" spans="1:31" x14ac:dyDescent="0.2">
      <c r="A15" t="s">
        <v>6</v>
      </c>
    </row>
    <row r="16" spans="1:31" x14ac:dyDescent="0.2">
      <c r="A16" t="s">
        <v>3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  <c r="R16" t="s">
        <v>134</v>
      </c>
      <c r="S16" t="s">
        <v>135</v>
      </c>
      <c r="T16" t="s">
        <v>136</v>
      </c>
      <c r="U16" t="s">
        <v>137</v>
      </c>
      <c r="V16" t="s">
        <v>138</v>
      </c>
      <c r="W16" t="s">
        <v>139</v>
      </c>
      <c r="X16" t="s">
        <v>140</v>
      </c>
      <c r="Y16" t="s">
        <v>141</v>
      </c>
      <c r="Z16" t="s">
        <v>142</v>
      </c>
      <c r="AA16" t="s">
        <v>143</v>
      </c>
      <c r="AB16" t="s">
        <v>144</v>
      </c>
      <c r="AC16" t="s">
        <v>145</v>
      </c>
      <c r="AD16" t="s">
        <v>146</v>
      </c>
      <c r="AE16" t="s">
        <v>117</v>
      </c>
    </row>
    <row r="17" spans="1:31" x14ac:dyDescent="0.2">
      <c r="A17" t="s">
        <v>8</v>
      </c>
      <c r="B17">
        <f>SUMIFS(Post[47],Post[CATEGORY],Table122425[[#This Row],[CATEGORY]],Pre[GROUPING],"Jan")</f>
        <v>63</v>
      </c>
      <c r="C17">
        <f>SUMIFS(Post[48],Post[CATEGORY],Table122425[[#This Row],[CATEGORY]],Pre[GROUPING],"Jan")</f>
        <v>79</v>
      </c>
      <c r="D17">
        <f>SUMIFS(Post[49],Post[CATEGORY],Table122425[[#This Row],[CATEGORY]],Pre[GROUPING],"Jan")</f>
        <v>62</v>
      </c>
      <c r="E17">
        <f>SUMIFS(Post[50],Post[CATEGORY],Table122425[[#This Row],[CATEGORY]],Pre[GROUPING],"Jan")</f>
        <v>72</v>
      </c>
      <c r="F17">
        <f>SUMIFS(Post[51],Post[CATEGORY],Table122425[[#This Row],[CATEGORY]],Pre[GROUPING],"Jan")</f>
        <v>69</v>
      </c>
      <c r="G17">
        <f>SUMIFS(Post[52],Post[CATEGORY],Table122425[[#This Row],[CATEGORY]],Pre[GROUPING],"Jan")</f>
        <v>56</v>
      </c>
      <c r="H17">
        <f>SUMIFS(Post[53],Post[CATEGORY],Table122425[[#This Row],[CATEGORY]],Pre[GROUPING],"Jan")</f>
        <v>0</v>
      </c>
      <c r="I17">
        <f>SUMIFS(Post[54],Post[CATEGORY],Table122425[[#This Row],[CATEGORY]],Pre[GROUPING],"Jan")</f>
        <v>44</v>
      </c>
      <c r="J17">
        <f>SUMIFS(Post[55],Post[CATEGORY],Table122425[[#This Row],[CATEGORY]],Pre[GROUPING],"Jan")</f>
        <v>64</v>
      </c>
      <c r="K17">
        <f>SUMIFS(Post[56],Post[CATEGORY],Table122425[[#This Row],[CATEGORY]],Pre[GROUPING],"Jan")</f>
        <v>61</v>
      </c>
      <c r="L17">
        <f>SUMIFS(Post[57],Post[CATEGORY],Table122425[[#This Row],[CATEGORY]],Pre[GROUPING],"Jan")</f>
        <v>70</v>
      </c>
      <c r="M17">
        <f>SUMIFS(Post[58],Post[CATEGORY],Table122425[[#This Row],[CATEGORY]],Pre[GROUPING],"Jan")</f>
        <v>59</v>
      </c>
      <c r="N17">
        <f>SUMIFS(Post[59],Post[CATEGORY],Table122425[[#This Row],[CATEGORY]],Pre[GROUPING],"Jan")</f>
        <v>75</v>
      </c>
      <c r="O17">
        <f>SUMIFS(Post[60],Post[CATEGORY],Table122425[[#This Row],[CATEGORY]],Pre[GROUPING],"Jan")</f>
        <v>51</v>
      </c>
      <c r="P17">
        <f>SUMIFS(Post[61],Post[CATEGORY],Table122425[[#This Row],[CATEGORY]],Pre[GROUPING],"Jan")</f>
        <v>52</v>
      </c>
      <c r="Q17">
        <f>SUMIFS(Post[62],Post[CATEGORY],Table122425[[#This Row],[CATEGORY]],Pre[GROUPING],"Jan")</f>
        <v>56</v>
      </c>
      <c r="R17">
        <f>SUMIFS(Post[63],Post[CATEGORY],Table122425[[#This Row],[CATEGORY]],Pre[GROUPING],"Jan")</f>
        <v>64</v>
      </c>
      <c r="S17">
        <f>SUMIFS(Post[64],Post[CATEGORY],Table122425[[#This Row],[CATEGORY]],Pre[GROUPING],"Jan")</f>
        <v>67</v>
      </c>
      <c r="T17">
        <f>SUMIFS(Post[65],Post[CATEGORY],Table122425[[#This Row],[CATEGORY]],Pre[GROUPING],"Jan")</f>
        <v>69</v>
      </c>
      <c r="U17">
        <f>SUMIFS(Post[66],Post[CATEGORY],Table122425[[#This Row],[CATEGORY]],Pre[GROUPING],"Jan")</f>
        <v>68</v>
      </c>
      <c r="V17">
        <f>SUMIFS(Post[67],Post[CATEGORY],Table122425[[#This Row],[CATEGORY]],Pre[GROUPING],"Jan")</f>
        <v>70</v>
      </c>
      <c r="W17">
        <f>SUMIFS(Post[68],Post[CATEGORY],Table122425[[#This Row],[CATEGORY]],Pre[GROUPING],"Jan")</f>
        <v>74</v>
      </c>
      <c r="X17">
        <f>SUMIFS(Post[69],Post[CATEGORY],Table122425[[#This Row],[CATEGORY]],Pre[GROUPING],"Jan")</f>
        <v>78</v>
      </c>
      <c r="Y17">
        <f>SUMIFS(Post[70],Post[CATEGORY],Table122425[[#This Row],[CATEGORY]],Pre[GROUPING],"Jan")</f>
        <v>78</v>
      </c>
      <c r="Z17">
        <f>SUMIFS(Post[71],Post[CATEGORY],Table122425[[#This Row],[CATEGORY]],Pre[GROUPING],"Jan")</f>
        <v>63</v>
      </c>
      <c r="AA17">
        <f>SUMIFS(Post[72],Post[CATEGORY],Table122425[[#This Row],[CATEGORY]],Pre[GROUPING],"Jan")</f>
        <v>69</v>
      </c>
      <c r="AB17">
        <f>SUMIFS(Post[73],Post[CATEGORY],Table122425[[#This Row],[CATEGORY]],Pre[GROUPING],"Jan")</f>
        <v>71</v>
      </c>
      <c r="AC17">
        <f>SUMIFS(Post[74],Post[CATEGORY],Table122425[[#This Row],[CATEGORY]],Pre[GROUPING],"Jan")</f>
        <v>57</v>
      </c>
      <c r="AD17">
        <f>SUMIFS(Post[75],Post[CATEGORY],Table122425[[#This Row],[CATEGORY]],Pre[GROUPING],"Jan")</f>
        <v>42</v>
      </c>
      <c r="AE17">
        <f>SUM(Table122425[[#This Row],[47]:[75]])</f>
        <v>1803</v>
      </c>
    </row>
    <row r="18" spans="1:31" x14ac:dyDescent="0.2">
      <c r="A18" t="s">
        <v>10</v>
      </c>
      <c r="B18">
        <f>SUMIFS(Post[47],Post[CATEGORY],Table122425[[#This Row],[CATEGORY]],Pre[GROUPING],"Jan")</f>
        <v>5</v>
      </c>
      <c r="C18">
        <f>SUMIFS(Post[48],Post[CATEGORY],Table122425[[#This Row],[CATEGORY]],Pre[GROUPING],"Jan")</f>
        <v>2</v>
      </c>
      <c r="D18">
        <f>SUMIFS(Post[49],Post[CATEGORY],Table122425[[#This Row],[CATEGORY]],Pre[GROUPING],"Jan")</f>
        <v>5</v>
      </c>
      <c r="E18">
        <f>SUMIFS(Post[50],Post[CATEGORY],Table122425[[#This Row],[CATEGORY]],Pre[GROUPING],"Jan")</f>
        <v>10</v>
      </c>
      <c r="F18">
        <f>SUMIFS(Post[51],Post[CATEGORY],Table122425[[#This Row],[CATEGORY]],Pre[GROUPING],"Jan")</f>
        <v>8</v>
      </c>
      <c r="G18">
        <f>SUMIFS(Post[52],Post[CATEGORY],Table122425[[#This Row],[CATEGORY]],Pre[GROUPING],"Jan")</f>
        <v>6</v>
      </c>
      <c r="H18">
        <f>SUMIFS(Post[53],Post[CATEGORY],Table122425[[#This Row],[CATEGORY]],Pre[GROUPING],"Jan")</f>
        <v>0</v>
      </c>
      <c r="I18">
        <f>SUMIFS(Post[54],Post[CATEGORY],Table122425[[#This Row],[CATEGORY]],Pre[GROUPING],"Jan")</f>
        <v>4</v>
      </c>
      <c r="J18">
        <f>SUMIFS(Post[55],Post[CATEGORY],Table122425[[#This Row],[CATEGORY]],Pre[GROUPING],"Jan")</f>
        <v>11</v>
      </c>
      <c r="K18">
        <f>SUMIFS(Post[56],Post[CATEGORY],Table122425[[#This Row],[CATEGORY]],Pre[GROUPING],"Jan")</f>
        <v>2</v>
      </c>
      <c r="L18">
        <f>SUMIFS(Post[57],Post[CATEGORY],Table122425[[#This Row],[CATEGORY]],Pre[GROUPING],"Jan")</f>
        <v>9</v>
      </c>
      <c r="M18">
        <f>SUMIFS(Post[58],Post[CATEGORY],Table122425[[#This Row],[CATEGORY]],Pre[GROUPING],"Jan")</f>
        <v>8</v>
      </c>
      <c r="N18">
        <f>SUMIFS(Post[59],Post[CATEGORY],Table122425[[#This Row],[CATEGORY]],Pre[GROUPING],"Jan")</f>
        <v>13</v>
      </c>
      <c r="O18">
        <f>SUMIFS(Post[60],Post[CATEGORY],Table122425[[#This Row],[CATEGORY]],Pre[GROUPING],"Jan")</f>
        <v>4</v>
      </c>
      <c r="P18">
        <f>SUMIFS(Post[61],Post[CATEGORY],Table122425[[#This Row],[CATEGORY]],Pre[GROUPING],"Jan")</f>
        <v>9</v>
      </c>
      <c r="Q18">
        <f>SUMIFS(Post[62],Post[CATEGORY],Table122425[[#This Row],[CATEGORY]],Pre[GROUPING],"Jan")</f>
        <v>7</v>
      </c>
      <c r="R18">
        <f>SUMIFS(Post[63],Post[CATEGORY],Table122425[[#This Row],[CATEGORY]],Pre[GROUPING],"Jan")</f>
        <v>8</v>
      </c>
      <c r="S18">
        <f>SUMIFS(Post[64],Post[CATEGORY],Table122425[[#This Row],[CATEGORY]],Pre[GROUPING],"Jan")</f>
        <v>10</v>
      </c>
      <c r="T18">
        <f>SUMIFS(Post[65],Post[CATEGORY],Table122425[[#This Row],[CATEGORY]],Pre[GROUPING],"Jan")</f>
        <v>9</v>
      </c>
      <c r="U18">
        <f>SUMIFS(Post[66],Post[CATEGORY],Table122425[[#This Row],[CATEGORY]],Pre[GROUPING],"Jan")</f>
        <v>11</v>
      </c>
      <c r="V18">
        <f>SUMIFS(Post[67],Post[CATEGORY],Table122425[[#This Row],[CATEGORY]],Pre[GROUPING],"Jan")</f>
        <v>7</v>
      </c>
      <c r="W18">
        <f>SUMIFS(Post[68],Post[CATEGORY],Table122425[[#This Row],[CATEGORY]],Pre[GROUPING],"Jan")</f>
        <v>10</v>
      </c>
      <c r="X18">
        <f>SUMIFS(Post[69],Post[CATEGORY],Table122425[[#This Row],[CATEGORY]],Pre[GROUPING],"Jan")</f>
        <v>5</v>
      </c>
      <c r="Y18">
        <f>SUMIFS(Post[70],Post[CATEGORY],Table122425[[#This Row],[CATEGORY]],Pre[GROUPING],"Jan")</f>
        <v>8</v>
      </c>
      <c r="Z18">
        <f>SUMIFS(Post[71],Post[CATEGORY],Table122425[[#This Row],[CATEGORY]],Pre[GROUPING],"Jan")</f>
        <v>12</v>
      </c>
      <c r="AA18">
        <f>SUMIFS(Post[72],Post[CATEGORY],Table122425[[#This Row],[CATEGORY]],Pre[GROUPING],"Jan")</f>
        <v>9</v>
      </c>
      <c r="AB18">
        <f>SUMIFS(Post[73],Post[CATEGORY],Table122425[[#This Row],[CATEGORY]],Pre[GROUPING],"Jan")</f>
        <v>8</v>
      </c>
      <c r="AC18">
        <f>SUMIFS(Post[74],Post[CATEGORY],Table122425[[#This Row],[CATEGORY]],Pre[GROUPING],"Jan")</f>
        <v>15</v>
      </c>
      <c r="AD18">
        <f>SUMIFS(Post[75],Post[CATEGORY],Table122425[[#This Row],[CATEGORY]],Pre[GROUPING],"Jan")</f>
        <v>4</v>
      </c>
      <c r="AE18">
        <f>SUM(Table122425[[#This Row],[47]:[75]])</f>
        <v>219</v>
      </c>
    </row>
    <row r="19" spans="1:31" x14ac:dyDescent="0.2">
      <c r="A19" t="s">
        <v>12</v>
      </c>
      <c r="B19">
        <f>SUMIFS(Post[47],Post[CATEGORY],Table122425[[#This Row],[CATEGORY]],Pre[GROUPING],"Jan")</f>
        <v>0</v>
      </c>
      <c r="C19">
        <f>SUMIFS(Post[48],Post[CATEGORY],Table122425[[#This Row],[CATEGORY]],Pre[GROUPING],"Jan")</f>
        <v>1</v>
      </c>
      <c r="D19">
        <f>SUMIFS(Post[49],Post[CATEGORY],Table122425[[#This Row],[CATEGORY]],Pre[GROUPING],"Jan")</f>
        <v>0</v>
      </c>
      <c r="E19">
        <f>SUMIFS(Post[50],Post[CATEGORY],Table122425[[#This Row],[CATEGORY]],Pre[GROUPING],"Jan")</f>
        <v>3</v>
      </c>
      <c r="F19">
        <f>SUMIFS(Post[51],Post[CATEGORY],Table122425[[#This Row],[CATEGORY]],Pre[GROUPING],"Jan")</f>
        <v>0</v>
      </c>
      <c r="G19">
        <f>SUMIFS(Post[52],Post[CATEGORY],Table122425[[#This Row],[CATEGORY]],Pre[GROUPING],"Jan")</f>
        <v>0</v>
      </c>
      <c r="H19">
        <f>SUMIFS(Post[53],Post[CATEGORY],Table122425[[#This Row],[CATEGORY]],Pre[GROUPING],"Jan")</f>
        <v>0</v>
      </c>
      <c r="I19">
        <f>SUMIFS(Post[54],Post[CATEGORY],Table122425[[#This Row],[CATEGORY]],Pre[GROUPING],"Jan")</f>
        <v>0</v>
      </c>
      <c r="J19">
        <f>SUMIFS(Post[55],Post[CATEGORY],Table122425[[#This Row],[CATEGORY]],Pre[GROUPING],"Jan")</f>
        <v>0</v>
      </c>
      <c r="K19">
        <f>SUMIFS(Post[56],Post[CATEGORY],Table122425[[#This Row],[CATEGORY]],Pre[GROUPING],"Jan")</f>
        <v>0</v>
      </c>
      <c r="L19">
        <f>SUMIFS(Post[57],Post[CATEGORY],Table122425[[#This Row],[CATEGORY]],Pre[GROUPING],"Jan")</f>
        <v>5</v>
      </c>
      <c r="M19">
        <f>SUMIFS(Post[58],Post[CATEGORY],Table122425[[#This Row],[CATEGORY]],Pre[GROUPING],"Jan")</f>
        <v>0</v>
      </c>
      <c r="N19">
        <f>SUMIFS(Post[59],Post[CATEGORY],Table122425[[#This Row],[CATEGORY]],Pre[GROUPING],"Jan")</f>
        <v>0</v>
      </c>
      <c r="O19">
        <f>SUMIFS(Post[60],Post[CATEGORY],Table122425[[#This Row],[CATEGORY]],Pre[GROUPING],"Jan")</f>
        <v>0</v>
      </c>
      <c r="P19">
        <f>SUMIFS(Post[61],Post[CATEGORY],Table122425[[#This Row],[CATEGORY]],Pre[GROUPING],"Jan")</f>
        <v>0</v>
      </c>
      <c r="Q19">
        <f>SUMIFS(Post[62],Post[CATEGORY],Table122425[[#This Row],[CATEGORY]],Pre[GROUPING],"Jan")</f>
        <v>4</v>
      </c>
      <c r="R19">
        <f>SUMIFS(Post[63],Post[CATEGORY],Table122425[[#This Row],[CATEGORY]],Pre[GROUPING],"Jan")</f>
        <v>1</v>
      </c>
      <c r="S19">
        <f>SUMIFS(Post[64],Post[CATEGORY],Table122425[[#This Row],[CATEGORY]],Pre[GROUPING],"Jan")</f>
        <v>0</v>
      </c>
      <c r="T19">
        <f>SUMIFS(Post[65],Post[CATEGORY],Table122425[[#This Row],[CATEGORY]],Pre[GROUPING],"Jan")</f>
        <v>0</v>
      </c>
      <c r="U19">
        <f>SUMIFS(Post[66],Post[CATEGORY],Table122425[[#This Row],[CATEGORY]],Pre[GROUPING],"Jan")</f>
        <v>0</v>
      </c>
      <c r="V19">
        <f>SUMIFS(Post[67],Post[CATEGORY],Table122425[[#This Row],[CATEGORY]],Pre[GROUPING],"Jan")</f>
        <v>0</v>
      </c>
      <c r="W19">
        <f>SUMIFS(Post[68],Post[CATEGORY],Table122425[[#This Row],[CATEGORY]],Pre[GROUPING],"Jan")</f>
        <v>1</v>
      </c>
      <c r="X19">
        <f>SUMIFS(Post[69],Post[CATEGORY],Table122425[[#This Row],[CATEGORY]],Pre[GROUPING],"Jan")</f>
        <v>0</v>
      </c>
      <c r="Y19">
        <f>SUMIFS(Post[70],Post[CATEGORY],Table122425[[#This Row],[CATEGORY]],Pre[GROUPING],"Jan")</f>
        <v>0</v>
      </c>
      <c r="Z19">
        <f>SUMIFS(Post[71],Post[CATEGORY],Table122425[[#This Row],[CATEGORY]],Pre[GROUPING],"Jan")</f>
        <v>0</v>
      </c>
      <c r="AA19">
        <f>SUMIFS(Post[72],Post[CATEGORY],Table122425[[#This Row],[CATEGORY]],Pre[GROUPING],"Jan")</f>
        <v>1</v>
      </c>
      <c r="AB19">
        <f>SUMIFS(Post[73],Post[CATEGORY],Table122425[[#This Row],[CATEGORY]],Pre[GROUPING],"Jan")</f>
        <v>0</v>
      </c>
      <c r="AC19">
        <f>SUMIFS(Post[74],Post[CATEGORY],Table122425[[#This Row],[CATEGORY]],Pre[GROUPING],"Jan")</f>
        <v>0</v>
      </c>
      <c r="AD19">
        <f>SUMIFS(Post[75],Post[CATEGORY],Table122425[[#This Row],[CATEGORY]],Pre[GROUPING],"Jan")</f>
        <v>1</v>
      </c>
      <c r="AE19">
        <f>SUM(Table122425[[#This Row],[47]:[75]])</f>
        <v>17</v>
      </c>
    </row>
    <row r="20" spans="1:31" x14ac:dyDescent="0.2">
      <c r="A20" t="s">
        <v>14</v>
      </c>
      <c r="B20">
        <f>SUMIFS(Post[47],Post[CATEGORY],Table122425[[#This Row],[CATEGORY]],Pre[GROUPING],"Jan")</f>
        <v>56</v>
      </c>
      <c r="C20">
        <f>SUMIFS(Post[48],Post[CATEGORY],Table122425[[#This Row],[CATEGORY]],Pre[GROUPING],"Jan")</f>
        <v>63</v>
      </c>
      <c r="D20">
        <f>SUMIFS(Post[49],Post[CATEGORY],Table122425[[#This Row],[CATEGORY]],Pre[GROUPING],"Jan")</f>
        <v>63</v>
      </c>
      <c r="E20">
        <f>SUMIFS(Post[50],Post[CATEGORY],Table122425[[#This Row],[CATEGORY]],Pre[GROUPING],"Jan")</f>
        <v>72</v>
      </c>
      <c r="F20">
        <f>SUMIFS(Post[51],Post[CATEGORY],Table122425[[#This Row],[CATEGORY]],Pre[GROUPING],"Jan")</f>
        <v>66</v>
      </c>
      <c r="G20">
        <f>SUMIFS(Post[52],Post[CATEGORY],Table122425[[#This Row],[CATEGORY]],Pre[GROUPING],"Jan")</f>
        <v>47</v>
      </c>
      <c r="H20">
        <f>SUMIFS(Post[53],Post[CATEGORY],Table122425[[#This Row],[CATEGORY]],Pre[GROUPING],"Jan")</f>
        <v>0</v>
      </c>
      <c r="I20">
        <f>SUMIFS(Post[54],Post[CATEGORY],Table122425[[#This Row],[CATEGORY]],Pre[GROUPING],"Jan")</f>
        <v>44</v>
      </c>
      <c r="J20">
        <f>SUMIFS(Post[55],Post[CATEGORY],Table122425[[#This Row],[CATEGORY]],Pre[GROUPING],"Jan")</f>
        <v>59</v>
      </c>
      <c r="K20">
        <f>SUMIFS(Post[56],Post[CATEGORY],Table122425[[#This Row],[CATEGORY]],Pre[GROUPING],"Jan")</f>
        <v>50</v>
      </c>
      <c r="L20">
        <f>SUMIFS(Post[57],Post[CATEGORY],Table122425[[#This Row],[CATEGORY]],Pre[GROUPING],"Jan")</f>
        <v>72</v>
      </c>
      <c r="M20">
        <f>SUMIFS(Post[58],Post[CATEGORY],Table122425[[#This Row],[CATEGORY]],Pre[GROUPING],"Jan")</f>
        <v>48</v>
      </c>
      <c r="N20">
        <f>SUMIFS(Post[59],Post[CATEGORY],Table122425[[#This Row],[CATEGORY]],Pre[GROUPING],"Jan")</f>
        <v>55</v>
      </c>
      <c r="O20">
        <f>SUMIFS(Post[60],Post[CATEGORY],Table122425[[#This Row],[CATEGORY]],Pre[GROUPING],"Jan")</f>
        <v>54</v>
      </c>
      <c r="P20">
        <f>SUMIFS(Post[61],Post[CATEGORY],Table122425[[#This Row],[CATEGORY]],Pre[GROUPING],"Jan")</f>
        <v>52</v>
      </c>
      <c r="Q20">
        <f>SUMIFS(Post[62],Post[CATEGORY],Table122425[[#This Row],[CATEGORY]],Pre[GROUPING],"Jan")</f>
        <v>54</v>
      </c>
      <c r="R20">
        <f>SUMIFS(Post[63],Post[CATEGORY],Table122425[[#This Row],[CATEGORY]],Pre[GROUPING],"Jan")</f>
        <v>65</v>
      </c>
      <c r="S20">
        <f>SUMIFS(Post[64],Post[CATEGORY],Table122425[[#This Row],[CATEGORY]],Pre[GROUPING],"Jan")</f>
        <v>51</v>
      </c>
      <c r="T20">
        <f>SUMIFS(Post[65],Post[CATEGORY],Table122425[[#This Row],[CATEGORY]],Pre[GROUPING],"Jan")</f>
        <v>47</v>
      </c>
      <c r="U20">
        <f>SUMIFS(Post[66],Post[CATEGORY],Table122425[[#This Row],[CATEGORY]],Pre[GROUPING],"Jan")</f>
        <v>61</v>
      </c>
      <c r="V20">
        <f>SUMIFS(Post[67],Post[CATEGORY],Table122425[[#This Row],[CATEGORY]],Pre[GROUPING],"Jan")</f>
        <v>61</v>
      </c>
      <c r="W20">
        <f>SUMIFS(Post[68],Post[CATEGORY],Table122425[[#This Row],[CATEGORY]],Pre[GROUPING],"Jan")</f>
        <v>57</v>
      </c>
      <c r="X20">
        <f>SUMIFS(Post[69],Post[CATEGORY],Table122425[[#This Row],[CATEGORY]],Pre[GROUPING],"Jan")</f>
        <v>52</v>
      </c>
      <c r="Y20">
        <f>SUMIFS(Post[70],Post[CATEGORY],Table122425[[#This Row],[CATEGORY]],Pre[GROUPING],"Jan")</f>
        <v>55</v>
      </c>
      <c r="Z20">
        <f>SUMIFS(Post[71],Post[CATEGORY],Table122425[[#This Row],[CATEGORY]],Pre[GROUPING],"Jan")</f>
        <v>61</v>
      </c>
      <c r="AA20">
        <f>SUMIFS(Post[72],Post[CATEGORY],Table122425[[#This Row],[CATEGORY]],Pre[GROUPING],"Jan")</f>
        <v>49</v>
      </c>
      <c r="AB20">
        <f>SUMIFS(Post[73],Post[CATEGORY],Table122425[[#This Row],[CATEGORY]],Pre[GROUPING],"Jan")</f>
        <v>49</v>
      </c>
      <c r="AC20">
        <f>SUMIFS(Post[74],Post[CATEGORY],Table122425[[#This Row],[CATEGORY]],Pre[GROUPING],"Jan")</f>
        <v>46</v>
      </c>
      <c r="AD20">
        <f>SUMIFS(Post[75],Post[CATEGORY],Table122425[[#This Row],[CATEGORY]],Pre[GROUPING],"Jan")</f>
        <v>26</v>
      </c>
      <c r="AE20">
        <f>SUM(Table122425[[#This Row],[47]:[75]])</f>
        <v>1535</v>
      </c>
    </row>
    <row r="21" spans="1:31" x14ac:dyDescent="0.2">
      <c r="A21" t="s">
        <v>17</v>
      </c>
      <c r="B21">
        <f>SUMIFS(Post[47],Post[CATEGORY],Table122425[[#This Row],[CATEGORY]],Pre[GROUPING],"Jan")</f>
        <v>1</v>
      </c>
      <c r="C21">
        <f>SUMIFS(Post[48],Post[CATEGORY],Table122425[[#This Row],[CATEGORY]],Pre[GROUPING],"Jan")</f>
        <v>2</v>
      </c>
      <c r="D21">
        <f>SUMIFS(Post[49],Post[CATEGORY],Table122425[[#This Row],[CATEGORY]],Pre[GROUPING],"Jan")</f>
        <v>1</v>
      </c>
      <c r="E21">
        <f>SUMIFS(Post[50],Post[CATEGORY],Table122425[[#This Row],[CATEGORY]],Pre[GROUPING],"Jan")</f>
        <v>1</v>
      </c>
      <c r="F21">
        <f>SUMIFS(Post[51],Post[CATEGORY],Table122425[[#This Row],[CATEGORY]],Pre[GROUPING],"Jan")</f>
        <v>1</v>
      </c>
      <c r="G21">
        <f>SUMIFS(Post[52],Post[CATEGORY],Table122425[[#This Row],[CATEGORY]],Pre[GROUPING],"Jan")</f>
        <v>2</v>
      </c>
      <c r="H21">
        <f>SUMIFS(Post[53],Post[CATEGORY],Table122425[[#This Row],[CATEGORY]],Pre[GROUPING],"Jan")</f>
        <v>0</v>
      </c>
      <c r="I21">
        <f>SUMIFS(Post[54],Post[CATEGORY],Table122425[[#This Row],[CATEGORY]],Pre[GROUPING],"Jan")</f>
        <v>1</v>
      </c>
      <c r="J21">
        <f>SUMIFS(Post[55],Post[CATEGORY],Table122425[[#This Row],[CATEGORY]],Pre[GROUPING],"Jan")</f>
        <v>2</v>
      </c>
      <c r="K21">
        <f>SUMIFS(Post[56],Post[CATEGORY],Table122425[[#This Row],[CATEGORY]],Pre[GROUPING],"Jan")</f>
        <v>1</v>
      </c>
      <c r="L21">
        <f>SUMIFS(Post[57],Post[CATEGORY],Table122425[[#This Row],[CATEGORY]],Pre[GROUPING],"Jan")</f>
        <v>3</v>
      </c>
      <c r="M21">
        <f>SUMIFS(Post[58],Post[CATEGORY],Table122425[[#This Row],[CATEGORY]],Pre[GROUPING],"Jan")</f>
        <v>1</v>
      </c>
      <c r="N21">
        <f>SUMIFS(Post[59],Post[CATEGORY],Table122425[[#This Row],[CATEGORY]],Pre[GROUPING],"Jan")</f>
        <v>1</v>
      </c>
      <c r="O21">
        <f>SUMIFS(Post[60],Post[CATEGORY],Table122425[[#This Row],[CATEGORY]],Pre[GROUPING],"Jan")</f>
        <v>1</v>
      </c>
      <c r="P21">
        <f>SUMIFS(Post[61],Post[CATEGORY],Table122425[[#This Row],[CATEGORY]],Pre[GROUPING],"Jan")</f>
        <v>4</v>
      </c>
      <c r="Q21">
        <f>SUMIFS(Post[62],Post[CATEGORY],Table122425[[#This Row],[CATEGORY]],Pre[GROUPING],"Jan")</f>
        <v>1</v>
      </c>
      <c r="R21">
        <f>SUMIFS(Post[63],Post[CATEGORY],Table122425[[#This Row],[CATEGORY]],Pre[GROUPING],"Jan")</f>
        <v>1</v>
      </c>
      <c r="S21">
        <f>SUMIFS(Post[64],Post[CATEGORY],Table122425[[#This Row],[CATEGORY]],Pre[GROUPING],"Jan")</f>
        <v>2</v>
      </c>
      <c r="T21">
        <f>SUMIFS(Post[65],Post[CATEGORY],Table122425[[#This Row],[CATEGORY]],Pre[GROUPING],"Jan")</f>
        <v>3</v>
      </c>
      <c r="U21">
        <f>SUMIFS(Post[66],Post[CATEGORY],Table122425[[#This Row],[CATEGORY]],Pre[GROUPING],"Jan")</f>
        <v>1</v>
      </c>
      <c r="V21">
        <f>SUMIFS(Post[67],Post[CATEGORY],Table122425[[#This Row],[CATEGORY]],Pre[GROUPING],"Jan")</f>
        <v>2</v>
      </c>
      <c r="W21">
        <f>SUMIFS(Post[68],Post[CATEGORY],Table122425[[#This Row],[CATEGORY]],Pre[GROUPING],"Jan")</f>
        <v>1</v>
      </c>
      <c r="X21">
        <f>SUMIFS(Post[69],Post[CATEGORY],Table122425[[#This Row],[CATEGORY]],Pre[GROUPING],"Jan")</f>
        <v>2</v>
      </c>
      <c r="Y21">
        <f>SUMIFS(Post[70],Post[CATEGORY],Table122425[[#This Row],[CATEGORY]],Pre[GROUPING],"Jan")</f>
        <v>2</v>
      </c>
      <c r="Z21">
        <f>SUMIFS(Post[71],Post[CATEGORY],Table122425[[#This Row],[CATEGORY]],Pre[GROUPING],"Jan")</f>
        <v>1</v>
      </c>
      <c r="AA21">
        <f>SUMIFS(Post[72],Post[CATEGORY],Table122425[[#This Row],[CATEGORY]],Pre[GROUPING],"Jan")</f>
        <v>1</v>
      </c>
      <c r="AB21">
        <f>SUMIFS(Post[73],Post[CATEGORY],Table122425[[#This Row],[CATEGORY]],Pre[GROUPING],"Jan")</f>
        <v>5</v>
      </c>
      <c r="AC21">
        <f>SUMIFS(Post[74],Post[CATEGORY],Table122425[[#This Row],[CATEGORY]],Pre[GROUPING],"Jan")</f>
        <v>1</v>
      </c>
      <c r="AD21">
        <f>SUMIFS(Post[75],Post[CATEGORY],Table122425[[#This Row],[CATEGORY]],Pre[GROUPING],"Jan")</f>
        <v>0</v>
      </c>
      <c r="AE21">
        <f>SUM(Table122425[[#This Row],[47]:[75]])</f>
        <v>45</v>
      </c>
    </row>
    <row r="22" spans="1:31" x14ac:dyDescent="0.2">
      <c r="A22" t="s">
        <v>24</v>
      </c>
      <c r="B22">
        <f>SUMIFS(Post[47],Post[CATEGORY],Table122425[[#This Row],[CATEGORY]],Pre[GROUPING],"Jan")</f>
        <v>0</v>
      </c>
      <c r="C22">
        <f>SUMIFS(Post[48],Post[CATEGORY],Table122425[[#This Row],[CATEGORY]],Pre[GROUPING],"Jan")</f>
        <v>1</v>
      </c>
      <c r="D22">
        <f>SUMIFS(Post[49],Post[CATEGORY],Table122425[[#This Row],[CATEGORY]],Pre[GROUPING],"Jan")</f>
        <v>0</v>
      </c>
      <c r="E22">
        <f>SUMIFS(Post[50],Post[CATEGORY],Table122425[[#This Row],[CATEGORY]],Pre[GROUPING],"Jan")</f>
        <v>0</v>
      </c>
      <c r="F22">
        <f>SUMIFS(Post[51],Post[CATEGORY],Table122425[[#This Row],[CATEGORY]],Pre[GROUPING],"Jan")</f>
        <v>0</v>
      </c>
      <c r="G22">
        <f>SUMIFS(Post[52],Post[CATEGORY],Table122425[[#This Row],[CATEGORY]],Pre[GROUPING],"Jan")</f>
        <v>2</v>
      </c>
      <c r="H22">
        <f>SUMIFS(Post[53],Post[CATEGORY],Table122425[[#This Row],[CATEGORY]],Pre[GROUPING],"Jan")</f>
        <v>0</v>
      </c>
      <c r="I22">
        <f>SUMIFS(Post[54],Post[CATEGORY],Table122425[[#This Row],[CATEGORY]],Pre[GROUPING],"Jan")</f>
        <v>4</v>
      </c>
      <c r="J22">
        <f>SUMIFS(Post[55],Post[CATEGORY],Table122425[[#This Row],[CATEGORY]],Pre[GROUPING],"Jan")</f>
        <v>0</v>
      </c>
      <c r="K22">
        <f>SUMIFS(Post[56],Post[CATEGORY],Table122425[[#This Row],[CATEGORY]],Pre[GROUPING],"Jan")</f>
        <v>2</v>
      </c>
      <c r="L22">
        <f>SUMIFS(Post[57],Post[CATEGORY],Table122425[[#This Row],[CATEGORY]],Pre[GROUPING],"Jan")</f>
        <v>0</v>
      </c>
      <c r="M22">
        <f>SUMIFS(Post[58],Post[CATEGORY],Table122425[[#This Row],[CATEGORY]],Pre[GROUPING],"Jan")</f>
        <v>1</v>
      </c>
      <c r="N22">
        <f>SUMIFS(Post[59],Post[CATEGORY],Table122425[[#This Row],[CATEGORY]],Pre[GROUPING],"Jan")</f>
        <v>0</v>
      </c>
      <c r="O22">
        <f>SUMIFS(Post[60],Post[CATEGORY],Table122425[[#This Row],[CATEGORY]],Pre[GROUPING],"Jan")</f>
        <v>0</v>
      </c>
      <c r="P22">
        <f>SUMIFS(Post[61],Post[CATEGORY],Table122425[[#This Row],[CATEGORY]],Pre[GROUPING],"Jan")</f>
        <v>3</v>
      </c>
      <c r="Q22">
        <f>SUMIFS(Post[62],Post[CATEGORY],Table122425[[#This Row],[CATEGORY]],Pre[GROUPING],"Jan")</f>
        <v>0</v>
      </c>
      <c r="R22">
        <f>SUMIFS(Post[63],Post[CATEGORY],Table122425[[#This Row],[CATEGORY]],Pre[GROUPING],"Jan")</f>
        <v>0</v>
      </c>
      <c r="S22">
        <f>SUMIFS(Post[64],Post[CATEGORY],Table122425[[#This Row],[CATEGORY]],Pre[GROUPING],"Jan")</f>
        <v>0</v>
      </c>
      <c r="T22">
        <f>SUMIFS(Post[65],Post[CATEGORY],Table122425[[#This Row],[CATEGORY]],Pre[GROUPING],"Jan")</f>
        <v>1</v>
      </c>
      <c r="U22">
        <f>SUMIFS(Post[66],Post[CATEGORY],Table122425[[#This Row],[CATEGORY]],Pre[GROUPING],"Jan")</f>
        <v>5</v>
      </c>
      <c r="V22">
        <f>SUMIFS(Post[67],Post[CATEGORY],Table122425[[#This Row],[CATEGORY]],Pre[GROUPING],"Jan")</f>
        <v>0</v>
      </c>
      <c r="W22">
        <f>SUMIFS(Post[68],Post[CATEGORY],Table122425[[#This Row],[CATEGORY]],Pre[GROUPING],"Jan")</f>
        <v>0</v>
      </c>
      <c r="X22">
        <f>SUMIFS(Post[69],Post[CATEGORY],Table122425[[#This Row],[CATEGORY]],Pre[GROUPING],"Jan")</f>
        <v>1</v>
      </c>
      <c r="Y22">
        <f>SUMIFS(Post[70],Post[CATEGORY],Table122425[[#This Row],[CATEGORY]],Pre[GROUPING],"Jan")</f>
        <v>0</v>
      </c>
      <c r="Z22">
        <f>SUMIFS(Post[71],Post[CATEGORY],Table122425[[#This Row],[CATEGORY]],Pre[GROUPING],"Jan")</f>
        <v>0</v>
      </c>
      <c r="AA22">
        <f>SUMIFS(Post[72],Post[CATEGORY],Table122425[[#This Row],[CATEGORY]],Pre[GROUPING],"Jan")</f>
        <v>0</v>
      </c>
      <c r="AB22">
        <f>SUMIFS(Post[73],Post[CATEGORY],Table122425[[#This Row],[CATEGORY]],Pre[GROUPING],"Jan")</f>
        <v>1</v>
      </c>
      <c r="AC22">
        <f>SUMIFS(Post[74],Post[CATEGORY],Table122425[[#This Row],[CATEGORY]],Pre[GROUPING],"Jan")</f>
        <v>0</v>
      </c>
      <c r="AD22">
        <f>SUMIFS(Post[75],Post[CATEGORY],Table122425[[#This Row],[CATEGORY]],Pre[GROUPING],"Jan")</f>
        <v>0</v>
      </c>
      <c r="AE22">
        <f>SUM(Table122425[[#This Row],[47]:[75]])</f>
        <v>21</v>
      </c>
    </row>
    <row r="23" spans="1:31" x14ac:dyDescent="0.2">
      <c r="A23" t="s">
        <v>26</v>
      </c>
      <c r="B23">
        <f>SUMIFS(Post[47],Post[CATEGORY],Table122425[[#This Row],[CATEGORY]],Pre[GROUPING],"Jan")</f>
        <v>0</v>
      </c>
      <c r="C23">
        <f>SUMIFS(Post[48],Post[CATEGORY],Table122425[[#This Row],[CATEGORY]],Pre[GROUPING],"Jan")</f>
        <v>0</v>
      </c>
      <c r="D23">
        <f>SUMIFS(Post[49],Post[CATEGORY],Table122425[[#This Row],[CATEGORY]],Pre[GROUPING],"Jan")</f>
        <v>3</v>
      </c>
      <c r="E23">
        <f>SUMIFS(Post[50],Post[CATEGORY],Table122425[[#This Row],[CATEGORY]],Pre[GROUPING],"Jan")</f>
        <v>1</v>
      </c>
      <c r="F23">
        <f>SUMIFS(Post[51],Post[CATEGORY],Table122425[[#This Row],[CATEGORY]],Pre[GROUPING],"Jan")</f>
        <v>2</v>
      </c>
      <c r="G23">
        <f>SUMIFS(Post[52],Post[CATEGORY],Table122425[[#This Row],[CATEGORY]],Pre[GROUPING],"Jan")</f>
        <v>0</v>
      </c>
      <c r="H23">
        <f>SUMIFS(Post[53],Post[CATEGORY],Table122425[[#This Row],[CATEGORY]],Pre[GROUPING],"Jan")</f>
        <v>0</v>
      </c>
      <c r="I23">
        <f>SUMIFS(Post[54],Post[CATEGORY],Table122425[[#This Row],[CATEGORY]],Pre[GROUPING],"Jan")</f>
        <v>1</v>
      </c>
      <c r="J23">
        <f>SUMIFS(Post[55],Post[CATEGORY],Table122425[[#This Row],[CATEGORY]],Pre[GROUPING],"Jan")</f>
        <v>2</v>
      </c>
      <c r="K23">
        <f>SUMIFS(Post[56],Post[CATEGORY],Table122425[[#This Row],[CATEGORY]],Pre[GROUPING],"Jan")</f>
        <v>0</v>
      </c>
      <c r="L23">
        <f>SUMIFS(Post[57],Post[CATEGORY],Table122425[[#This Row],[CATEGORY]],Pre[GROUPING],"Jan")</f>
        <v>0</v>
      </c>
      <c r="M23">
        <f>SUMIFS(Post[58],Post[CATEGORY],Table122425[[#This Row],[CATEGORY]],Pre[GROUPING],"Jan")</f>
        <v>2</v>
      </c>
      <c r="N23">
        <f>SUMIFS(Post[59],Post[CATEGORY],Table122425[[#This Row],[CATEGORY]],Pre[GROUPING],"Jan")</f>
        <v>1</v>
      </c>
      <c r="O23">
        <f>SUMIFS(Post[60],Post[CATEGORY],Table122425[[#This Row],[CATEGORY]],Pre[GROUPING],"Jan")</f>
        <v>0</v>
      </c>
      <c r="P23">
        <f>SUMIFS(Post[61],Post[CATEGORY],Table122425[[#This Row],[CATEGORY]],Pre[GROUPING],"Jan")</f>
        <v>0</v>
      </c>
      <c r="Q23">
        <f>SUMIFS(Post[62],Post[CATEGORY],Table122425[[#This Row],[CATEGORY]],Pre[GROUPING],"Jan")</f>
        <v>2</v>
      </c>
      <c r="R23">
        <f>SUMIFS(Post[63],Post[CATEGORY],Table122425[[#This Row],[CATEGORY]],Pre[GROUPING],"Jan")</f>
        <v>1</v>
      </c>
      <c r="S23">
        <f>SUMIFS(Post[64],Post[CATEGORY],Table122425[[#This Row],[CATEGORY]],Pre[GROUPING],"Jan")</f>
        <v>0</v>
      </c>
      <c r="T23">
        <f>SUMIFS(Post[65],Post[CATEGORY],Table122425[[#This Row],[CATEGORY]],Pre[GROUPING],"Jan")</f>
        <v>0</v>
      </c>
      <c r="U23">
        <f>SUMIFS(Post[66],Post[CATEGORY],Table122425[[#This Row],[CATEGORY]],Pre[GROUPING],"Jan")</f>
        <v>3</v>
      </c>
      <c r="V23">
        <f>SUMIFS(Post[67],Post[CATEGORY],Table122425[[#This Row],[CATEGORY]],Pre[GROUPING],"Jan")</f>
        <v>2</v>
      </c>
      <c r="W23">
        <f>SUMIFS(Post[68],Post[CATEGORY],Table122425[[#This Row],[CATEGORY]],Pre[GROUPING],"Jan")</f>
        <v>1</v>
      </c>
      <c r="X23">
        <f>SUMIFS(Post[69],Post[CATEGORY],Table122425[[#This Row],[CATEGORY]],Pre[GROUPING],"Jan")</f>
        <v>1</v>
      </c>
      <c r="Y23">
        <f>SUMIFS(Post[70],Post[CATEGORY],Table122425[[#This Row],[CATEGORY]],Pre[GROUPING],"Jan")</f>
        <v>1</v>
      </c>
      <c r="Z23">
        <f>SUMIFS(Post[71],Post[CATEGORY],Table122425[[#This Row],[CATEGORY]],Pre[GROUPING],"Jan")</f>
        <v>1</v>
      </c>
      <c r="AA23">
        <f>SUMIFS(Post[72],Post[CATEGORY],Table122425[[#This Row],[CATEGORY]],Pre[GROUPING],"Jan")</f>
        <v>2</v>
      </c>
      <c r="AB23">
        <f>SUMIFS(Post[73],Post[CATEGORY],Table122425[[#This Row],[CATEGORY]],Pre[GROUPING],"Jan")</f>
        <v>0</v>
      </c>
      <c r="AC23">
        <f>SUMIFS(Post[74],Post[CATEGORY],Table122425[[#This Row],[CATEGORY]],Pre[GROUPING],"Jan")</f>
        <v>1</v>
      </c>
      <c r="AD23">
        <f>SUMIFS(Post[75],Post[CATEGORY],Table122425[[#This Row],[CATEGORY]],Pre[GROUPING],"Jan")</f>
        <v>0</v>
      </c>
      <c r="AE23">
        <f>SUM(Table122425[[#This Row],[47]:[75]])</f>
        <v>27</v>
      </c>
    </row>
    <row r="24" spans="1:31" x14ac:dyDescent="0.2">
      <c r="A24" t="s">
        <v>32</v>
      </c>
      <c r="B24">
        <f>SUMIFS(Post[47],Post[CATEGORY],Table122425[[#This Row],[CATEGORY]],Pre[GROUPING],"Jan")</f>
        <v>1</v>
      </c>
      <c r="C24">
        <f>SUMIFS(Post[48],Post[CATEGORY],Table122425[[#This Row],[CATEGORY]],Pre[GROUPING],"Jan")</f>
        <v>1</v>
      </c>
      <c r="D24">
        <f>SUMIFS(Post[49],Post[CATEGORY],Table122425[[#This Row],[CATEGORY]],Pre[GROUPING],"Jan")</f>
        <v>1</v>
      </c>
      <c r="E24">
        <f>SUMIFS(Post[50],Post[CATEGORY],Table122425[[#This Row],[CATEGORY]],Pre[GROUPING],"Jan")</f>
        <v>1</v>
      </c>
      <c r="F24">
        <f>SUMIFS(Post[51],Post[CATEGORY],Table122425[[#This Row],[CATEGORY]],Pre[GROUPING],"Jan")</f>
        <v>1</v>
      </c>
      <c r="G24">
        <f>SUMIFS(Post[52],Post[CATEGORY],Table122425[[#This Row],[CATEGORY]],Pre[GROUPING],"Jan")</f>
        <v>1</v>
      </c>
      <c r="H24">
        <f>SUMIFS(Post[53],Post[CATEGORY],Table122425[[#This Row],[CATEGORY]],Pre[GROUPING],"Jan")</f>
        <v>0</v>
      </c>
      <c r="I24">
        <f>SUMIFS(Post[54],Post[CATEGORY],Table122425[[#This Row],[CATEGORY]],Pre[GROUPING],"Jan")</f>
        <v>2</v>
      </c>
      <c r="J24">
        <f>SUMIFS(Post[55],Post[CATEGORY],Table122425[[#This Row],[CATEGORY]],Pre[GROUPING],"Jan")</f>
        <v>1</v>
      </c>
      <c r="K24">
        <f>SUMIFS(Post[56],Post[CATEGORY],Table122425[[#This Row],[CATEGORY]],Pre[GROUPING],"Jan")</f>
        <v>1</v>
      </c>
      <c r="L24">
        <f>SUMIFS(Post[57],Post[CATEGORY],Table122425[[#This Row],[CATEGORY]],Pre[GROUPING],"Jan")</f>
        <v>2</v>
      </c>
      <c r="M24">
        <f>SUMIFS(Post[58],Post[CATEGORY],Table122425[[#This Row],[CATEGORY]],Pre[GROUPING],"Jan")</f>
        <v>1</v>
      </c>
      <c r="N24">
        <f>SUMIFS(Post[59],Post[CATEGORY],Table122425[[#This Row],[CATEGORY]],Pre[GROUPING],"Jan")</f>
        <v>1</v>
      </c>
      <c r="O24">
        <f>SUMIFS(Post[60],Post[CATEGORY],Table122425[[#This Row],[CATEGORY]],Pre[GROUPING],"Jan")</f>
        <v>2</v>
      </c>
      <c r="P24">
        <f>SUMIFS(Post[61],Post[CATEGORY],Table122425[[#This Row],[CATEGORY]],Pre[GROUPING],"Jan")</f>
        <v>1</v>
      </c>
      <c r="Q24">
        <f>SUMIFS(Post[62],Post[CATEGORY],Table122425[[#This Row],[CATEGORY]],Pre[GROUPING],"Jan")</f>
        <v>1</v>
      </c>
      <c r="R24">
        <f>SUMIFS(Post[63],Post[CATEGORY],Table122425[[#This Row],[CATEGORY]],Pre[GROUPING],"Jan")</f>
        <v>1</v>
      </c>
      <c r="S24">
        <f>SUMIFS(Post[64],Post[CATEGORY],Table122425[[#This Row],[CATEGORY]],Pre[GROUPING],"Jan")</f>
        <v>1</v>
      </c>
      <c r="T24">
        <f>SUMIFS(Post[65],Post[CATEGORY],Table122425[[#This Row],[CATEGORY]],Pre[GROUPING],"Jan")</f>
        <v>1</v>
      </c>
      <c r="U24">
        <f>SUMIFS(Post[66],Post[CATEGORY],Table122425[[#This Row],[CATEGORY]],Pre[GROUPING],"Jan")</f>
        <v>1</v>
      </c>
      <c r="V24">
        <f>SUMIFS(Post[67],Post[CATEGORY],Table122425[[#This Row],[CATEGORY]],Pre[GROUPING],"Jan")</f>
        <v>1</v>
      </c>
      <c r="W24">
        <f>SUMIFS(Post[68],Post[CATEGORY],Table122425[[#This Row],[CATEGORY]],Pre[GROUPING],"Jan")</f>
        <v>1</v>
      </c>
      <c r="X24">
        <f>SUMIFS(Post[69],Post[CATEGORY],Table122425[[#This Row],[CATEGORY]],Pre[GROUPING],"Jan")</f>
        <v>1</v>
      </c>
      <c r="Y24">
        <f>SUMIFS(Post[70],Post[CATEGORY],Table122425[[#This Row],[CATEGORY]],Pre[GROUPING],"Jan")</f>
        <v>1</v>
      </c>
      <c r="Z24">
        <f>SUMIFS(Post[71],Post[CATEGORY],Table122425[[#This Row],[CATEGORY]],Pre[GROUPING],"Jan")</f>
        <v>1</v>
      </c>
      <c r="AA24">
        <f>SUMIFS(Post[72],Post[CATEGORY],Table122425[[#This Row],[CATEGORY]],Pre[GROUPING],"Jan")</f>
        <v>1</v>
      </c>
      <c r="AB24">
        <f>SUMIFS(Post[73],Post[CATEGORY],Table122425[[#This Row],[CATEGORY]],Pre[GROUPING],"Jan")</f>
        <v>1</v>
      </c>
      <c r="AC24">
        <f>SUMIFS(Post[74],Post[CATEGORY],Table122425[[#This Row],[CATEGORY]],Pre[GROUPING],"Jan")</f>
        <v>2</v>
      </c>
      <c r="AD24">
        <f>SUMIFS(Post[75],Post[CATEGORY],Table122425[[#This Row],[CATEGORY]],Pre[GROUPING],"Jan")</f>
        <v>0</v>
      </c>
      <c r="AE24">
        <f>SUM(Table122425[[#This Row],[47]:[75]])</f>
        <v>31</v>
      </c>
    </row>
    <row r="25" spans="1:31" x14ac:dyDescent="0.2">
      <c r="A25" t="s">
        <v>37</v>
      </c>
      <c r="B25">
        <f>SUMIFS(Post[47],Post[CATEGORY],Table122425[[#This Row],[CATEGORY]],Pre[GROUPING],"Jan")</f>
        <v>2</v>
      </c>
      <c r="C25">
        <f>SUMIFS(Post[48],Post[CATEGORY],Table122425[[#This Row],[CATEGORY]],Pre[GROUPING],"Jan")</f>
        <v>3</v>
      </c>
      <c r="D25">
        <f>SUMIFS(Post[49],Post[CATEGORY],Table122425[[#This Row],[CATEGORY]],Pre[GROUPING],"Jan")</f>
        <v>2</v>
      </c>
      <c r="E25">
        <f>SUMIFS(Post[50],Post[CATEGORY],Table122425[[#This Row],[CATEGORY]],Pre[GROUPING],"Jan")</f>
        <v>4</v>
      </c>
      <c r="F25">
        <f>SUMIFS(Post[51],Post[CATEGORY],Table122425[[#This Row],[CATEGORY]],Pre[GROUPING],"Jan")</f>
        <v>5</v>
      </c>
      <c r="G25">
        <f>SUMIFS(Post[52],Post[CATEGORY],Table122425[[#This Row],[CATEGORY]],Pre[GROUPING],"Jan")</f>
        <v>4</v>
      </c>
      <c r="H25">
        <f>SUMIFS(Post[53],Post[CATEGORY],Table122425[[#This Row],[CATEGORY]],Pre[GROUPING],"Jan")</f>
        <v>0</v>
      </c>
      <c r="I25">
        <f>SUMIFS(Post[54],Post[CATEGORY],Table122425[[#This Row],[CATEGORY]],Pre[GROUPING],"Jan")</f>
        <v>3</v>
      </c>
      <c r="J25">
        <f>SUMIFS(Post[55],Post[CATEGORY],Table122425[[#This Row],[CATEGORY]],Pre[GROUPING],"Jan")</f>
        <v>2</v>
      </c>
      <c r="K25">
        <f>SUMIFS(Post[56],Post[CATEGORY],Table122425[[#This Row],[CATEGORY]],Pre[GROUPING],"Jan")</f>
        <v>2</v>
      </c>
      <c r="L25">
        <f>SUMIFS(Post[57],Post[CATEGORY],Table122425[[#This Row],[CATEGORY]],Pre[GROUPING],"Jan")</f>
        <v>9</v>
      </c>
      <c r="M25">
        <f>SUMIFS(Post[58],Post[CATEGORY],Table122425[[#This Row],[CATEGORY]],Pre[GROUPING],"Jan")</f>
        <v>3</v>
      </c>
      <c r="N25">
        <f>SUMIFS(Post[59],Post[CATEGORY],Table122425[[#This Row],[CATEGORY]],Pre[GROUPING],"Jan")</f>
        <v>0</v>
      </c>
      <c r="O25">
        <f>SUMIFS(Post[60],Post[CATEGORY],Table122425[[#This Row],[CATEGORY]],Pre[GROUPING],"Jan")</f>
        <v>1</v>
      </c>
      <c r="P25">
        <f>SUMIFS(Post[61],Post[CATEGORY],Table122425[[#This Row],[CATEGORY]],Pre[GROUPING],"Jan")</f>
        <v>5</v>
      </c>
      <c r="Q25">
        <f>SUMIFS(Post[62],Post[CATEGORY],Table122425[[#This Row],[CATEGORY]],Pre[GROUPING],"Jan")</f>
        <v>3</v>
      </c>
      <c r="R25">
        <f>SUMIFS(Post[63],Post[CATEGORY],Table122425[[#This Row],[CATEGORY]],Pre[GROUPING],"Jan")</f>
        <v>4</v>
      </c>
      <c r="S25">
        <f>SUMIFS(Post[64],Post[CATEGORY],Table122425[[#This Row],[CATEGORY]],Pre[GROUPING],"Jan")</f>
        <v>4</v>
      </c>
      <c r="T25">
        <f>SUMIFS(Post[65],Post[CATEGORY],Table122425[[#This Row],[CATEGORY]],Pre[GROUPING],"Jan")</f>
        <v>6</v>
      </c>
      <c r="U25">
        <f>SUMIFS(Post[66],Post[CATEGORY],Table122425[[#This Row],[CATEGORY]],Pre[GROUPING],"Jan")</f>
        <v>4</v>
      </c>
      <c r="V25">
        <f>SUMIFS(Post[67],Post[CATEGORY],Table122425[[#This Row],[CATEGORY]],Pre[GROUPING],"Jan")</f>
        <v>4</v>
      </c>
      <c r="W25">
        <f>SUMIFS(Post[68],Post[CATEGORY],Table122425[[#This Row],[CATEGORY]],Pre[GROUPING],"Jan")</f>
        <v>3</v>
      </c>
      <c r="X25">
        <f>SUMIFS(Post[69],Post[CATEGORY],Table122425[[#This Row],[CATEGORY]],Pre[GROUPING],"Jan")</f>
        <v>4</v>
      </c>
      <c r="Y25">
        <f>SUMIFS(Post[70],Post[CATEGORY],Table122425[[#This Row],[CATEGORY]],Pre[GROUPING],"Jan")</f>
        <v>5</v>
      </c>
      <c r="Z25">
        <f>SUMIFS(Post[71],Post[CATEGORY],Table122425[[#This Row],[CATEGORY]],Pre[GROUPING],"Jan")</f>
        <v>9</v>
      </c>
      <c r="AA25">
        <f>SUMIFS(Post[72],Post[CATEGORY],Table122425[[#This Row],[CATEGORY]],Pre[GROUPING],"Jan")</f>
        <v>2</v>
      </c>
      <c r="AB25">
        <f>SUMIFS(Post[73],Post[CATEGORY],Table122425[[#This Row],[CATEGORY]],Pre[GROUPING],"Jan")</f>
        <v>2</v>
      </c>
      <c r="AC25">
        <f>SUMIFS(Post[74],Post[CATEGORY],Table122425[[#This Row],[CATEGORY]],Pre[GROUPING],"Jan")</f>
        <v>2</v>
      </c>
      <c r="AD25">
        <f>SUMIFS(Post[75],Post[CATEGORY],Table122425[[#This Row],[CATEGORY]],Pre[GROUPING],"Jan")</f>
        <v>3</v>
      </c>
      <c r="AE25">
        <f>SUM(Table122425[[#This Row],[47]:[75]])</f>
        <v>100</v>
      </c>
    </row>
    <row r="26" spans="1:31" x14ac:dyDescent="0.2">
      <c r="A26" t="s">
        <v>40</v>
      </c>
      <c r="B26">
        <f>SUMIFS(Post[47],Post[CATEGORY],Table122425[[#This Row],[CATEGORY]],Pre[GROUPING],"Jan")</f>
        <v>0</v>
      </c>
      <c r="C26">
        <f>SUMIFS(Post[48],Post[CATEGORY],Table122425[[#This Row],[CATEGORY]],Pre[GROUPING],"Jan")</f>
        <v>0</v>
      </c>
      <c r="D26">
        <f>SUMIFS(Post[49],Post[CATEGORY],Table122425[[#This Row],[CATEGORY]],Pre[GROUPING],"Jan")</f>
        <v>1</v>
      </c>
      <c r="E26">
        <f>SUMIFS(Post[50],Post[CATEGORY],Table122425[[#This Row],[CATEGORY]],Pre[GROUPING],"Jan")</f>
        <v>3</v>
      </c>
      <c r="F26">
        <f>SUMIFS(Post[51],Post[CATEGORY],Table122425[[#This Row],[CATEGORY]],Pre[GROUPING],"Jan")</f>
        <v>2</v>
      </c>
      <c r="G26">
        <f>SUMIFS(Post[52],Post[CATEGORY],Table122425[[#This Row],[CATEGORY]],Pre[GROUPING],"Jan")</f>
        <v>3</v>
      </c>
      <c r="H26">
        <f>SUMIFS(Post[53],Post[CATEGORY],Table122425[[#This Row],[CATEGORY]],Pre[GROUPING],"Jan")</f>
        <v>0</v>
      </c>
      <c r="I26">
        <f>SUMIFS(Post[54],Post[CATEGORY],Table122425[[#This Row],[CATEGORY]],Pre[GROUPING],"Jan")</f>
        <v>0</v>
      </c>
      <c r="J26">
        <f>SUMIFS(Post[55],Post[CATEGORY],Table122425[[#This Row],[CATEGORY]],Pre[GROUPING],"Jan")</f>
        <v>3</v>
      </c>
      <c r="K26">
        <f>SUMIFS(Post[56],Post[CATEGORY],Table122425[[#This Row],[CATEGORY]],Pre[GROUPING],"Jan")</f>
        <v>1</v>
      </c>
      <c r="L26">
        <f>SUMIFS(Post[57],Post[CATEGORY],Table122425[[#This Row],[CATEGORY]],Pre[GROUPING],"Jan")</f>
        <v>0</v>
      </c>
      <c r="M26">
        <f>SUMIFS(Post[58],Post[CATEGORY],Table122425[[#This Row],[CATEGORY]],Pre[GROUPING],"Jan")</f>
        <v>0</v>
      </c>
      <c r="N26">
        <f>SUMIFS(Post[59],Post[CATEGORY],Table122425[[#This Row],[CATEGORY]],Pre[GROUPING],"Jan")</f>
        <v>1</v>
      </c>
      <c r="O26">
        <f>SUMIFS(Post[60],Post[CATEGORY],Table122425[[#This Row],[CATEGORY]],Pre[GROUPING],"Jan")</f>
        <v>0</v>
      </c>
      <c r="P26">
        <f>SUMIFS(Post[61],Post[CATEGORY],Table122425[[#This Row],[CATEGORY]],Pre[GROUPING],"Jan")</f>
        <v>0</v>
      </c>
      <c r="Q26">
        <f>SUMIFS(Post[62],Post[CATEGORY],Table122425[[#This Row],[CATEGORY]],Pre[GROUPING],"Jan")</f>
        <v>0</v>
      </c>
      <c r="R26">
        <f>SUMIFS(Post[63],Post[CATEGORY],Table122425[[#This Row],[CATEGORY]],Pre[GROUPING],"Jan")</f>
        <v>2</v>
      </c>
      <c r="S26">
        <f>SUMIFS(Post[64],Post[CATEGORY],Table122425[[#This Row],[CATEGORY]],Pre[GROUPING],"Jan")</f>
        <v>2</v>
      </c>
      <c r="T26">
        <f>SUMIFS(Post[65],Post[CATEGORY],Table122425[[#This Row],[CATEGORY]],Pre[GROUPING],"Jan")</f>
        <v>0</v>
      </c>
      <c r="U26">
        <f>SUMIFS(Post[66],Post[CATEGORY],Table122425[[#This Row],[CATEGORY]],Pre[GROUPING],"Jan")</f>
        <v>0</v>
      </c>
      <c r="V26">
        <f>SUMIFS(Post[67],Post[CATEGORY],Table122425[[#This Row],[CATEGORY]],Pre[GROUPING],"Jan")</f>
        <v>1</v>
      </c>
      <c r="W26">
        <f>SUMIFS(Post[68],Post[CATEGORY],Table122425[[#This Row],[CATEGORY]],Pre[GROUPING],"Jan")</f>
        <v>1</v>
      </c>
      <c r="X26">
        <f>SUMIFS(Post[69],Post[CATEGORY],Table122425[[#This Row],[CATEGORY]],Pre[GROUPING],"Jan")</f>
        <v>1</v>
      </c>
      <c r="Y26">
        <f>SUMIFS(Post[70],Post[CATEGORY],Table122425[[#This Row],[CATEGORY]],Pre[GROUPING],"Jan")</f>
        <v>1</v>
      </c>
      <c r="Z26">
        <f>SUMIFS(Post[71],Post[CATEGORY],Table122425[[#This Row],[CATEGORY]],Pre[GROUPING],"Jan")</f>
        <v>3</v>
      </c>
      <c r="AA26">
        <f>SUMIFS(Post[72],Post[CATEGORY],Table122425[[#This Row],[CATEGORY]],Pre[GROUPING],"Jan")</f>
        <v>1</v>
      </c>
      <c r="AB26">
        <f>SUMIFS(Post[73],Post[CATEGORY],Table122425[[#This Row],[CATEGORY]],Pre[GROUPING],"Jan")</f>
        <v>4</v>
      </c>
      <c r="AC26">
        <f>SUMIFS(Post[74],Post[CATEGORY],Table122425[[#This Row],[CATEGORY]],Pre[GROUPING],"Jan")</f>
        <v>3</v>
      </c>
      <c r="AD26">
        <f>SUMIFS(Post[75],Post[CATEGORY],Table122425[[#This Row],[CATEGORY]],Pre[GROUPING],"Jan")</f>
        <v>0</v>
      </c>
      <c r="AE26">
        <f>SUM(Table122425[[#This Row],[47]:[75]])</f>
        <v>33</v>
      </c>
    </row>
    <row r="27" spans="1:31" x14ac:dyDescent="0.2">
      <c r="A27" t="s">
        <v>147</v>
      </c>
      <c r="B27">
        <f>SUBTOTAL(109,Table122425[47])</f>
        <v>128</v>
      </c>
      <c r="C27">
        <f>SUBTOTAL(109,Table122425[48])</f>
        <v>152</v>
      </c>
      <c r="D27">
        <f>SUBTOTAL(109,Table122425[49])</f>
        <v>138</v>
      </c>
      <c r="E27">
        <f>SUBTOTAL(109,Table122425[50])</f>
        <v>167</v>
      </c>
      <c r="F27">
        <f>SUBTOTAL(109,Table122425[51])</f>
        <v>154</v>
      </c>
      <c r="G27">
        <f>SUBTOTAL(109,Table122425[52])</f>
        <v>121</v>
      </c>
      <c r="H27">
        <f>SUBTOTAL(109,Table122425[53])</f>
        <v>0</v>
      </c>
      <c r="I27">
        <f>SUBTOTAL(109,Table122425[54])</f>
        <v>103</v>
      </c>
      <c r="J27">
        <f>SUBTOTAL(109,Table122425[55])</f>
        <v>144</v>
      </c>
      <c r="K27">
        <f>SUBTOTAL(109,Table122425[56])</f>
        <v>120</v>
      </c>
      <c r="L27">
        <f>SUBTOTAL(109,Table122425[57])</f>
        <v>170</v>
      </c>
      <c r="M27">
        <f>SUBTOTAL(109,Table122425[58])</f>
        <v>123</v>
      </c>
      <c r="N27">
        <f>SUBTOTAL(109,Table122425[59])</f>
        <v>147</v>
      </c>
      <c r="O27">
        <f>SUBTOTAL(109,Table122425[60])</f>
        <v>113</v>
      </c>
      <c r="P27">
        <f>SUBTOTAL(109,Table122425[61])</f>
        <v>126</v>
      </c>
      <c r="Q27">
        <f>SUBTOTAL(109,Table122425[62])</f>
        <v>128</v>
      </c>
      <c r="R27">
        <f>SUBTOTAL(109,Table122425[63])</f>
        <v>147</v>
      </c>
      <c r="S27">
        <f>SUBTOTAL(109,Table122425[64])</f>
        <v>137</v>
      </c>
      <c r="T27">
        <f>SUBTOTAL(109,Table122425[65])</f>
        <v>136</v>
      </c>
      <c r="U27">
        <f>SUBTOTAL(109,Table122425[66])</f>
        <v>154</v>
      </c>
      <c r="V27">
        <f>SUBTOTAL(109,Table122425[67])</f>
        <v>148</v>
      </c>
      <c r="W27">
        <f>SUBTOTAL(109,Table122425[68])</f>
        <v>149</v>
      </c>
      <c r="X27">
        <f>SUBTOTAL(109,Table122425[69])</f>
        <v>145</v>
      </c>
      <c r="Y27">
        <f>SUBTOTAL(109,Table122425[70])</f>
        <v>151</v>
      </c>
      <c r="Z27">
        <f>SUBTOTAL(109,Table122425[71])</f>
        <v>151</v>
      </c>
      <c r="AA27">
        <f>SUBTOTAL(109,Table122425[72])</f>
        <v>135</v>
      </c>
      <c r="AB27">
        <f>SUBTOTAL(109,Table122425[73])</f>
        <v>141</v>
      </c>
      <c r="AC27">
        <f>SUBTOTAL(109,Table122425[74])</f>
        <v>127</v>
      </c>
      <c r="AD27">
        <f>SUBTOTAL(109,Table122425[75])</f>
        <v>76</v>
      </c>
      <c r="AE27">
        <f>SUBTOTAL(109,Table122425[SCRIPTS])</f>
        <v>3831</v>
      </c>
    </row>
    <row r="29" spans="1:31" x14ac:dyDescent="0.2">
      <c r="A29" t="s">
        <v>54</v>
      </c>
    </row>
    <row r="30" spans="1:31" x14ac:dyDescent="0.2">
      <c r="A30" t="s">
        <v>3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  <c r="I30" t="s">
        <v>125</v>
      </c>
      <c r="J30" t="s">
        <v>126</v>
      </c>
      <c r="K30" t="s">
        <v>127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  <c r="R30" t="s">
        <v>134</v>
      </c>
      <c r="S30" t="s">
        <v>135</v>
      </c>
      <c r="T30" t="s">
        <v>136</v>
      </c>
      <c r="U30" t="s">
        <v>137</v>
      </c>
      <c r="V30" t="s">
        <v>138</v>
      </c>
      <c r="W30" t="s">
        <v>139</v>
      </c>
      <c r="X30" t="s">
        <v>140</v>
      </c>
      <c r="Y30" t="s">
        <v>141</v>
      </c>
      <c r="Z30" t="s">
        <v>142</v>
      </c>
      <c r="AA30" t="s">
        <v>143</v>
      </c>
      <c r="AB30" t="s">
        <v>144</v>
      </c>
      <c r="AC30" t="s">
        <v>145</v>
      </c>
      <c r="AD30" t="s">
        <v>146</v>
      </c>
      <c r="AE30" t="s">
        <v>117</v>
      </c>
    </row>
    <row r="31" spans="1:31" x14ac:dyDescent="0.2">
      <c r="A31" t="s">
        <v>8</v>
      </c>
      <c r="B31">
        <f>SUMIFS(Post[47],Post[CATEGORY],Table122426[[#This Row],[CATEGORY]],Pre[GROUPING],"Nov")</f>
        <v>92</v>
      </c>
      <c r="C31">
        <f>SUMIFS(Post[48],Post[CATEGORY],Table122426[[#This Row],[CATEGORY]],Pre[GROUPING],"Nov")</f>
        <v>90</v>
      </c>
      <c r="D31">
        <f>SUMIFS(Post[49],Post[CATEGORY],Table122426[[#This Row],[CATEGORY]],Pre[GROUPING],"Nov")</f>
        <v>102</v>
      </c>
      <c r="E31">
        <f>SUMIFS(Post[50],Post[CATEGORY],Table122426[[#This Row],[CATEGORY]],Pre[GROUPING],"Nov")</f>
        <v>87</v>
      </c>
      <c r="F31">
        <f>SUMIFS(Post[51],Post[CATEGORY],Table122426[[#This Row],[CATEGORY]],Pre[GROUPING],"Nov")</f>
        <v>98</v>
      </c>
      <c r="G31">
        <f>SUMIFS(Post[52],Post[CATEGORY],Table122426[[#This Row],[CATEGORY]],Pre[GROUPING],"Nov")</f>
        <v>82</v>
      </c>
      <c r="H31">
        <f>SUMIFS(Post[53],Post[CATEGORY],Table122426[[#This Row],[CATEGORY]],Pre[GROUPING],"Nov")</f>
        <v>0</v>
      </c>
      <c r="I31">
        <f>SUMIFS(Post[54],Post[CATEGORY],Table122426[[#This Row],[CATEGORY]],Pre[GROUPING],"Nov")</f>
        <v>61</v>
      </c>
      <c r="J31">
        <f>SUMIFS(Post[55],Post[CATEGORY],Table122426[[#This Row],[CATEGORY]],Pre[GROUPING],"Nov")</f>
        <v>80</v>
      </c>
      <c r="K31">
        <f>SUMIFS(Post[56],Post[CATEGORY],Table122426[[#This Row],[CATEGORY]],Pre[GROUPING],"Nov")</f>
        <v>75</v>
      </c>
      <c r="L31">
        <f>SUMIFS(Post[57],Post[CATEGORY],Table122426[[#This Row],[CATEGORY]],Pre[GROUPING],"Nov")</f>
        <v>81</v>
      </c>
      <c r="M31">
        <f>SUMIFS(Post[58],Post[CATEGORY],Table122426[[#This Row],[CATEGORY]],Pre[GROUPING],"Nov")</f>
        <v>81</v>
      </c>
      <c r="N31">
        <f>SUMIFS(Post[59],Post[CATEGORY],Table122426[[#This Row],[CATEGORY]],Pre[GROUPING],"Nov")</f>
        <v>62</v>
      </c>
      <c r="O31">
        <f>SUMIFS(Post[60],Post[CATEGORY],Table122426[[#This Row],[CATEGORY]],Pre[GROUPING],"Nov")</f>
        <v>80</v>
      </c>
      <c r="P31">
        <f>SUMIFS(Post[61],Post[CATEGORY],Table122426[[#This Row],[CATEGORY]],Pre[GROUPING],"Nov")</f>
        <v>97</v>
      </c>
      <c r="Q31">
        <f>SUMIFS(Post[62],Post[CATEGORY],Table122426[[#This Row],[CATEGORY]],Pre[GROUPING],"Nov")</f>
        <v>101</v>
      </c>
      <c r="R31">
        <f>SUMIFS(Post[63],Post[CATEGORY],Table122426[[#This Row],[CATEGORY]],Pre[GROUPING],"Nov")</f>
        <v>81</v>
      </c>
      <c r="S31">
        <f>SUMIFS(Post[64],Post[CATEGORY],Table122426[[#This Row],[CATEGORY]],Pre[GROUPING],"Nov")</f>
        <v>91</v>
      </c>
      <c r="T31">
        <f>SUMIFS(Post[65],Post[CATEGORY],Table122426[[#This Row],[CATEGORY]],Pre[GROUPING],"Nov")</f>
        <v>80</v>
      </c>
      <c r="U31">
        <f>SUMIFS(Post[66],Post[CATEGORY],Table122426[[#This Row],[CATEGORY]],Pre[GROUPING],"Nov")</f>
        <v>72</v>
      </c>
      <c r="V31">
        <f>SUMIFS(Post[67],Post[CATEGORY],Table122426[[#This Row],[CATEGORY]],Pre[GROUPING],"Nov")</f>
        <v>84</v>
      </c>
      <c r="W31">
        <f>SUMIFS(Post[68],Post[CATEGORY],Table122426[[#This Row],[CATEGORY]],Pre[GROUPING],"Nov")</f>
        <v>97</v>
      </c>
      <c r="X31">
        <f>SUMIFS(Post[69],Post[CATEGORY],Table122426[[#This Row],[CATEGORY]],Pre[GROUPING],"Nov")</f>
        <v>98</v>
      </c>
      <c r="Y31">
        <f>SUMIFS(Post[70],Post[CATEGORY],Table122426[[#This Row],[CATEGORY]],Pre[GROUPING],"Nov")</f>
        <v>94</v>
      </c>
      <c r="Z31">
        <f>SUMIFS(Post[71],Post[CATEGORY],Table122426[[#This Row],[CATEGORY]],Pre[GROUPING],"Nov")</f>
        <v>88</v>
      </c>
      <c r="AA31">
        <f>SUMIFS(Post[72],Post[CATEGORY],Table122426[[#This Row],[CATEGORY]],Pre[GROUPING],"Nov")</f>
        <v>86</v>
      </c>
      <c r="AB31">
        <f>SUMIFS(Post[73],Post[CATEGORY],Table122426[[#This Row],[CATEGORY]],Pre[GROUPING],"Nov")</f>
        <v>98</v>
      </c>
      <c r="AC31">
        <f>SUMIFS(Post[74],Post[CATEGORY],Table122426[[#This Row],[CATEGORY]],Pre[GROUPING],"Nov")</f>
        <v>74</v>
      </c>
      <c r="AD31">
        <f>SUMIFS(Post[75],Post[CATEGORY],Table122426[[#This Row],[CATEGORY]],Pre[GROUPING],"Nov")</f>
        <v>50</v>
      </c>
      <c r="AE31">
        <f>SUM(Table122426[[#This Row],[47]:[75]])</f>
        <v>2362</v>
      </c>
    </row>
    <row r="32" spans="1:31" x14ac:dyDescent="0.2">
      <c r="A32" t="s">
        <v>10</v>
      </c>
      <c r="B32">
        <f>SUMIFS(Post[47],Post[CATEGORY],Table122426[[#This Row],[CATEGORY]],Pre[GROUPING],"Nov")</f>
        <v>16</v>
      </c>
      <c r="C32">
        <f>SUMIFS(Post[48],Post[CATEGORY],Table122426[[#This Row],[CATEGORY]],Pre[GROUPING],"Nov")</f>
        <v>13</v>
      </c>
      <c r="D32">
        <f>SUMIFS(Post[49],Post[CATEGORY],Table122426[[#This Row],[CATEGORY]],Pre[GROUPING],"Nov")</f>
        <v>15</v>
      </c>
      <c r="E32">
        <f>SUMIFS(Post[50],Post[CATEGORY],Table122426[[#This Row],[CATEGORY]],Pre[GROUPING],"Nov")</f>
        <v>17</v>
      </c>
      <c r="F32">
        <f>SUMIFS(Post[51],Post[CATEGORY],Table122426[[#This Row],[CATEGORY]],Pre[GROUPING],"Nov")</f>
        <v>14</v>
      </c>
      <c r="G32">
        <f>SUMIFS(Post[52],Post[CATEGORY],Table122426[[#This Row],[CATEGORY]],Pre[GROUPING],"Nov")</f>
        <v>9</v>
      </c>
      <c r="H32">
        <f>SUMIFS(Post[53],Post[CATEGORY],Table122426[[#This Row],[CATEGORY]],Pre[GROUPING],"Nov")</f>
        <v>0</v>
      </c>
      <c r="I32">
        <f>SUMIFS(Post[54],Post[CATEGORY],Table122426[[#This Row],[CATEGORY]],Pre[GROUPING],"Nov")</f>
        <v>19</v>
      </c>
      <c r="J32">
        <f>SUMIFS(Post[55],Post[CATEGORY],Table122426[[#This Row],[CATEGORY]],Pre[GROUPING],"Nov")</f>
        <v>15</v>
      </c>
      <c r="K32">
        <f>SUMIFS(Post[56],Post[CATEGORY],Table122426[[#This Row],[CATEGORY]],Pre[GROUPING],"Nov")</f>
        <v>8</v>
      </c>
      <c r="L32">
        <f>SUMIFS(Post[57],Post[CATEGORY],Table122426[[#This Row],[CATEGORY]],Pre[GROUPING],"Nov")</f>
        <v>11</v>
      </c>
      <c r="M32">
        <f>SUMIFS(Post[58],Post[CATEGORY],Table122426[[#This Row],[CATEGORY]],Pre[GROUPING],"Nov")</f>
        <v>14</v>
      </c>
      <c r="N32">
        <f>SUMIFS(Post[59],Post[CATEGORY],Table122426[[#This Row],[CATEGORY]],Pre[GROUPING],"Nov")</f>
        <v>19</v>
      </c>
      <c r="O32">
        <f>SUMIFS(Post[60],Post[CATEGORY],Table122426[[#This Row],[CATEGORY]],Pre[GROUPING],"Nov")</f>
        <v>12</v>
      </c>
      <c r="P32">
        <f>SUMIFS(Post[61],Post[CATEGORY],Table122426[[#This Row],[CATEGORY]],Pre[GROUPING],"Nov")</f>
        <v>13</v>
      </c>
      <c r="Q32">
        <f>SUMIFS(Post[62],Post[CATEGORY],Table122426[[#This Row],[CATEGORY]],Pre[GROUPING],"Nov")</f>
        <v>10</v>
      </c>
      <c r="R32">
        <f>SUMIFS(Post[63],Post[CATEGORY],Table122426[[#This Row],[CATEGORY]],Pre[GROUPING],"Nov")</f>
        <v>16</v>
      </c>
      <c r="S32">
        <f>SUMIFS(Post[64],Post[CATEGORY],Table122426[[#This Row],[CATEGORY]],Pre[GROUPING],"Nov")</f>
        <v>17</v>
      </c>
      <c r="T32">
        <f>SUMIFS(Post[65],Post[CATEGORY],Table122426[[#This Row],[CATEGORY]],Pre[GROUPING],"Nov")</f>
        <v>14</v>
      </c>
      <c r="U32">
        <f>SUMIFS(Post[66],Post[CATEGORY],Table122426[[#This Row],[CATEGORY]],Pre[GROUPING],"Nov")</f>
        <v>13</v>
      </c>
      <c r="V32">
        <f>SUMIFS(Post[67],Post[CATEGORY],Table122426[[#This Row],[CATEGORY]],Pre[GROUPING],"Nov")</f>
        <v>16</v>
      </c>
      <c r="W32">
        <f>SUMIFS(Post[68],Post[CATEGORY],Table122426[[#This Row],[CATEGORY]],Pre[GROUPING],"Nov")</f>
        <v>20</v>
      </c>
      <c r="X32">
        <f>SUMIFS(Post[69],Post[CATEGORY],Table122426[[#This Row],[CATEGORY]],Pre[GROUPING],"Nov")</f>
        <v>22</v>
      </c>
      <c r="Y32">
        <f>SUMIFS(Post[70],Post[CATEGORY],Table122426[[#This Row],[CATEGORY]],Pre[GROUPING],"Nov")</f>
        <v>17</v>
      </c>
      <c r="Z32">
        <f>SUMIFS(Post[71],Post[CATEGORY],Table122426[[#This Row],[CATEGORY]],Pre[GROUPING],"Nov")</f>
        <v>12</v>
      </c>
      <c r="AA32">
        <f>SUMIFS(Post[72],Post[CATEGORY],Table122426[[#This Row],[CATEGORY]],Pre[GROUPING],"Nov")</f>
        <v>23</v>
      </c>
      <c r="AB32">
        <f>SUMIFS(Post[73],Post[CATEGORY],Table122426[[#This Row],[CATEGORY]],Pre[GROUPING],"Nov")</f>
        <v>14</v>
      </c>
      <c r="AC32">
        <f>SUMIFS(Post[74],Post[CATEGORY],Table122426[[#This Row],[CATEGORY]],Pre[GROUPING],"Nov")</f>
        <v>11</v>
      </c>
      <c r="AD32">
        <f>SUMIFS(Post[75],Post[CATEGORY],Table122426[[#This Row],[CATEGORY]],Pre[GROUPING],"Nov")</f>
        <v>10</v>
      </c>
      <c r="AE32">
        <f>SUM(Table122426[[#This Row],[47]:[75]])</f>
        <v>410</v>
      </c>
    </row>
    <row r="33" spans="1:31" x14ac:dyDescent="0.2">
      <c r="A33" t="s">
        <v>12</v>
      </c>
      <c r="B33">
        <f>SUMIFS(Post[47],Post[CATEGORY],Table122426[[#This Row],[CATEGORY]],Pre[GROUPING],"Nov")</f>
        <v>1</v>
      </c>
      <c r="C33">
        <f>SUMIFS(Post[48],Post[CATEGORY],Table122426[[#This Row],[CATEGORY]],Pre[GROUPING],"Nov")</f>
        <v>1</v>
      </c>
      <c r="D33">
        <f>SUMIFS(Post[49],Post[CATEGORY],Table122426[[#This Row],[CATEGORY]],Pre[GROUPING],"Nov")</f>
        <v>1</v>
      </c>
      <c r="E33">
        <f>SUMIFS(Post[50],Post[CATEGORY],Table122426[[#This Row],[CATEGORY]],Pre[GROUPING],"Nov")</f>
        <v>2</v>
      </c>
      <c r="F33">
        <f>SUMIFS(Post[51],Post[CATEGORY],Table122426[[#This Row],[CATEGORY]],Pre[GROUPING],"Nov")</f>
        <v>1</v>
      </c>
      <c r="G33">
        <f>SUMIFS(Post[52],Post[CATEGORY],Table122426[[#This Row],[CATEGORY]],Pre[GROUPING],"Nov")</f>
        <v>1</v>
      </c>
      <c r="H33">
        <f>SUMIFS(Post[53],Post[CATEGORY],Table122426[[#This Row],[CATEGORY]],Pre[GROUPING],"Nov")</f>
        <v>0</v>
      </c>
      <c r="I33">
        <f>SUMIFS(Post[54],Post[CATEGORY],Table122426[[#This Row],[CATEGORY]],Pre[GROUPING],"Nov")</f>
        <v>1</v>
      </c>
      <c r="J33">
        <f>SUMIFS(Post[55],Post[CATEGORY],Table122426[[#This Row],[CATEGORY]],Pre[GROUPING],"Nov")</f>
        <v>1</v>
      </c>
      <c r="K33">
        <f>SUMIFS(Post[56],Post[CATEGORY],Table122426[[#This Row],[CATEGORY]],Pre[GROUPING],"Nov")</f>
        <v>1</v>
      </c>
      <c r="L33">
        <f>SUMIFS(Post[57],Post[CATEGORY],Table122426[[#This Row],[CATEGORY]],Pre[GROUPING],"Nov")</f>
        <v>1</v>
      </c>
      <c r="M33">
        <f>SUMIFS(Post[58],Post[CATEGORY],Table122426[[#This Row],[CATEGORY]],Pre[GROUPING],"Nov")</f>
        <v>1</v>
      </c>
      <c r="N33">
        <f>SUMIFS(Post[59],Post[CATEGORY],Table122426[[#This Row],[CATEGORY]],Pre[GROUPING],"Nov")</f>
        <v>1</v>
      </c>
      <c r="O33">
        <f>SUMIFS(Post[60],Post[CATEGORY],Table122426[[#This Row],[CATEGORY]],Pre[GROUPING],"Nov")</f>
        <v>1</v>
      </c>
      <c r="P33">
        <f>SUMIFS(Post[61],Post[CATEGORY],Table122426[[#This Row],[CATEGORY]],Pre[GROUPING],"Nov")</f>
        <v>1</v>
      </c>
      <c r="Q33">
        <f>SUMIFS(Post[62],Post[CATEGORY],Table122426[[#This Row],[CATEGORY]],Pre[GROUPING],"Nov")</f>
        <v>1</v>
      </c>
      <c r="R33">
        <f>SUMIFS(Post[63],Post[CATEGORY],Table122426[[#This Row],[CATEGORY]],Pre[GROUPING],"Nov")</f>
        <v>1</v>
      </c>
      <c r="S33">
        <f>SUMIFS(Post[64],Post[CATEGORY],Table122426[[#This Row],[CATEGORY]],Pre[GROUPING],"Nov")</f>
        <v>1</v>
      </c>
      <c r="T33">
        <f>SUMIFS(Post[65],Post[CATEGORY],Table122426[[#This Row],[CATEGORY]],Pre[GROUPING],"Nov")</f>
        <v>1</v>
      </c>
      <c r="U33">
        <f>SUMIFS(Post[66],Post[CATEGORY],Table122426[[#This Row],[CATEGORY]],Pre[GROUPING],"Nov")</f>
        <v>1</v>
      </c>
      <c r="V33">
        <f>SUMIFS(Post[67],Post[CATEGORY],Table122426[[#This Row],[CATEGORY]],Pre[GROUPING],"Nov")</f>
        <v>2</v>
      </c>
      <c r="W33">
        <f>SUMIFS(Post[68],Post[CATEGORY],Table122426[[#This Row],[CATEGORY]],Pre[GROUPING],"Nov")</f>
        <v>1</v>
      </c>
      <c r="X33">
        <f>SUMIFS(Post[69],Post[CATEGORY],Table122426[[#This Row],[CATEGORY]],Pre[GROUPING],"Nov")</f>
        <v>1</v>
      </c>
      <c r="Y33">
        <f>SUMIFS(Post[70],Post[CATEGORY],Table122426[[#This Row],[CATEGORY]],Pre[GROUPING],"Nov")</f>
        <v>2</v>
      </c>
      <c r="Z33">
        <f>SUMIFS(Post[71],Post[CATEGORY],Table122426[[#This Row],[CATEGORY]],Pre[GROUPING],"Nov")</f>
        <v>1</v>
      </c>
      <c r="AA33">
        <f>SUMIFS(Post[72],Post[CATEGORY],Table122426[[#This Row],[CATEGORY]],Pre[GROUPING],"Nov")</f>
        <v>0</v>
      </c>
      <c r="AB33">
        <f>SUMIFS(Post[73],Post[CATEGORY],Table122426[[#This Row],[CATEGORY]],Pre[GROUPING],"Nov")</f>
        <v>2</v>
      </c>
      <c r="AC33">
        <f>SUMIFS(Post[74],Post[CATEGORY],Table122426[[#This Row],[CATEGORY]],Pre[GROUPING],"Nov")</f>
        <v>1</v>
      </c>
      <c r="AD33">
        <f>SUMIFS(Post[75],Post[CATEGORY],Table122426[[#This Row],[CATEGORY]],Pre[GROUPING],"Nov")</f>
        <v>0</v>
      </c>
      <c r="AE33">
        <f>SUM(Table122426[[#This Row],[47]:[75]])</f>
        <v>30</v>
      </c>
    </row>
    <row r="34" spans="1:31" x14ac:dyDescent="0.2">
      <c r="A34" t="s">
        <v>14</v>
      </c>
      <c r="B34">
        <f>SUMIFS(Post[47],Post[CATEGORY],Table122426[[#This Row],[CATEGORY]],Pre[GROUPING],"Nov")</f>
        <v>86</v>
      </c>
      <c r="C34">
        <f>SUMIFS(Post[48],Post[CATEGORY],Table122426[[#This Row],[CATEGORY]],Pre[GROUPING],"Nov")</f>
        <v>70</v>
      </c>
      <c r="D34">
        <f>SUMIFS(Post[49],Post[CATEGORY],Table122426[[#This Row],[CATEGORY]],Pre[GROUPING],"Nov")</f>
        <v>64</v>
      </c>
      <c r="E34">
        <f>SUMIFS(Post[50],Post[CATEGORY],Table122426[[#This Row],[CATEGORY]],Pre[GROUPING],"Nov")</f>
        <v>75</v>
      </c>
      <c r="F34">
        <f>SUMIFS(Post[51],Post[CATEGORY],Table122426[[#This Row],[CATEGORY]],Pre[GROUPING],"Nov")</f>
        <v>68</v>
      </c>
      <c r="G34">
        <f>SUMIFS(Post[52],Post[CATEGORY],Table122426[[#This Row],[CATEGORY]],Pre[GROUPING],"Nov")</f>
        <v>59</v>
      </c>
      <c r="H34">
        <f>SUMIFS(Post[53],Post[CATEGORY],Table122426[[#This Row],[CATEGORY]],Pre[GROUPING],"Nov")</f>
        <v>0</v>
      </c>
      <c r="I34">
        <f>SUMIFS(Post[54],Post[CATEGORY],Table122426[[#This Row],[CATEGORY]],Pre[GROUPING],"Nov")</f>
        <v>57</v>
      </c>
      <c r="J34">
        <f>SUMIFS(Post[55],Post[CATEGORY],Table122426[[#This Row],[CATEGORY]],Pre[GROUPING],"Nov")</f>
        <v>68</v>
      </c>
      <c r="K34">
        <f>SUMIFS(Post[56],Post[CATEGORY],Table122426[[#This Row],[CATEGORY]],Pre[GROUPING],"Nov")</f>
        <v>55</v>
      </c>
      <c r="L34">
        <f>SUMIFS(Post[57],Post[CATEGORY],Table122426[[#This Row],[CATEGORY]],Pre[GROUPING],"Nov")</f>
        <v>66</v>
      </c>
      <c r="M34">
        <f>SUMIFS(Post[58],Post[CATEGORY],Table122426[[#This Row],[CATEGORY]],Pre[GROUPING],"Nov")</f>
        <v>67</v>
      </c>
      <c r="N34">
        <f>SUMIFS(Post[59],Post[CATEGORY],Table122426[[#This Row],[CATEGORY]],Pre[GROUPING],"Nov")</f>
        <v>50</v>
      </c>
      <c r="O34">
        <f>SUMIFS(Post[60],Post[CATEGORY],Table122426[[#This Row],[CATEGORY]],Pre[GROUPING],"Nov")</f>
        <v>54</v>
      </c>
      <c r="P34">
        <f>SUMIFS(Post[61],Post[CATEGORY],Table122426[[#This Row],[CATEGORY]],Pre[GROUPING],"Nov")</f>
        <v>58</v>
      </c>
      <c r="Q34">
        <f>SUMIFS(Post[62],Post[CATEGORY],Table122426[[#This Row],[CATEGORY]],Pre[GROUPING],"Nov")</f>
        <v>62</v>
      </c>
      <c r="R34">
        <f>SUMIFS(Post[63],Post[CATEGORY],Table122426[[#This Row],[CATEGORY]],Pre[GROUPING],"Nov")</f>
        <v>67</v>
      </c>
      <c r="S34">
        <f>SUMIFS(Post[64],Post[CATEGORY],Table122426[[#This Row],[CATEGORY]],Pre[GROUPING],"Nov")</f>
        <v>78</v>
      </c>
      <c r="T34">
        <f>SUMIFS(Post[65],Post[CATEGORY],Table122426[[#This Row],[CATEGORY]],Pre[GROUPING],"Nov")</f>
        <v>44</v>
      </c>
      <c r="U34">
        <f>SUMIFS(Post[66],Post[CATEGORY],Table122426[[#This Row],[CATEGORY]],Pre[GROUPING],"Nov")</f>
        <v>70</v>
      </c>
      <c r="V34">
        <f>SUMIFS(Post[67],Post[CATEGORY],Table122426[[#This Row],[CATEGORY]],Pre[GROUPING],"Nov")</f>
        <v>56</v>
      </c>
      <c r="W34">
        <f>SUMIFS(Post[68],Post[CATEGORY],Table122426[[#This Row],[CATEGORY]],Pre[GROUPING],"Nov")</f>
        <v>50</v>
      </c>
      <c r="X34">
        <f>SUMIFS(Post[69],Post[CATEGORY],Table122426[[#This Row],[CATEGORY]],Pre[GROUPING],"Nov")</f>
        <v>60</v>
      </c>
      <c r="Y34">
        <f>SUMIFS(Post[70],Post[CATEGORY],Table122426[[#This Row],[CATEGORY]],Pre[GROUPING],"Nov")</f>
        <v>66</v>
      </c>
      <c r="Z34">
        <f>SUMIFS(Post[71],Post[CATEGORY],Table122426[[#This Row],[CATEGORY]],Pre[GROUPING],"Nov")</f>
        <v>57</v>
      </c>
      <c r="AA34">
        <f>SUMIFS(Post[72],Post[CATEGORY],Table122426[[#This Row],[CATEGORY]],Pre[GROUPING],"Nov")</f>
        <v>62</v>
      </c>
      <c r="AB34">
        <f>SUMIFS(Post[73],Post[CATEGORY],Table122426[[#This Row],[CATEGORY]],Pre[GROUPING],"Nov")</f>
        <v>60</v>
      </c>
      <c r="AC34">
        <f>SUMIFS(Post[74],Post[CATEGORY],Table122426[[#This Row],[CATEGORY]],Pre[GROUPING],"Nov")</f>
        <v>63</v>
      </c>
      <c r="AD34">
        <f>SUMIFS(Post[75],Post[CATEGORY],Table122426[[#This Row],[CATEGORY]],Pre[GROUPING],"Nov")</f>
        <v>22</v>
      </c>
      <c r="AE34">
        <f>SUM(Table122426[[#This Row],[47]:[75]])</f>
        <v>1714</v>
      </c>
    </row>
    <row r="35" spans="1:31" x14ac:dyDescent="0.2">
      <c r="A35" t="s">
        <v>17</v>
      </c>
      <c r="B35">
        <f>SUMIFS(Post[47],Post[CATEGORY],Table122426[[#This Row],[CATEGORY]],Pre[GROUPING],"Nov")</f>
        <v>0</v>
      </c>
      <c r="C35">
        <f>SUMIFS(Post[48],Post[CATEGORY],Table122426[[#This Row],[CATEGORY]],Pre[GROUPING],"Nov")</f>
        <v>1</v>
      </c>
      <c r="D35">
        <f>SUMIFS(Post[49],Post[CATEGORY],Table122426[[#This Row],[CATEGORY]],Pre[GROUPING],"Nov")</f>
        <v>1</v>
      </c>
      <c r="E35">
        <f>SUMIFS(Post[50],Post[CATEGORY],Table122426[[#This Row],[CATEGORY]],Pre[GROUPING],"Nov")</f>
        <v>0</v>
      </c>
      <c r="F35">
        <f>SUMIFS(Post[51],Post[CATEGORY],Table122426[[#This Row],[CATEGORY]],Pre[GROUPING],"Nov")</f>
        <v>0</v>
      </c>
      <c r="G35">
        <f>SUMIFS(Post[52],Post[CATEGORY],Table122426[[#This Row],[CATEGORY]],Pre[GROUPING],"Nov")</f>
        <v>1</v>
      </c>
      <c r="H35">
        <f>SUMIFS(Post[53],Post[CATEGORY],Table122426[[#This Row],[CATEGORY]],Pre[GROUPING],"Nov")</f>
        <v>0</v>
      </c>
      <c r="I35">
        <f>SUMIFS(Post[54],Post[CATEGORY],Table122426[[#This Row],[CATEGORY]],Pre[GROUPING],"Nov")</f>
        <v>0</v>
      </c>
      <c r="J35">
        <f>SUMIFS(Post[55],Post[CATEGORY],Table122426[[#This Row],[CATEGORY]],Pre[GROUPING],"Nov")</f>
        <v>0</v>
      </c>
      <c r="K35">
        <f>SUMIFS(Post[56],Post[CATEGORY],Table122426[[#This Row],[CATEGORY]],Pre[GROUPING],"Nov")</f>
        <v>0</v>
      </c>
      <c r="L35">
        <f>SUMIFS(Post[57],Post[CATEGORY],Table122426[[#This Row],[CATEGORY]],Pre[GROUPING],"Nov")</f>
        <v>2</v>
      </c>
      <c r="M35">
        <f>SUMIFS(Post[58],Post[CATEGORY],Table122426[[#This Row],[CATEGORY]],Pre[GROUPING],"Nov")</f>
        <v>1</v>
      </c>
      <c r="N35">
        <f>SUMIFS(Post[59],Post[CATEGORY],Table122426[[#This Row],[CATEGORY]],Pre[GROUPING],"Nov")</f>
        <v>0</v>
      </c>
      <c r="O35">
        <f>SUMIFS(Post[60],Post[CATEGORY],Table122426[[#This Row],[CATEGORY]],Pre[GROUPING],"Nov")</f>
        <v>0</v>
      </c>
      <c r="P35">
        <f>SUMIFS(Post[61],Post[CATEGORY],Table122426[[#This Row],[CATEGORY]],Pre[GROUPING],"Nov")</f>
        <v>1</v>
      </c>
      <c r="Q35">
        <f>SUMIFS(Post[62],Post[CATEGORY],Table122426[[#This Row],[CATEGORY]],Pre[GROUPING],"Nov")</f>
        <v>0</v>
      </c>
      <c r="R35">
        <f>SUMIFS(Post[63],Post[CATEGORY],Table122426[[#This Row],[CATEGORY]],Pre[GROUPING],"Nov")</f>
        <v>0</v>
      </c>
      <c r="S35">
        <f>SUMIFS(Post[64],Post[CATEGORY],Table122426[[#This Row],[CATEGORY]],Pre[GROUPING],"Nov")</f>
        <v>0</v>
      </c>
      <c r="T35">
        <f>SUMIFS(Post[65],Post[CATEGORY],Table122426[[#This Row],[CATEGORY]],Pre[GROUPING],"Nov")</f>
        <v>2</v>
      </c>
      <c r="U35">
        <f>SUMIFS(Post[66],Post[CATEGORY],Table122426[[#This Row],[CATEGORY]],Pre[GROUPING],"Nov")</f>
        <v>0</v>
      </c>
      <c r="V35">
        <f>SUMIFS(Post[67],Post[CATEGORY],Table122426[[#This Row],[CATEGORY]],Pre[GROUPING],"Nov")</f>
        <v>0</v>
      </c>
      <c r="W35">
        <f>SUMIFS(Post[68],Post[CATEGORY],Table122426[[#This Row],[CATEGORY]],Pre[GROUPING],"Nov")</f>
        <v>0</v>
      </c>
      <c r="X35">
        <f>SUMIFS(Post[69],Post[CATEGORY],Table122426[[#This Row],[CATEGORY]],Pre[GROUPING],"Nov")</f>
        <v>4</v>
      </c>
      <c r="Y35">
        <f>SUMIFS(Post[70],Post[CATEGORY],Table122426[[#This Row],[CATEGORY]],Pre[GROUPING],"Nov")</f>
        <v>3</v>
      </c>
      <c r="Z35">
        <f>SUMIFS(Post[71],Post[CATEGORY],Table122426[[#This Row],[CATEGORY]],Pre[GROUPING],"Nov")</f>
        <v>3</v>
      </c>
      <c r="AA35">
        <f>SUMIFS(Post[72],Post[CATEGORY],Table122426[[#This Row],[CATEGORY]],Pre[GROUPING],"Nov")</f>
        <v>4</v>
      </c>
      <c r="AB35">
        <f>SUMIFS(Post[73],Post[CATEGORY],Table122426[[#This Row],[CATEGORY]],Pre[GROUPING],"Nov")</f>
        <v>3</v>
      </c>
      <c r="AC35">
        <f>SUMIFS(Post[74],Post[CATEGORY],Table122426[[#This Row],[CATEGORY]],Pre[GROUPING],"Nov")</f>
        <v>3</v>
      </c>
      <c r="AD35">
        <f>SUMIFS(Post[75],Post[CATEGORY],Table122426[[#This Row],[CATEGORY]],Pre[GROUPING],"Nov")</f>
        <v>0</v>
      </c>
      <c r="AE35">
        <f>SUM(Table122426[[#This Row],[47]:[75]])</f>
        <v>29</v>
      </c>
    </row>
    <row r="36" spans="1:31" x14ac:dyDescent="0.2">
      <c r="A36" t="s">
        <v>24</v>
      </c>
      <c r="B36">
        <f>SUMIFS(Post[47],Post[CATEGORY],Table122426[[#This Row],[CATEGORY]],Pre[GROUPING],"Nov")</f>
        <v>0</v>
      </c>
      <c r="C36">
        <f>SUMIFS(Post[48],Post[CATEGORY],Table122426[[#This Row],[CATEGORY]],Pre[GROUPING],"Nov")</f>
        <v>0</v>
      </c>
      <c r="D36">
        <f>SUMIFS(Post[49],Post[CATEGORY],Table122426[[#This Row],[CATEGORY]],Pre[GROUPING],"Nov")</f>
        <v>0</v>
      </c>
      <c r="E36">
        <f>SUMIFS(Post[50],Post[CATEGORY],Table122426[[#This Row],[CATEGORY]],Pre[GROUPING],"Nov")</f>
        <v>0</v>
      </c>
      <c r="F36">
        <f>SUMIFS(Post[51],Post[CATEGORY],Table122426[[#This Row],[CATEGORY]],Pre[GROUPING],"Nov")</f>
        <v>0</v>
      </c>
      <c r="G36">
        <f>SUMIFS(Post[52],Post[CATEGORY],Table122426[[#This Row],[CATEGORY]],Pre[GROUPING],"Nov")</f>
        <v>0</v>
      </c>
      <c r="H36">
        <f>SUMIFS(Post[53],Post[CATEGORY],Table122426[[#This Row],[CATEGORY]],Pre[GROUPING],"Nov")</f>
        <v>0</v>
      </c>
      <c r="I36">
        <f>SUMIFS(Post[54],Post[CATEGORY],Table122426[[#This Row],[CATEGORY]],Pre[GROUPING],"Nov")</f>
        <v>0</v>
      </c>
      <c r="J36">
        <f>SUMIFS(Post[55],Post[CATEGORY],Table122426[[#This Row],[CATEGORY]],Pre[GROUPING],"Nov")</f>
        <v>0</v>
      </c>
      <c r="K36">
        <f>SUMIFS(Post[56],Post[CATEGORY],Table122426[[#This Row],[CATEGORY]],Pre[GROUPING],"Nov")</f>
        <v>0</v>
      </c>
      <c r="L36">
        <f>SUMIFS(Post[57],Post[CATEGORY],Table122426[[#This Row],[CATEGORY]],Pre[GROUPING],"Nov")</f>
        <v>0</v>
      </c>
      <c r="M36">
        <f>SUMIFS(Post[58],Post[CATEGORY],Table122426[[#This Row],[CATEGORY]],Pre[GROUPING],"Nov")</f>
        <v>0</v>
      </c>
      <c r="N36">
        <f>SUMIFS(Post[59],Post[CATEGORY],Table122426[[#This Row],[CATEGORY]],Pre[GROUPING],"Nov")</f>
        <v>0</v>
      </c>
      <c r="O36">
        <f>SUMIFS(Post[60],Post[CATEGORY],Table122426[[#This Row],[CATEGORY]],Pre[GROUPING],"Nov")</f>
        <v>0</v>
      </c>
      <c r="P36">
        <f>SUMIFS(Post[61],Post[CATEGORY],Table122426[[#This Row],[CATEGORY]],Pre[GROUPING],"Nov")</f>
        <v>0</v>
      </c>
      <c r="Q36">
        <f>SUMIFS(Post[62],Post[CATEGORY],Table122426[[#This Row],[CATEGORY]],Pre[GROUPING],"Nov")</f>
        <v>0</v>
      </c>
      <c r="R36">
        <f>SUMIFS(Post[63],Post[CATEGORY],Table122426[[#This Row],[CATEGORY]],Pre[GROUPING],"Nov")</f>
        <v>0</v>
      </c>
      <c r="S36">
        <f>SUMIFS(Post[64],Post[CATEGORY],Table122426[[#This Row],[CATEGORY]],Pre[GROUPING],"Nov")</f>
        <v>0</v>
      </c>
      <c r="T36">
        <f>SUMIFS(Post[65],Post[CATEGORY],Table122426[[#This Row],[CATEGORY]],Pre[GROUPING],"Nov")</f>
        <v>0</v>
      </c>
      <c r="U36">
        <f>SUMIFS(Post[66],Post[CATEGORY],Table122426[[#This Row],[CATEGORY]],Pre[GROUPING],"Nov")</f>
        <v>0</v>
      </c>
      <c r="V36">
        <f>SUMIFS(Post[67],Post[CATEGORY],Table122426[[#This Row],[CATEGORY]],Pre[GROUPING],"Nov")</f>
        <v>0</v>
      </c>
      <c r="W36">
        <f>SUMIFS(Post[68],Post[CATEGORY],Table122426[[#This Row],[CATEGORY]],Pre[GROUPING],"Nov")</f>
        <v>0</v>
      </c>
      <c r="X36">
        <f>SUMIFS(Post[69],Post[CATEGORY],Table122426[[#This Row],[CATEGORY]],Pre[GROUPING],"Nov")</f>
        <v>0</v>
      </c>
      <c r="Y36">
        <f>SUMIFS(Post[70],Post[CATEGORY],Table122426[[#This Row],[CATEGORY]],Pre[GROUPING],"Nov")</f>
        <v>0</v>
      </c>
      <c r="Z36">
        <f>SUMIFS(Post[71],Post[CATEGORY],Table122426[[#This Row],[CATEGORY]],Pre[GROUPING],"Nov")</f>
        <v>0</v>
      </c>
      <c r="AA36">
        <f>SUMIFS(Post[72],Post[CATEGORY],Table122426[[#This Row],[CATEGORY]],Pre[GROUPING],"Nov")</f>
        <v>0</v>
      </c>
      <c r="AB36">
        <f>SUMIFS(Post[73],Post[CATEGORY],Table122426[[#This Row],[CATEGORY]],Pre[GROUPING],"Nov")</f>
        <v>0</v>
      </c>
      <c r="AC36">
        <f>SUMIFS(Post[74],Post[CATEGORY],Table122426[[#This Row],[CATEGORY]],Pre[GROUPING],"Nov")</f>
        <v>0</v>
      </c>
      <c r="AD36">
        <f>SUMIFS(Post[75],Post[CATEGORY],Table122426[[#This Row],[CATEGORY]],Pre[GROUPING],"Nov")</f>
        <v>0</v>
      </c>
      <c r="AE36">
        <f>SUM(Table122426[[#This Row],[47]:[75]])</f>
        <v>0</v>
      </c>
    </row>
    <row r="37" spans="1:31" x14ac:dyDescent="0.2">
      <c r="A37" t="s">
        <v>26</v>
      </c>
      <c r="B37">
        <f>SUMIFS(Post[47],Post[CATEGORY],Table122426[[#This Row],[CATEGORY]],Pre[GROUPING],"Nov")</f>
        <v>3</v>
      </c>
      <c r="C37">
        <f>SUMIFS(Post[48],Post[CATEGORY],Table122426[[#This Row],[CATEGORY]],Pre[GROUPING],"Nov")</f>
        <v>2</v>
      </c>
      <c r="D37">
        <f>SUMIFS(Post[49],Post[CATEGORY],Table122426[[#This Row],[CATEGORY]],Pre[GROUPING],"Nov")</f>
        <v>2</v>
      </c>
      <c r="E37">
        <f>SUMIFS(Post[50],Post[CATEGORY],Table122426[[#This Row],[CATEGORY]],Pre[GROUPING],"Nov")</f>
        <v>2</v>
      </c>
      <c r="F37">
        <f>SUMIFS(Post[51],Post[CATEGORY],Table122426[[#This Row],[CATEGORY]],Pre[GROUPING],"Nov")</f>
        <v>2</v>
      </c>
      <c r="G37">
        <f>SUMIFS(Post[52],Post[CATEGORY],Table122426[[#This Row],[CATEGORY]],Pre[GROUPING],"Nov")</f>
        <v>2</v>
      </c>
      <c r="H37">
        <f>SUMIFS(Post[53],Post[CATEGORY],Table122426[[#This Row],[CATEGORY]],Pre[GROUPING],"Nov")</f>
        <v>0</v>
      </c>
      <c r="I37">
        <f>SUMIFS(Post[54],Post[CATEGORY],Table122426[[#This Row],[CATEGORY]],Pre[GROUPING],"Nov")</f>
        <v>4</v>
      </c>
      <c r="J37">
        <f>SUMIFS(Post[55],Post[CATEGORY],Table122426[[#This Row],[CATEGORY]],Pre[GROUPING],"Nov")</f>
        <v>2</v>
      </c>
      <c r="K37">
        <f>SUMIFS(Post[56],Post[CATEGORY],Table122426[[#This Row],[CATEGORY]],Pre[GROUPING],"Nov")</f>
        <v>5</v>
      </c>
      <c r="L37">
        <f>SUMIFS(Post[57],Post[CATEGORY],Table122426[[#This Row],[CATEGORY]],Pre[GROUPING],"Nov")</f>
        <v>2</v>
      </c>
      <c r="M37">
        <f>SUMIFS(Post[58],Post[CATEGORY],Table122426[[#This Row],[CATEGORY]],Pre[GROUPING],"Nov")</f>
        <v>1</v>
      </c>
      <c r="N37">
        <f>SUMIFS(Post[59],Post[CATEGORY],Table122426[[#This Row],[CATEGORY]],Pre[GROUPING],"Nov")</f>
        <v>3</v>
      </c>
      <c r="O37">
        <f>SUMIFS(Post[60],Post[CATEGORY],Table122426[[#This Row],[CATEGORY]],Pre[GROUPING],"Nov")</f>
        <v>2</v>
      </c>
      <c r="P37">
        <f>SUMIFS(Post[61],Post[CATEGORY],Table122426[[#This Row],[CATEGORY]],Pre[GROUPING],"Nov")</f>
        <v>0</v>
      </c>
      <c r="Q37">
        <f>SUMIFS(Post[62],Post[CATEGORY],Table122426[[#This Row],[CATEGORY]],Pre[GROUPING],"Nov")</f>
        <v>7</v>
      </c>
      <c r="R37">
        <f>SUMIFS(Post[63],Post[CATEGORY],Table122426[[#This Row],[CATEGORY]],Pre[GROUPING],"Nov")</f>
        <v>2</v>
      </c>
      <c r="S37">
        <f>SUMIFS(Post[64],Post[CATEGORY],Table122426[[#This Row],[CATEGORY]],Pre[GROUPING],"Nov")</f>
        <v>4</v>
      </c>
      <c r="T37">
        <f>SUMIFS(Post[65],Post[CATEGORY],Table122426[[#This Row],[CATEGORY]],Pre[GROUPING],"Nov")</f>
        <v>0</v>
      </c>
      <c r="U37">
        <f>SUMIFS(Post[66],Post[CATEGORY],Table122426[[#This Row],[CATEGORY]],Pre[GROUPING],"Nov")</f>
        <v>2</v>
      </c>
      <c r="V37">
        <f>SUMIFS(Post[67],Post[CATEGORY],Table122426[[#This Row],[CATEGORY]],Pre[GROUPING],"Nov")</f>
        <v>1</v>
      </c>
      <c r="W37">
        <f>SUMIFS(Post[68],Post[CATEGORY],Table122426[[#This Row],[CATEGORY]],Pre[GROUPING],"Nov")</f>
        <v>4</v>
      </c>
      <c r="X37">
        <f>SUMIFS(Post[69],Post[CATEGORY],Table122426[[#This Row],[CATEGORY]],Pre[GROUPING],"Nov")</f>
        <v>0</v>
      </c>
      <c r="Y37">
        <f>SUMIFS(Post[70],Post[CATEGORY],Table122426[[#This Row],[CATEGORY]],Pre[GROUPING],"Nov")</f>
        <v>5</v>
      </c>
      <c r="Z37">
        <f>SUMIFS(Post[71],Post[CATEGORY],Table122426[[#This Row],[CATEGORY]],Pre[GROUPING],"Nov")</f>
        <v>0</v>
      </c>
      <c r="AA37">
        <f>SUMIFS(Post[72],Post[CATEGORY],Table122426[[#This Row],[CATEGORY]],Pre[GROUPING],"Nov")</f>
        <v>4</v>
      </c>
      <c r="AB37">
        <f>SUMIFS(Post[73],Post[CATEGORY],Table122426[[#This Row],[CATEGORY]],Pre[GROUPING],"Nov")</f>
        <v>3</v>
      </c>
      <c r="AC37">
        <f>SUMIFS(Post[74],Post[CATEGORY],Table122426[[#This Row],[CATEGORY]],Pre[GROUPING],"Nov")</f>
        <v>1</v>
      </c>
      <c r="AD37">
        <f>SUMIFS(Post[75],Post[CATEGORY],Table122426[[#This Row],[CATEGORY]],Pre[GROUPING],"Nov")</f>
        <v>2</v>
      </c>
      <c r="AE37">
        <f>SUM(Table122426[[#This Row],[47]:[75]])</f>
        <v>67</v>
      </c>
    </row>
    <row r="38" spans="1:31" x14ac:dyDescent="0.2">
      <c r="A38" t="s">
        <v>32</v>
      </c>
      <c r="B38">
        <f>SUMIFS(Post[47],Post[CATEGORY],Table122426[[#This Row],[CATEGORY]],Pre[GROUPING],"Nov")</f>
        <v>2</v>
      </c>
      <c r="C38">
        <f>SUMIFS(Post[48],Post[CATEGORY],Table122426[[#This Row],[CATEGORY]],Pre[GROUPING],"Nov")</f>
        <v>1</v>
      </c>
      <c r="D38">
        <f>SUMIFS(Post[49],Post[CATEGORY],Table122426[[#This Row],[CATEGORY]],Pre[GROUPING],"Nov")</f>
        <v>3</v>
      </c>
      <c r="E38">
        <f>SUMIFS(Post[50],Post[CATEGORY],Table122426[[#This Row],[CATEGORY]],Pre[GROUPING],"Nov")</f>
        <v>0</v>
      </c>
      <c r="F38">
        <f>SUMIFS(Post[51],Post[CATEGORY],Table122426[[#This Row],[CATEGORY]],Pre[GROUPING],"Nov")</f>
        <v>1</v>
      </c>
      <c r="G38">
        <f>SUMIFS(Post[52],Post[CATEGORY],Table122426[[#This Row],[CATEGORY]],Pre[GROUPING],"Nov")</f>
        <v>3</v>
      </c>
      <c r="H38">
        <f>SUMIFS(Post[53],Post[CATEGORY],Table122426[[#This Row],[CATEGORY]],Pre[GROUPING],"Nov")</f>
        <v>0</v>
      </c>
      <c r="I38">
        <f>SUMIFS(Post[54],Post[CATEGORY],Table122426[[#This Row],[CATEGORY]],Pre[GROUPING],"Nov")</f>
        <v>2</v>
      </c>
      <c r="J38">
        <f>SUMIFS(Post[55],Post[CATEGORY],Table122426[[#This Row],[CATEGORY]],Pre[GROUPING],"Nov")</f>
        <v>1</v>
      </c>
      <c r="K38">
        <f>SUMIFS(Post[56],Post[CATEGORY],Table122426[[#This Row],[CATEGORY]],Pre[GROUPING],"Nov")</f>
        <v>0</v>
      </c>
      <c r="L38">
        <f>SUMIFS(Post[57],Post[CATEGORY],Table122426[[#This Row],[CATEGORY]],Pre[GROUPING],"Nov")</f>
        <v>2</v>
      </c>
      <c r="M38">
        <f>SUMIFS(Post[58],Post[CATEGORY],Table122426[[#This Row],[CATEGORY]],Pre[GROUPING],"Nov")</f>
        <v>0</v>
      </c>
      <c r="N38">
        <f>SUMIFS(Post[59],Post[CATEGORY],Table122426[[#This Row],[CATEGORY]],Pre[GROUPING],"Nov")</f>
        <v>2</v>
      </c>
      <c r="O38">
        <f>SUMIFS(Post[60],Post[CATEGORY],Table122426[[#This Row],[CATEGORY]],Pre[GROUPING],"Nov")</f>
        <v>0</v>
      </c>
      <c r="P38">
        <f>SUMIFS(Post[61],Post[CATEGORY],Table122426[[#This Row],[CATEGORY]],Pre[GROUPING],"Nov")</f>
        <v>1</v>
      </c>
      <c r="Q38">
        <f>SUMIFS(Post[62],Post[CATEGORY],Table122426[[#This Row],[CATEGORY]],Pre[GROUPING],"Nov")</f>
        <v>0</v>
      </c>
      <c r="R38">
        <f>SUMIFS(Post[63],Post[CATEGORY],Table122426[[#This Row],[CATEGORY]],Pre[GROUPING],"Nov")</f>
        <v>1</v>
      </c>
      <c r="S38">
        <f>SUMIFS(Post[64],Post[CATEGORY],Table122426[[#This Row],[CATEGORY]],Pre[GROUPING],"Nov")</f>
        <v>1</v>
      </c>
      <c r="T38">
        <f>SUMIFS(Post[65],Post[CATEGORY],Table122426[[#This Row],[CATEGORY]],Pre[GROUPING],"Nov")</f>
        <v>0</v>
      </c>
      <c r="U38">
        <f>SUMIFS(Post[66],Post[CATEGORY],Table122426[[#This Row],[CATEGORY]],Pre[GROUPING],"Nov")</f>
        <v>1</v>
      </c>
      <c r="V38">
        <f>SUMIFS(Post[67],Post[CATEGORY],Table122426[[#This Row],[CATEGORY]],Pre[GROUPING],"Nov")</f>
        <v>0</v>
      </c>
      <c r="W38">
        <f>SUMIFS(Post[68],Post[CATEGORY],Table122426[[#This Row],[CATEGORY]],Pre[GROUPING],"Nov")</f>
        <v>0</v>
      </c>
      <c r="X38">
        <f>SUMIFS(Post[69],Post[CATEGORY],Table122426[[#This Row],[CATEGORY]],Pre[GROUPING],"Nov")</f>
        <v>0</v>
      </c>
      <c r="Y38">
        <f>SUMIFS(Post[70],Post[CATEGORY],Table122426[[#This Row],[CATEGORY]],Pre[GROUPING],"Nov")</f>
        <v>0</v>
      </c>
      <c r="Z38">
        <f>SUMIFS(Post[71],Post[CATEGORY],Table122426[[#This Row],[CATEGORY]],Pre[GROUPING],"Nov")</f>
        <v>1</v>
      </c>
      <c r="AA38">
        <f>SUMIFS(Post[72],Post[CATEGORY],Table122426[[#This Row],[CATEGORY]],Pre[GROUPING],"Nov")</f>
        <v>0</v>
      </c>
      <c r="AB38">
        <f>SUMIFS(Post[73],Post[CATEGORY],Table122426[[#This Row],[CATEGORY]],Pre[GROUPING],"Nov")</f>
        <v>1</v>
      </c>
      <c r="AC38">
        <f>SUMIFS(Post[74],Post[CATEGORY],Table122426[[#This Row],[CATEGORY]],Pre[GROUPING],"Nov")</f>
        <v>0</v>
      </c>
      <c r="AD38">
        <f>SUMIFS(Post[75],Post[CATEGORY],Table122426[[#This Row],[CATEGORY]],Pre[GROUPING],"Nov")</f>
        <v>0</v>
      </c>
      <c r="AE38">
        <f>SUM(Table122426[[#This Row],[47]:[75]])</f>
        <v>23</v>
      </c>
    </row>
    <row r="39" spans="1:31" x14ac:dyDescent="0.2">
      <c r="A39" t="s">
        <v>37</v>
      </c>
      <c r="B39">
        <f>SUMIFS(Post[47],Post[CATEGORY],Table122426[[#This Row],[CATEGORY]],Pre[GROUPING],"Nov")</f>
        <v>3</v>
      </c>
      <c r="C39">
        <f>SUMIFS(Post[48],Post[CATEGORY],Table122426[[#This Row],[CATEGORY]],Pre[GROUPING],"Nov")</f>
        <v>0</v>
      </c>
      <c r="D39">
        <f>SUMIFS(Post[49],Post[CATEGORY],Table122426[[#This Row],[CATEGORY]],Pre[GROUPING],"Nov")</f>
        <v>3</v>
      </c>
      <c r="E39">
        <f>SUMIFS(Post[50],Post[CATEGORY],Table122426[[#This Row],[CATEGORY]],Pre[GROUPING],"Nov")</f>
        <v>0</v>
      </c>
      <c r="F39">
        <f>SUMIFS(Post[51],Post[CATEGORY],Table122426[[#This Row],[CATEGORY]],Pre[GROUPING],"Nov")</f>
        <v>2</v>
      </c>
      <c r="G39">
        <f>SUMIFS(Post[52],Post[CATEGORY],Table122426[[#This Row],[CATEGORY]],Pre[GROUPING],"Nov")</f>
        <v>1</v>
      </c>
      <c r="H39">
        <f>SUMIFS(Post[53],Post[CATEGORY],Table122426[[#This Row],[CATEGORY]],Pre[GROUPING],"Nov")</f>
        <v>0</v>
      </c>
      <c r="I39">
        <f>SUMIFS(Post[54],Post[CATEGORY],Table122426[[#This Row],[CATEGORY]],Pre[GROUPING],"Nov")</f>
        <v>4</v>
      </c>
      <c r="J39">
        <f>SUMIFS(Post[55],Post[CATEGORY],Table122426[[#This Row],[CATEGORY]],Pre[GROUPING],"Nov")</f>
        <v>4</v>
      </c>
      <c r="K39">
        <f>SUMIFS(Post[56],Post[CATEGORY],Table122426[[#This Row],[CATEGORY]],Pre[GROUPING],"Nov")</f>
        <v>1</v>
      </c>
      <c r="L39">
        <f>SUMIFS(Post[57],Post[CATEGORY],Table122426[[#This Row],[CATEGORY]],Pre[GROUPING],"Nov")</f>
        <v>3</v>
      </c>
      <c r="M39">
        <f>SUMIFS(Post[58],Post[CATEGORY],Table122426[[#This Row],[CATEGORY]],Pre[GROUPING],"Nov")</f>
        <v>3</v>
      </c>
      <c r="N39">
        <f>SUMIFS(Post[59],Post[CATEGORY],Table122426[[#This Row],[CATEGORY]],Pre[GROUPING],"Nov")</f>
        <v>2</v>
      </c>
      <c r="O39">
        <f>SUMIFS(Post[60],Post[CATEGORY],Table122426[[#This Row],[CATEGORY]],Pre[GROUPING],"Nov")</f>
        <v>3</v>
      </c>
      <c r="P39">
        <f>SUMIFS(Post[61],Post[CATEGORY],Table122426[[#This Row],[CATEGORY]],Pre[GROUPING],"Nov")</f>
        <v>2</v>
      </c>
      <c r="Q39">
        <f>SUMIFS(Post[62],Post[CATEGORY],Table122426[[#This Row],[CATEGORY]],Pre[GROUPING],"Nov")</f>
        <v>4</v>
      </c>
      <c r="R39">
        <f>SUMIFS(Post[63],Post[CATEGORY],Table122426[[#This Row],[CATEGORY]],Pre[GROUPING],"Nov")</f>
        <v>4</v>
      </c>
      <c r="S39">
        <f>SUMIFS(Post[64],Post[CATEGORY],Table122426[[#This Row],[CATEGORY]],Pre[GROUPING],"Nov")</f>
        <v>2</v>
      </c>
      <c r="T39">
        <f>SUMIFS(Post[65],Post[CATEGORY],Table122426[[#This Row],[CATEGORY]],Pre[GROUPING],"Nov")</f>
        <v>4</v>
      </c>
      <c r="U39">
        <f>SUMIFS(Post[66],Post[CATEGORY],Table122426[[#This Row],[CATEGORY]],Pre[GROUPING],"Nov")</f>
        <v>0</v>
      </c>
      <c r="V39">
        <f>SUMIFS(Post[67],Post[CATEGORY],Table122426[[#This Row],[CATEGORY]],Pre[GROUPING],"Nov")</f>
        <v>2</v>
      </c>
      <c r="W39">
        <f>SUMIFS(Post[68],Post[CATEGORY],Table122426[[#This Row],[CATEGORY]],Pre[GROUPING],"Nov")</f>
        <v>2</v>
      </c>
      <c r="X39">
        <f>SUMIFS(Post[69],Post[CATEGORY],Table122426[[#This Row],[CATEGORY]],Pre[GROUPING],"Nov")</f>
        <v>2</v>
      </c>
      <c r="Y39">
        <f>SUMIFS(Post[70],Post[CATEGORY],Table122426[[#This Row],[CATEGORY]],Pre[GROUPING],"Nov")</f>
        <v>1</v>
      </c>
      <c r="Z39">
        <f>SUMIFS(Post[71],Post[CATEGORY],Table122426[[#This Row],[CATEGORY]],Pre[GROUPING],"Nov")</f>
        <v>2</v>
      </c>
      <c r="AA39">
        <f>SUMIFS(Post[72],Post[CATEGORY],Table122426[[#This Row],[CATEGORY]],Pre[GROUPING],"Nov")</f>
        <v>2</v>
      </c>
      <c r="AB39">
        <f>SUMIFS(Post[73],Post[CATEGORY],Table122426[[#This Row],[CATEGORY]],Pre[GROUPING],"Nov")</f>
        <v>3</v>
      </c>
      <c r="AC39">
        <f>SUMIFS(Post[74],Post[CATEGORY],Table122426[[#This Row],[CATEGORY]],Pre[GROUPING],"Nov")</f>
        <v>1</v>
      </c>
      <c r="AD39">
        <f>SUMIFS(Post[75],Post[CATEGORY],Table122426[[#This Row],[CATEGORY]],Pre[GROUPING],"Nov")</f>
        <v>3</v>
      </c>
      <c r="AE39">
        <f>SUM(Table122426[[#This Row],[47]:[75]])</f>
        <v>63</v>
      </c>
    </row>
    <row r="40" spans="1:31" x14ac:dyDescent="0.2">
      <c r="A40" t="s">
        <v>40</v>
      </c>
      <c r="B40">
        <f>SUMIFS(Post[47],Post[CATEGORY],Table122426[[#This Row],[CATEGORY]],Pre[GROUPING],"Nov")</f>
        <v>1</v>
      </c>
      <c r="C40">
        <f>SUMIFS(Post[48],Post[CATEGORY],Table122426[[#This Row],[CATEGORY]],Pre[GROUPING],"Nov")</f>
        <v>0</v>
      </c>
      <c r="D40">
        <f>SUMIFS(Post[49],Post[CATEGORY],Table122426[[#This Row],[CATEGORY]],Pre[GROUPING],"Nov")</f>
        <v>2</v>
      </c>
      <c r="E40">
        <f>SUMIFS(Post[50],Post[CATEGORY],Table122426[[#This Row],[CATEGORY]],Pre[GROUPING],"Nov")</f>
        <v>4</v>
      </c>
      <c r="F40">
        <f>SUMIFS(Post[51],Post[CATEGORY],Table122426[[#This Row],[CATEGORY]],Pre[GROUPING],"Nov")</f>
        <v>1</v>
      </c>
      <c r="G40">
        <f>SUMIFS(Post[52],Post[CATEGORY],Table122426[[#This Row],[CATEGORY]],Pre[GROUPING],"Nov")</f>
        <v>1</v>
      </c>
      <c r="H40">
        <f>SUMIFS(Post[53],Post[CATEGORY],Table122426[[#This Row],[CATEGORY]],Pre[GROUPING],"Nov")</f>
        <v>0</v>
      </c>
      <c r="I40">
        <f>SUMIFS(Post[54],Post[CATEGORY],Table122426[[#This Row],[CATEGORY]],Pre[GROUPING],"Nov")</f>
        <v>2</v>
      </c>
      <c r="J40">
        <f>SUMIFS(Post[55],Post[CATEGORY],Table122426[[#This Row],[CATEGORY]],Pre[GROUPING],"Nov")</f>
        <v>0</v>
      </c>
      <c r="K40">
        <f>SUMIFS(Post[56],Post[CATEGORY],Table122426[[#This Row],[CATEGORY]],Pre[GROUPING],"Nov")</f>
        <v>1</v>
      </c>
      <c r="L40">
        <f>SUMIFS(Post[57],Post[CATEGORY],Table122426[[#This Row],[CATEGORY]],Pre[GROUPING],"Nov")</f>
        <v>1</v>
      </c>
      <c r="M40">
        <f>SUMIFS(Post[58],Post[CATEGORY],Table122426[[#This Row],[CATEGORY]],Pre[GROUPING],"Nov")</f>
        <v>0</v>
      </c>
      <c r="N40">
        <f>SUMIFS(Post[59],Post[CATEGORY],Table122426[[#This Row],[CATEGORY]],Pre[GROUPING],"Nov")</f>
        <v>1</v>
      </c>
      <c r="O40">
        <f>SUMIFS(Post[60],Post[CATEGORY],Table122426[[#This Row],[CATEGORY]],Pre[GROUPING],"Nov")</f>
        <v>1</v>
      </c>
      <c r="P40">
        <f>SUMIFS(Post[61],Post[CATEGORY],Table122426[[#This Row],[CATEGORY]],Pre[GROUPING],"Nov")</f>
        <v>1</v>
      </c>
      <c r="Q40">
        <f>SUMIFS(Post[62],Post[CATEGORY],Table122426[[#This Row],[CATEGORY]],Pre[GROUPING],"Nov")</f>
        <v>1</v>
      </c>
      <c r="R40">
        <f>SUMIFS(Post[63],Post[CATEGORY],Table122426[[#This Row],[CATEGORY]],Pre[GROUPING],"Nov")</f>
        <v>0</v>
      </c>
      <c r="S40">
        <f>SUMIFS(Post[64],Post[CATEGORY],Table122426[[#This Row],[CATEGORY]],Pre[GROUPING],"Nov")</f>
        <v>3</v>
      </c>
      <c r="T40">
        <f>SUMIFS(Post[65],Post[CATEGORY],Table122426[[#This Row],[CATEGORY]],Pre[GROUPING],"Nov")</f>
        <v>2</v>
      </c>
      <c r="U40">
        <f>SUMIFS(Post[66],Post[CATEGORY],Table122426[[#This Row],[CATEGORY]],Pre[GROUPING],"Nov")</f>
        <v>1</v>
      </c>
      <c r="V40">
        <f>SUMIFS(Post[67],Post[CATEGORY],Table122426[[#This Row],[CATEGORY]],Pre[GROUPING],"Nov")</f>
        <v>0</v>
      </c>
      <c r="W40">
        <f>SUMIFS(Post[68],Post[CATEGORY],Table122426[[#This Row],[CATEGORY]],Pre[GROUPING],"Nov")</f>
        <v>0</v>
      </c>
      <c r="X40">
        <f>SUMIFS(Post[69],Post[CATEGORY],Table122426[[#This Row],[CATEGORY]],Pre[GROUPING],"Nov")</f>
        <v>0</v>
      </c>
      <c r="Y40">
        <f>SUMIFS(Post[70],Post[CATEGORY],Table122426[[#This Row],[CATEGORY]],Pre[GROUPING],"Nov")</f>
        <v>3</v>
      </c>
      <c r="Z40">
        <f>SUMIFS(Post[71],Post[CATEGORY],Table122426[[#This Row],[CATEGORY]],Pre[GROUPING],"Nov")</f>
        <v>0</v>
      </c>
      <c r="AA40">
        <f>SUMIFS(Post[72],Post[CATEGORY],Table122426[[#This Row],[CATEGORY]],Pre[GROUPING],"Nov")</f>
        <v>1</v>
      </c>
      <c r="AB40">
        <f>SUMIFS(Post[73],Post[CATEGORY],Table122426[[#This Row],[CATEGORY]],Pre[GROUPING],"Nov")</f>
        <v>0</v>
      </c>
      <c r="AC40">
        <f>SUMIFS(Post[74],Post[CATEGORY],Table122426[[#This Row],[CATEGORY]],Pre[GROUPING],"Nov")</f>
        <v>2</v>
      </c>
      <c r="AD40">
        <f>SUMIFS(Post[75],Post[CATEGORY],Table122426[[#This Row],[CATEGORY]],Pre[GROUPING],"Nov")</f>
        <v>1</v>
      </c>
      <c r="AE40">
        <f>SUM(Table122426[[#This Row],[47]:[75]])</f>
        <v>30</v>
      </c>
    </row>
    <row r="41" spans="1:31" x14ac:dyDescent="0.2">
      <c r="A41" t="s">
        <v>147</v>
      </c>
      <c r="B41">
        <f>SUBTOTAL(109,Table122426[47])</f>
        <v>204</v>
      </c>
      <c r="C41">
        <f>SUBTOTAL(109,Table122426[48])</f>
        <v>178</v>
      </c>
      <c r="D41">
        <f>SUBTOTAL(109,Table122426[49])</f>
        <v>193</v>
      </c>
      <c r="E41">
        <f>SUBTOTAL(109,Table122426[50])</f>
        <v>187</v>
      </c>
      <c r="F41">
        <f>SUBTOTAL(109,Table122426[51])</f>
        <v>187</v>
      </c>
      <c r="G41">
        <f>SUBTOTAL(109,Table122426[52])</f>
        <v>159</v>
      </c>
      <c r="H41">
        <f>SUBTOTAL(109,Table122426[53])</f>
        <v>0</v>
      </c>
      <c r="I41">
        <f>SUBTOTAL(109,Table122426[54])</f>
        <v>150</v>
      </c>
      <c r="J41">
        <f>SUBTOTAL(109,Table122426[55])</f>
        <v>171</v>
      </c>
      <c r="K41">
        <f>SUBTOTAL(109,Table122426[56])</f>
        <v>146</v>
      </c>
      <c r="L41">
        <f>SUBTOTAL(109,Table122426[57])</f>
        <v>169</v>
      </c>
      <c r="M41">
        <f>SUBTOTAL(109,Table122426[58])</f>
        <v>168</v>
      </c>
      <c r="N41">
        <f>SUBTOTAL(109,Table122426[59])</f>
        <v>140</v>
      </c>
      <c r="O41">
        <f>SUBTOTAL(109,Table122426[60])</f>
        <v>153</v>
      </c>
      <c r="P41">
        <f>SUBTOTAL(109,Table122426[61])</f>
        <v>174</v>
      </c>
      <c r="Q41">
        <f>SUBTOTAL(109,Table122426[62])</f>
        <v>186</v>
      </c>
      <c r="R41">
        <f>SUBTOTAL(109,Table122426[63])</f>
        <v>172</v>
      </c>
      <c r="S41">
        <f>SUBTOTAL(109,Table122426[64])</f>
        <v>197</v>
      </c>
      <c r="T41">
        <f>SUBTOTAL(109,Table122426[65])</f>
        <v>147</v>
      </c>
      <c r="U41">
        <f>SUBTOTAL(109,Table122426[66])</f>
        <v>160</v>
      </c>
      <c r="V41">
        <f>SUBTOTAL(109,Table122426[67])</f>
        <v>161</v>
      </c>
      <c r="W41">
        <f>SUBTOTAL(109,Table122426[68])</f>
        <v>174</v>
      </c>
      <c r="X41">
        <f>SUBTOTAL(109,Table122426[69])</f>
        <v>187</v>
      </c>
      <c r="Y41">
        <f>SUBTOTAL(109,Table122426[70])</f>
        <v>191</v>
      </c>
      <c r="Z41">
        <f>SUBTOTAL(109,Table122426[71])</f>
        <v>164</v>
      </c>
      <c r="AA41">
        <f>SUBTOTAL(109,Table122426[72])</f>
        <v>182</v>
      </c>
      <c r="AB41">
        <f>SUBTOTAL(109,Table122426[73])</f>
        <v>184</v>
      </c>
      <c r="AC41">
        <f>SUBTOTAL(109,Table122426[74])</f>
        <v>156</v>
      </c>
      <c r="AD41">
        <f>SUBTOTAL(109,Table122426[75])</f>
        <v>88</v>
      </c>
      <c r="AE41">
        <f>SUBTOTAL(109,Table122426[SCRIPTS])</f>
        <v>4728</v>
      </c>
    </row>
  </sheetData>
  <phoneticPr fontId="4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88-28BC-634B-A09F-D248CFAFAA8F}">
  <dimension ref="B2:Z66"/>
  <sheetViews>
    <sheetView tabSelected="1" zoomScale="116" workbookViewId="0">
      <selection activeCell="D71" sqref="D71"/>
    </sheetView>
  </sheetViews>
  <sheetFormatPr baseColWidth="10" defaultRowHeight="15" x14ac:dyDescent="0.2"/>
  <cols>
    <col min="5" max="5" width="10.6640625" customWidth="1"/>
  </cols>
  <sheetData>
    <row r="2" spans="2:22" ht="16" thickBot="1" x14ac:dyDescent="0.25">
      <c r="D2" s="34" t="s">
        <v>164</v>
      </c>
      <c r="E2" s="34"/>
      <c r="F2" s="34" t="s">
        <v>169</v>
      </c>
      <c r="G2" s="34"/>
      <c r="H2" s="34" t="s">
        <v>170</v>
      </c>
      <c r="I2" s="34"/>
    </row>
    <row r="3" spans="2:22" x14ac:dyDescent="0.2">
      <c r="B3" s="20" t="s">
        <v>179</v>
      </c>
      <c r="C3" s="20"/>
      <c r="D3" s="21" t="s">
        <v>51</v>
      </c>
      <c r="E3" s="32">
        <v>408</v>
      </c>
      <c r="F3" s="21" t="s">
        <v>48</v>
      </c>
      <c r="G3" s="32">
        <v>577</v>
      </c>
      <c r="H3" s="22" t="s">
        <v>57</v>
      </c>
      <c r="I3" s="23">
        <v>113</v>
      </c>
    </row>
    <row r="4" spans="2:22" x14ac:dyDescent="0.2">
      <c r="B4" s="20" t="s">
        <v>180</v>
      </c>
      <c r="C4" s="20"/>
      <c r="D4" s="24" t="s">
        <v>48</v>
      </c>
      <c r="E4" s="28">
        <v>764</v>
      </c>
      <c r="F4" s="24" t="s">
        <v>22</v>
      </c>
      <c r="G4" s="28">
        <v>776</v>
      </c>
      <c r="H4" s="25" t="s">
        <v>57</v>
      </c>
      <c r="I4" s="26">
        <v>172</v>
      </c>
    </row>
    <row r="5" spans="2:22" x14ac:dyDescent="0.2">
      <c r="B5" s="20"/>
      <c r="C5" s="20"/>
      <c r="D5" s="24"/>
      <c r="E5" s="27"/>
      <c r="F5" s="24"/>
      <c r="G5" s="27"/>
      <c r="H5" s="25"/>
      <c r="I5" s="27"/>
    </row>
    <row r="6" spans="2:22" x14ac:dyDescent="0.2">
      <c r="B6" s="20" t="s">
        <v>181</v>
      </c>
      <c r="C6" s="20"/>
      <c r="D6" s="24" t="s">
        <v>53</v>
      </c>
      <c r="E6" s="26">
        <v>3</v>
      </c>
      <c r="F6" s="24" t="s">
        <v>53</v>
      </c>
      <c r="G6" s="26">
        <v>30</v>
      </c>
      <c r="H6" s="25" t="s">
        <v>50</v>
      </c>
      <c r="I6" s="28">
        <v>6</v>
      </c>
    </row>
    <row r="7" spans="2:22" ht="16" thickBot="1" x14ac:dyDescent="0.25">
      <c r="B7" s="20" t="s">
        <v>182</v>
      </c>
      <c r="C7" s="20"/>
      <c r="D7" s="29" t="s">
        <v>53</v>
      </c>
      <c r="E7" s="33">
        <v>3</v>
      </c>
      <c r="F7" s="29" t="s">
        <v>53</v>
      </c>
      <c r="G7" s="33">
        <v>64</v>
      </c>
      <c r="H7" s="30" t="s">
        <v>60</v>
      </c>
      <c r="I7" s="31">
        <v>7</v>
      </c>
    </row>
    <row r="8" spans="2:22" ht="16" thickBot="1" x14ac:dyDescent="0.25"/>
    <row r="9" spans="2:22" x14ac:dyDescent="0.2">
      <c r="D9" s="20" t="s">
        <v>5</v>
      </c>
      <c r="E9" s="20" t="s">
        <v>42</v>
      </c>
      <c r="F9" s="20" t="s">
        <v>46</v>
      </c>
      <c r="G9" s="20" t="s">
        <v>48</v>
      </c>
      <c r="H9" s="20" t="s">
        <v>7</v>
      </c>
      <c r="I9" s="20" t="s">
        <v>50</v>
      </c>
      <c r="J9" s="20" t="s">
        <v>51</v>
      </c>
      <c r="K9" s="35" t="s">
        <v>154</v>
      </c>
      <c r="L9" s="20" t="s">
        <v>53</v>
      </c>
      <c r="M9" s="20" t="s">
        <v>56</v>
      </c>
      <c r="N9" s="20" t="s">
        <v>57</v>
      </c>
      <c r="O9" s="20" t="s">
        <v>58</v>
      </c>
      <c r="P9" s="20" t="s">
        <v>22</v>
      </c>
      <c r="Q9" s="20" t="s">
        <v>59</v>
      </c>
      <c r="R9" s="20" t="s">
        <v>60</v>
      </c>
      <c r="S9" s="20" t="s">
        <v>61</v>
      </c>
      <c r="T9" s="20" t="s">
        <v>62</v>
      </c>
      <c r="U9" s="35" t="s">
        <v>155</v>
      </c>
      <c r="V9" s="20" t="s">
        <v>147</v>
      </c>
    </row>
    <row r="10" spans="2:22" x14ac:dyDescent="0.2">
      <c r="B10" s="20" t="s">
        <v>176</v>
      </c>
      <c r="K10" s="18"/>
      <c r="U10" s="18"/>
    </row>
    <row r="11" spans="2:22" x14ac:dyDescent="0.2">
      <c r="C11" s="36" t="s">
        <v>162</v>
      </c>
      <c r="D11">
        <f>Pivot2!B18</f>
        <v>1.9285714285714286</v>
      </c>
      <c r="E11">
        <f>Pivot2!C18</f>
        <v>0.8571428571428571</v>
      </c>
      <c r="F11">
        <f>Pivot2!D18</f>
        <v>0.4642857142857143</v>
      </c>
      <c r="G11">
        <f>Pivot2!E18</f>
        <v>0.39285714285714285</v>
      </c>
      <c r="H11">
        <f>Pivot2!F18</f>
        <v>1.0357142857142858</v>
      </c>
      <c r="I11">
        <f>Pivot2!G18</f>
        <v>0.21428571428571427</v>
      </c>
      <c r="J11">
        <f>Pivot2!H18</f>
        <v>2.9285714285714284</v>
      </c>
      <c r="K11" s="18">
        <f>Pivot2!I18</f>
        <v>7.8214285714285712</v>
      </c>
      <c r="L11">
        <f>Pivot2!J18</f>
        <v>0</v>
      </c>
      <c r="M11">
        <f>Pivot2!K18</f>
        <v>0.5714285714285714</v>
      </c>
      <c r="N11">
        <f>Pivot2!L18</f>
        <v>4.0357142857142856</v>
      </c>
      <c r="O11">
        <f>Pivot2!M18</f>
        <v>1.3214285714285714</v>
      </c>
      <c r="P11">
        <f>Pivot2!N18</f>
        <v>2.5357142857142856</v>
      </c>
      <c r="Q11">
        <f>Pivot2!O18</f>
        <v>1.3571428571428572</v>
      </c>
      <c r="R11">
        <f>Pivot2!P18</f>
        <v>0.5357142857142857</v>
      </c>
      <c r="S11">
        <f>Pivot2!Q18</f>
        <v>2.0357142857142856</v>
      </c>
      <c r="T11">
        <f>Pivot2!R18</f>
        <v>2.25</v>
      </c>
      <c r="U11" s="18">
        <f>Pivot2!S18</f>
        <v>14.642857142857142</v>
      </c>
      <c r="V11">
        <f>Pivot2!T18</f>
        <v>22.464285714285715</v>
      </c>
    </row>
    <row r="12" spans="2:22" x14ac:dyDescent="0.2">
      <c r="C12" s="36" t="s">
        <v>163</v>
      </c>
      <c r="D12">
        <f>Pivot2!B19</f>
        <v>11.892857142857142</v>
      </c>
      <c r="E12">
        <f>Pivot2!C19</f>
        <v>3.25</v>
      </c>
      <c r="F12">
        <f>Pivot2!D19</f>
        <v>6.3571428571428568</v>
      </c>
      <c r="G12">
        <f>Pivot2!E19</f>
        <v>20.607142857142858</v>
      </c>
      <c r="H12">
        <f>Pivot2!F19</f>
        <v>7.7857142857142856</v>
      </c>
      <c r="I12">
        <f>Pivot2!G19</f>
        <v>2.5714285714285716</v>
      </c>
      <c r="J12">
        <f>Pivot2!H19</f>
        <v>11.928571428571429</v>
      </c>
      <c r="K12" s="18">
        <f>Pivot2!I19</f>
        <v>64.392857142857139</v>
      </c>
      <c r="L12">
        <f>Pivot2!J19</f>
        <v>1.0714285714285714</v>
      </c>
      <c r="M12">
        <f>Pivot2!K19</f>
        <v>12.571428571428571</v>
      </c>
      <c r="N12">
        <f>Pivot2!L19</f>
        <v>8.3214285714285712</v>
      </c>
      <c r="O12">
        <f>Pivot2!M19</f>
        <v>5.4285714285714288</v>
      </c>
      <c r="P12">
        <f>Pivot2!N19</f>
        <v>14.321428571428571</v>
      </c>
      <c r="Q12">
        <f>Pivot2!O19</f>
        <v>16.285714285714285</v>
      </c>
      <c r="R12">
        <f>Pivot2!P19</f>
        <v>4.5357142857142856</v>
      </c>
      <c r="S12">
        <f>Pivot2!Q19</f>
        <v>11.285714285714286</v>
      </c>
      <c r="T12">
        <f>Pivot2!R19</f>
        <v>10.535714285714286</v>
      </c>
      <c r="U12" s="18">
        <f>Pivot2!S19</f>
        <v>84.357142857142861</v>
      </c>
      <c r="V12">
        <f>Pivot2!T19</f>
        <v>148.75</v>
      </c>
    </row>
    <row r="13" spans="2:22" x14ac:dyDescent="0.2">
      <c r="C13" s="36" t="s">
        <v>164</v>
      </c>
      <c r="D13">
        <f>Pivot2!B20</f>
        <v>6.0714285714285712</v>
      </c>
      <c r="E13">
        <f>Pivot2!C20</f>
        <v>4.9642857142857144</v>
      </c>
      <c r="F13">
        <f>Pivot2!D20</f>
        <v>6.6785714285714288</v>
      </c>
      <c r="G13">
        <f>Pivot2!E20</f>
        <v>12.25</v>
      </c>
      <c r="H13">
        <f>Pivot2!F20</f>
        <v>9.3214285714285712</v>
      </c>
      <c r="I13">
        <f>Pivot2!G20</f>
        <v>0.9642857142857143</v>
      </c>
      <c r="J13">
        <f>Pivot2!H20</f>
        <v>14.571428571428571</v>
      </c>
      <c r="K13" s="18">
        <f>Pivot2!I20</f>
        <v>54.821428571428569</v>
      </c>
      <c r="L13">
        <f>Pivot2!J20</f>
        <v>0.10714285714285714</v>
      </c>
      <c r="M13">
        <f>Pivot2!K20</f>
        <v>8.3571428571428577</v>
      </c>
      <c r="N13">
        <f>Pivot2!L20</f>
        <v>11.964285714285714</v>
      </c>
      <c r="O13">
        <f>Pivot2!M20</f>
        <v>2.9642857142857144</v>
      </c>
      <c r="P13">
        <f>Pivot2!N20</f>
        <v>8.5714285714285712</v>
      </c>
      <c r="Q13">
        <f>Pivot2!O20</f>
        <v>9.9285714285714288</v>
      </c>
      <c r="R13">
        <f>Pivot2!P20</f>
        <v>3.25</v>
      </c>
      <c r="S13">
        <f>Pivot2!Q20</f>
        <v>6.3214285714285712</v>
      </c>
      <c r="T13">
        <f>Pivot2!R20</f>
        <v>9.75</v>
      </c>
      <c r="U13" s="18">
        <f>Pivot2!S20</f>
        <v>61.214285714285715</v>
      </c>
      <c r="V13">
        <f>Pivot2!T20</f>
        <v>116.03571428571429</v>
      </c>
    </row>
    <row r="14" spans="2:22" x14ac:dyDescent="0.2">
      <c r="B14" s="20" t="s">
        <v>177</v>
      </c>
      <c r="C14" s="20"/>
      <c r="K14" s="18"/>
      <c r="U14" s="18"/>
    </row>
    <row r="15" spans="2:22" x14ac:dyDescent="0.2">
      <c r="C15" s="36" t="s">
        <v>162</v>
      </c>
      <c r="D15">
        <f>Pivot1!B19</f>
        <v>1.5217391304347827</v>
      </c>
      <c r="E15">
        <f>Pivot1!C19</f>
        <v>0.39130434782608697</v>
      </c>
      <c r="F15">
        <f>Pivot1!D19</f>
        <v>0.39130434782608697</v>
      </c>
      <c r="G15">
        <f>Pivot1!E19</f>
        <v>0.47826086956521741</v>
      </c>
      <c r="H15">
        <f>Pivot1!F19</f>
        <v>0.54347826086956519</v>
      </c>
      <c r="I15">
        <f>Pivot1!G19</f>
        <v>0.32608695652173914</v>
      </c>
      <c r="J15">
        <f>Pivot1!H19</f>
        <v>2.5869565217391304</v>
      </c>
      <c r="K15" s="18">
        <f>Pivot1!I19</f>
        <v>6.2391304347826084</v>
      </c>
      <c r="L15">
        <f>Pivot1!J19</f>
        <v>0</v>
      </c>
      <c r="M15">
        <f>Pivot1!K19</f>
        <v>0.54347826086956519</v>
      </c>
      <c r="N15">
        <f>Pivot1!L19</f>
        <v>3.7391304347826089</v>
      </c>
      <c r="O15">
        <f>Pivot1!M19</f>
        <v>0.58695652173913049</v>
      </c>
      <c r="P15">
        <f>Pivot1!N19</f>
        <v>3.3913043478260869</v>
      </c>
      <c r="Q15">
        <f>Pivot1!O19</f>
        <v>1.2173913043478262</v>
      </c>
      <c r="R15">
        <f>Pivot1!P19</f>
        <v>0.15217391304347827</v>
      </c>
      <c r="S15">
        <f>Pivot1!Q19</f>
        <v>0.82608695652173914</v>
      </c>
      <c r="T15">
        <f>Pivot1!R19</f>
        <v>2.2391304347826089</v>
      </c>
      <c r="U15" s="18">
        <f>Pivot1!S19</f>
        <v>12.695652173913043</v>
      </c>
      <c r="V15">
        <f>Pivot1!T19</f>
        <v>18.934782608695652</v>
      </c>
    </row>
    <row r="16" spans="2:22" x14ac:dyDescent="0.2">
      <c r="C16" s="36" t="s">
        <v>163</v>
      </c>
      <c r="D16">
        <f>Pivot1!B20</f>
        <v>13.347826086956522</v>
      </c>
      <c r="E16">
        <f>Pivot1!C20</f>
        <v>3.2826086956521738</v>
      </c>
      <c r="F16">
        <f>Pivot1!D20</f>
        <v>6.6086956521739131</v>
      </c>
      <c r="G16">
        <f>Pivot1!E20</f>
        <v>15.717391304347826</v>
      </c>
      <c r="H16">
        <f>Pivot1!F20</f>
        <v>8.3260869565217384</v>
      </c>
      <c r="I16">
        <f>Pivot1!G20</f>
        <v>2.9130434782608696</v>
      </c>
      <c r="J16">
        <f>Pivot1!H20</f>
        <v>11.891304347826088</v>
      </c>
      <c r="K16" s="18">
        <f>Pivot1!I20</f>
        <v>62.086956521739133</v>
      </c>
      <c r="L16">
        <f>Pivot1!J20</f>
        <v>1.3913043478260869</v>
      </c>
      <c r="M16">
        <f>Pivot1!K20</f>
        <v>13.108695652173912</v>
      </c>
      <c r="N16">
        <f>Pivot1!L20</f>
        <v>10.978260869565217</v>
      </c>
      <c r="O16">
        <f>Pivot1!M20</f>
        <v>6.1956521739130439</v>
      </c>
      <c r="P16">
        <f>Pivot1!N20</f>
        <v>16.869565217391305</v>
      </c>
      <c r="Q16">
        <f>Pivot1!O20</f>
        <v>15.934782608695652</v>
      </c>
      <c r="R16">
        <f>Pivot1!P20</f>
        <v>4.5652173913043477</v>
      </c>
      <c r="S16">
        <f>Pivot1!Q20</f>
        <v>10.282608695652174</v>
      </c>
      <c r="T16">
        <f>Pivot1!R20</f>
        <v>10.869565217391305</v>
      </c>
      <c r="U16" s="18">
        <f>Pivot1!S20</f>
        <v>90.195652173913047</v>
      </c>
      <c r="V16">
        <f>Pivot1!T20</f>
        <v>152.28260869565219</v>
      </c>
    </row>
    <row r="17" spans="2:22" x14ac:dyDescent="0.2">
      <c r="C17" s="36" t="s">
        <v>164</v>
      </c>
      <c r="D17">
        <f>Pivot1!B21</f>
        <v>8.0652173913043477</v>
      </c>
      <c r="E17">
        <f>Pivot1!C21</f>
        <v>6.3695652173913047</v>
      </c>
      <c r="F17">
        <f>Pivot1!D21</f>
        <v>8.0652173913043477</v>
      </c>
      <c r="G17">
        <f>Pivot1!E21</f>
        <v>16.608695652173914</v>
      </c>
      <c r="H17">
        <f>Pivot1!F21</f>
        <v>10.608695652173912</v>
      </c>
      <c r="I17">
        <f>Pivot1!G21</f>
        <v>1.5869565217391304</v>
      </c>
      <c r="J17">
        <f>Pivot1!H21</f>
        <v>13.978260869565217</v>
      </c>
      <c r="K17" s="18">
        <f>Pivot1!I21</f>
        <v>62.086956521739133</v>
      </c>
      <c r="L17">
        <f>Pivot1!J21</f>
        <v>6.5217391304347824E-2</v>
      </c>
      <c r="M17">
        <f>Pivot1!K21</f>
        <v>9.5217391304347831</v>
      </c>
      <c r="N17">
        <f>Pivot1!L21</f>
        <v>14.217391304347826</v>
      </c>
      <c r="O17">
        <f>Pivot1!M21</f>
        <v>4.0652173913043477</v>
      </c>
      <c r="P17">
        <f>Pivot1!N21</f>
        <v>7.7391304347826084</v>
      </c>
      <c r="Q17">
        <f>Pivot1!O21</f>
        <v>10.130434782608695</v>
      </c>
      <c r="R17">
        <f>Pivot1!P21</f>
        <v>4.7173913043478262</v>
      </c>
      <c r="S17">
        <f>Pivot1!Q21</f>
        <v>6.8695652173913047</v>
      </c>
      <c r="T17">
        <f>Pivot1!R21</f>
        <v>10.847826086956522</v>
      </c>
      <c r="U17" s="18">
        <f>Pivot1!S21</f>
        <v>68.173913043478265</v>
      </c>
      <c r="V17">
        <f>Pivot1!T21</f>
        <v>133.45652173913044</v>
      </c>
    </row>
    <row r="18" spans="2:22" x14ac:dyDescent="0.2">
      <c r="B18" s="20" t="s">
        <v>178</v>
      </c>
      <c r="C18" s="20"/>
      <c r="K18" s="18"/>
      <c r="U18" s="18"/>
    </row>
    <row r="19" spans="2:22" x14ac:dyDescent="0.2">
      <c r="C19" s="36" t="s">
        <v>162</v>
      </c>
      <c r="D19">
        <f>D15-D11</f>
        <v>-0.4068322981366459</v>
      </c>
      <c r="E19">
        <f t="shared" ref="E19:V19" si="0">E15-E11</f>
        <v>-0.46583850931677012</v>
      </c>
      <c r="F19">
        <f t="shared" si="0"/>
        <v>-7.2981366459627328E-2</v>
      </c>
      <c r="G19">
        <f t="shared" si="0"/>
        <v>8.5403726708074557E-2</v>
      </c>
      <c r="H19">
        <f t="shared" si="0"/>
        <v>-0.49223602484472062</v>
      </c>
      <c r="I19">
        <f t="shared" si="0"/>
        <v>0.11180124223602486</v>
      </c>
      <c r="J19">
        <f t="shared" si="0"/>
        <v>-0.341614906832298</v>
      </c>
      <c r="K19" s="18">
        <f t="shared" si="0"/>
        <v>-1.5822981366459627</v>
      </c>
      <c r="L19">
        <f t="shared" si="0"/>
        <v>0</v>
      </c>
      <c r="M19">
        <f t="shared" si="0"/>
        <v>-2.7950310559006208E-2</v>
      </c>
      <c r="N19">
        <f t="shared" si="0"/>
        <v>-0.29658385093167672</v>
      </c>
      <c r="O19">
        <f t="shared" si="0"/>
        <v>-0.73447204968944091</v>
      </c>
      <c r="P19">
        <f t="shared" si="0"/>
        <v>0.85559006211180133</v>
      </c>
      <c r="Q19">
        <f t="shared" si="0"/>
        <v>-0.13975155279503104</v>
      </c>
      <c r="R19">
        <f t="shared" si="0"/>
        <v>-0.38354037267080743</v>
      </c>
      <c r="S19">
        <f t="shared" si="0"/>
        <v>-1.2096273291925463</v>
      </c>
      <c r="T19">
        <f t="shared" si="0"/>
        <v>-1.0869565217391131E-2</v>
      </c>
      <c r="U19" s="18">
        <f t="shared" si="0"/>
        <v>-1.9472049689440993</v>
      </c>
      <c r="V19">
        <f t="shared" si="0"/>
        <v>-3.529503105590063</v>
      </c>
    </row>
    <row r="20" spans="2:22" x14ac:dyDescent="0.2">
      <c r="C20" s="36" t="s">
        <v>163</v>
      </c>
      <c r="D20">
        <f t="shared" ref="D20:V20" si="1">D16-D12</f>
        <v>1.4549689440993792</v>
      </c>
      <c r="E20">
        <f t="shared" si="1"/>
        <v>3.2608695652173836E-2</v>
      </c>
      <c r="F20">
        <f t="shared" si="1"/>
        <v>0.25155279503105632</v>
      </c>
      <c r="G20">
        <f t="shared" si="1"/>
        <v>-4.8897515527950315</v>
      </c>
      <c r="H20">
        <f t="shared" si="1"/>
        <v>0.54037267080745277</v>
      </c>
      <c r="I20">
        <f t="shared" si="1"/>
        <v>0.341614906832298</v>
      </c>
      <c r="J20">
        <f t="shared" si="1"/>
        <v>-3.7267080745341019E-2</v>
      </c>
      <c r="K20" s="18">
        <f t="shared" si="1"/>
        <v>-2.3059006211180062</v>
      </c>
      <c r="L20">
        <f t="shared" si="1"/>
        <v>0.31987577639751552</v>
      </c>
      <c r="M20">
        <f t="shared" si="1"/>
        <v>0.53726708074534102</v>
      </c>
      <c r="N20">
        <f t="shared" si="1"/>
        <v>2.6568322981366457</v>
      </c>
      <c r="O20">
        <f t="shared" si="1"/>
        <v>0.76708074534161508</v>
      </c>
      <c r="P20">
        <f t="shared" si="1"/>
        <v>2.5481366459627335</v>
      </c>
      <c r="Q20">
        <f t="shared" si="1"/>
        <v>-0.35093167701863237</v>
      </c>
      <c r="R20">
        <f t="shared" si="1"/>
        <v>2.9503105590062084E-2</v>
      </c>
      <c r="S20">
        <f t="shared" si="1"/>
        <v>-1.0031055900621126</v>
      </c>
      <c r="T20">
        <f t="shared" si="1"/>
        <v>0.33385093167701818</v>
      </c>
      <c r="U20" s="18">
        <f t="shared" si="1"/>
        <v>5.8385093167701854</v>
      </c>
      <c r="V20">
        <f t="shared" si="1"/>
        <v>3.5326086956521863</v>
      </c>
    </row>
    <row r="21" spans="2:22" ht="16" thickBot="1" x14ac:dyDescent="0.25">
      <c r="C21" s="36" t="s">
        <v>164</v>
      </c>
      <c r="D21">
        <f t="shared" ref="D21:V21" si="2">D17-D13</f>
        <v>1.9937888198757765</v>
      </c>
      <c r="E21">
        <f t="shared" si="2"/>
        <v>1.4052795031055902</v>
      </c>
      <c r="F21">
        <f t="shared" si="2"/>
        <v>1.3866459627329188</v>
      </c>
      <c r="G21">
        <f t="shared" si="2"/>
        <v>4.358695652173914</v>
      </c>
      <c r="H21">
        <f t="shared" si="2"/>
        <v>1.287267080745341</v>
      </c>
      <c r="I21">
        <f t="shared" si="2"/>
        <v>0.62267080745341608</v>
      </c>
      <c r="J21">
        <f t="shared" si="2"/>
        <v>-0.59316770186335432</v>
      </c>
      <c r="K21" s="18">
        <f t="shared" si="2"/>
        <v>7.2655279503105632</v>
      </c>
      <c r="L21">
        <f t="shared" si="2"/>
        <v>-4.1925465838509313E-2</v>
      </c>
      <c r="M21">
        <f t="shared" si="2"/>
        <v>1.1645962732919255</v>
      </c>
      <c r="N21">
        <f t="shared" si="2"/>
        <v>2.2531055900621126</v>
      </c>
      <c r="O21">
        <f t="shared" si="2"/>
        <v>1.1009316770186333</v>
      </c>
      <c r="P21">
        <f t="shared" si="2"/>
        <v>-0.83229813664596275</v>
      </c>
      <c r="Q21">
        <f t="shared" si="2"/>
        <v>0.20186335403726652</v>
      </c>
      <c r="R21">
        <f t="shared" si="2"/>
        <v>1.4673913043478262</v>
      </c>
      <c r="S21">
        <f t="shared" si="2"/>
        <v>0.54813664596273348</v>
      </c>
      <c r="T21">
        <f t="shared" si="2"/>
        <v>1.0978260869565215</v>
      </c>
      <c r="U21" s="18">
        <f t="shared" si="2"/>
        <v>6.9596273291925499</v>
      </c>
      <c r="V21">
        <f t="shared" si="2"/>
        <v>17.420807453416145</v>
      </c>
    </row>
    <row r="22" spans="2:22" ht="16" thickBot="1" x14ac:dyDescent="0.25">
      <c r="B22" s="38" t="s">
        <v>190</v>
      </c>
      <c r="C22" s="39"/>
      <c r="D22" s="39">
        <f>SUM(D19:D21)/3</f>
        <v>1.0139751552795033</v>
      </c>
      <c r="E22" s="39">
        <f t="shared" ref="E22:V22" si="3">SUM(E19:E21)/3</f>
        <v>0.324016563146998</v>
      </c>
      <c r="F22" s="39">
        <f t="shared" si="3"/>
        <v>0.52173913043478259</v>
      </c>
      <c r="G22" s="39">
        <f t="shared" si="3"/>
        <v>-0.14855072463768101</v>
      </c>
      <c r="H22" s="39">
        <f t="shared" si="3"/>
        <v>0.4451345755693577</v>
      </c>
      <c r="I22" s="39">
        <f t="shared" si="3"/>
        <v>0.35869565217391292</v>
      </c>
      <c r="J22" s="39">
        <f t="shared" si="3"/>
        <v>-0.32401656314699778</v>
      </c>
      <c r="K22" s="40">
        <f t="shared" si="3"/>
        <v>1.1257763975155315</v>
      </c>
      <c r="L22" s="39">
        <f t="shared" si="3"/>
        <v>9.2650103519668736E-2</v>
      </c>
      <c r="M22" s="39">
        <f t="shared" si="3"/>
        <v>0.55797101449275344</v>
      </c>
      <c r="N22" s="39">
        <f t="shared" si="3"/>
        <v>1.5377846790890271</v>
      </c>
      <c r="O22" s="39">
        <f t="shared" si="3"/>
        <v>0.37784679089026918</v>
      </c>
      <c r="P22" s="39">
        <f t="shared" si="3"/>
        <v>0.85714285714285732</v>
      </c>
      <c r="Q22" s="39">
        <f t="shared" si="3"/>
        <v>-9.6273291925465632E-2</v>
      </c>
      <c r="R22" s="39">
        <f t="shared" si="3"/>
        <v>0.37111801242236025</v>
      </c>
      <c r="S22" s="39">
        <f t="shared" si="3"/>
        <v>-0.5548654244306418</v>
      </c>
      <c r="T22" s="39">
        <f t="shared" si="3"/>
        <v>0.4736024844720495</v>
      </c>
      <c r="U22" s="40">
        <f t="shared" si="3"/>
        <v>3.6169772256728785</v>
      </c>
      <c r="V22" s="40">
        <f t="shared" si="3"/>
        <v>5.8079710144927565</v>
      </c>
    </row>
    <row r="25" spans="2:22" x14ac:dyDescent="0.2">
      <c r="B25" t="s">
        <v>183</v>
      </c>
      <c r="E25" t="s">
        <v>184</v>
      </c>
    </row>
    <row r="28" spans="2:22" x14ac:dyDescent="0.2">
      <c r="B28" t="s">
        <v>185</v>
      </c>
      <c r="F28" t="s">
        <v>186</v>
      </c>
      <c r="G28">
        <v>2</v>
      </c>
      <c r="I28" t="s">
        <v>188</v>
      </c>
    </row>
    <row r="29" spans="2:22" x14ac:dyDescent="0.2">
      <c r="F29" t="s">
        <v>187</v>
      </c>
      <c r="G29">
        <v>2</v>
      </c>
    </row>
    <row r="32" spans="2:22" x14ac:dyDescent="0.2">
      <c r="B32" s="37" t="s">
        <v>189</v>
      </c>
    </row>
    <row r="33" spans="2:26" x14ac:dyDescent="0.2">
      <c r="C33" t="s">
        <v>191</v>
      </c>
    </row>
    <row r="34" spans="2:26" x14ac:dyDescent="0.2">
      <c r="C34" s="41" t="s">
        <v>192</v>
      </c>
    </row>
    <row r="36" spans="2:26" x14ac:dyDescent="0.2">
      <c r="B36" s="19" t="s">
        <v>193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O36" s="19" t="s">
        <v>194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43" spans="2:26" x14ac:dyDescent="0.2">
      <c r="C43" s="16"/>
    </row>
    <row r="44" spans="2:26" x14ac:dyDescent="0.2">
      <c r="D44" s="16"/>
    </row>
    <row r="45" spans="2:26" x14ac:dyDescent="0.2">
      <c r="D45" s="16"/>
    </row>
    <row r="55" spans="2:4" x14ac:dyDescent="0.2">
      <c r="C55" s="37" t="s">
        <v>171</v>
      </c>
    </row>
    <row r="56" spans="2:4" x14ac:dyDescent="0.2">
      <c r="D56" s="16" t="s">
        <v>172</v>
      </c>
    </row>
    <row r="57" spans="2:4" x14ac:dyDescent="0.2">
      <c r="D57" s="41" t="s">
        <v>195</v>
      </c>
    </row>
    <row r="58" spans="2:4" x14ac:dyDescent="0.2">
      <c r="C58" s="37" t="s">
        <v>173</v>
      </c>
    </row>
    <row r="59" spans="2:4" x14ac:dyDescent="0.2">
      <c r="B59" s="16"/>
      <c r="D59" s="16" t="s">
        <v>172</v>
      </c>
    </row>
    <row r="60" spans="2:4" x14ac:dyDescent="0.2">
      <c r="D60" s="41" t="s">
        <v>196</v>
      </c>
    </row>
    <row r="61" spans="2:4" x14ac:dyDescent="0.2">
      <c r="C61" s="37" t="s">
        <v>174</v>
      </c>
    </row>
    <row r="62" spans="2:4" x14ac:dyDescent="0.2">
      <c r="D62" s="16" t="s">
        <v>175</v>
      </c>
    </row>
    <row r="63" spans="2:4" x14ac:dyDescent="0.2">
      <c r="D63" s="41" t="s">
        <v>196</v>
      </c>
    </row>
    <row r="66" spans="6:6" x14ac:dyDescent="0.2">
      <c r="F66" s="16"/>
    </row>
  </sheetData>
  <mergeCells count="5">
    <mergeCell ref="D2:E2"/>
    <mergeCell ref="F2:G2"/>
    <mergeCell ref="H2:I2"/>
    <mergeCell ref="B36:M36"/>
    <mergeCell ref="O36:Z36"/>
  </mergeCells>
  <conditionalFormatting sqref="D19:V19"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D20:V21">
    <cfRule type="cellIs" dxfId="2" priority="3" operator="greaterThan">
      <formula>0</formula>
    </cfRule>
    <cfRule type="cellIs" dxfId="1" priority="4" operator="lessThan">
      <formula>0</formula>
    </cfRule>
  </conditionalFormatting>
  <conditionalFormatting sqref="D22:V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Before</vt:lpstr>
      <vt:lpstr>Pivot1</vt:lpstr>
      <vt:lpstr>Charts1</vt:lpstr>
      <vt:lpstr>After</vt:lpstr>
      <vt:lpstr>Pivot2</vt:lpstr>
      <vt:lpstr>Charts2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Gardner</dc:creator>
  <cp:lastModifiedBy>Parker DeBruyne</cp:lastModifiedBy>
  <cp:lastPrinted>2015-10-20T21:31:18Z</cp:lastPrinted>
  <dcterms:created xsi:type="dcterms:W3CDTF">2015-10-20T21:03:40Z</dcterms:created>
  <dcterms:modified xsi:type="dcterms:W3CDTF">2024-03-12T21:03:04Z</dcterms:modified>
</cp:coreProperties>
</file>