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nTech VC\03. Company valuations\01. Coinbase\Analysis\"/>
    </mc:Choice>
  </mc:AlternateContent>
  <xr:revisionPtr revIDLastSave="0" documentId="13_ncr:1_{5612295A-9804-41EC-81BC-72D517FD59E7}" xr6:coauthVersionLast="46" xr6:coauthVersionMax="46" xr10:uidLastSave="{00000000-0000-0000-0000-000000000000}"/>
  <bookViews>
    <workbookView xWindow="57480" yWindow="6930" windowWidth="29040" windowHeight="15840" tabRatio="932" activeTab="1" xr2:uid="{6029949F-BEDD-479A-B7E9-81043D5BF7A0}"/>
  </bookViews>
  <sheets>
    <sheet name="Output" sheetId="20" r:id="rId1"/>
    <sheet name="DCF" sheetId="18" r:id="rId2"/>
    <sheet name="Tables" sheetId="21" r:id="rId3"/>
    <sheet name="Analysis" sheetId="8" r:id="rId4"/>
    <sheet name="Transaction revenues" sheetId="9" r:id="rId5"/>
    <sheet name="Asset-based revenues" sheetId="14" r:id="rId6"/>
    <sheet name="Bitcoin price" sheetId="10" r:id="rId7"/>
    <sheet name="Revenue forecast" sheetId="13" r:id="rId8"/>
    <sheet name="Discount rate" sheetId="23" r:id="rId9"/>
    <sheet name="Data" sheetId="5" r:id="rId10"/>
    <sheet name="IS (Annual)" sheetId="1" r:id="rId11"/>
    <sheet name="IS (Quarterly)" sheetId="2" r:id="rId12"/>
    <sheet name="BS" sheetId="15" r:id="rId13"/>
    <sheet name="Operational" sheetId="4" r:id="rId14"/>
    <sheet name="CFS" sheetId="16" r:id="rId15"/>
    <sheet name="Forecasts" sheetId="6" r:id="rId16"/>
    <sheet name="Acquisitions" sheetId="22" state="hidden" r:id="rId17"/>
    <sheet name="BTCUSD" sheetId="7" r:id="rId18"/>
    <sheet name="SPY" sheetId="2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8" l="1"/>
  <c r="EH95" i="10"/>
  <c r="EI95" i="10"/>
  <c r="EJ95" i="10"/>
  <c r="EK95" i="10"/>
  <c r="EL95" i="10"/>
  <c r="GF95" i="10" s="1"/>
  <c r="EM95" i="10"/>
  <c r="GG95" i="10" s="1"/>
  <c r="EN95" i="10"/>
  <c r="EO95" i="10"/>
  <c r="GI95" i="10" s="1"/>
  <c r="EP95" i="10"/>
  <c r="GJ95" i="10" s="1"/>
  <c r="EQ95" i="10"/>
  <c r="GK95" i="10" s="1"/>
  <c r="ER95" i="10"/>
  <c r="ES95" i="10"/>
  <c r="ET95" i="10"/>
  <c r="GN95" i="10" s="1"/>
  <c r="EU95" i="10"/>
  <c r="EV95" i="10"/>
  <c r="EW95" i="10"/>
  <c r="EX95" i="10"/>
  <c r="GR95" i="10" s="1"/>
  <c r="EY95" i="10"/>
  <c r="EZ95" i="10"/>
  <c r="FA95" i="10"/>
  <c r="GU95" i="10" s="1"/>
  <c r="FB95" i="10"/>
  <c r="GV95" i="10" s="1"/>
  <c r="FC95" i="10"/>
  <c r="GW95" i="10" s="1"/>
  <c r="FD95" i="10"/>
  <c r="FE95" i="10"/>
  <c r="GY95" i="10" s="1"/>
  <c r="FF95" i="10"/>
  <c r="GZ95" i="10" s="1"/>
  <c r="FG95" i="10"/>
  <c r="FH95" i="10"/>
  <c r="FI95" i="10"/>
  <c r="FJ95" i="10"/>
  <c r="HD95" i="10" s="1"/>
  <c r="FK95" i="10"/>
  <c r="FL95" i="10"/>
  <c r="FM95" i="10"/>
  <c r="HG95" i="10" s="1"/>
  <c r="FN95" i="10"/>
  <c r="HH95" i="10" s="1"/>
  <c r="FO95" i="10"/>
  <c r="HI95" i="10" s="1"/>
  <c r="FP95" i="10"/>
  <c r="FQ95" i="10"/>
  <c r="FR95" i="10"/>
  <c r="FS95" i="10"/>
  <c r="FT95" i="10"/>
  <c r="FU95" i="10"/>
  <c r="FV95" i="10"/>
  <c r="FW95" i="10"/>
  <c r="FX95" i="10"/>
  <c r="FY95" i="10"/>
  <c r="FZ95" i="10"/>
  <c r="GA95" i="10"/>
  <c r="GB95" i="10"/>
  <c r="GC95" i="10"/>
  <c r="GD95" i="10"/>
  <c r="GE95" i="10"/>
  <c r="GH95" i="10"/>
  <c r="GL95" i="10"/>
  <c r="GM95" i="10"/>
  <c r="GO95" i="10"/>
  <c r="GP95" i="10"/>
  <c r="GQ95" i="10"/>
  <c r="GS95" i="10"/>
  <c r="GT95" i="10"/>
  <c r="GX95" i="10"/>
  <c r="HA95" i="10"/>
  <c r="HB95" i="10"/>
  <c r="HC95" i="10"/>
  <c r="HE95" i="10"/>
  <c r="HF95" i="10"/>
  <c r="HJ95" i="10"/>
  <c r="D56" i="21"/>
  <c r="E56" i="21"/>
  <c r="F56" i="21"/>
  <c r="G56" i="21"/>
  <c r="H56" i="21"/>
  <c r="D60" i="21"/>
  <c r="E60" i="21"/>
  <c r="F60" i="21"/>
  <c r="G60" i="21"/>
  <c r="H60" i="21"/>
  <c r="D61" i="21"/>
  <c r="E61" i="21"/>
  <c r="F61" i="21"/>
  <c r="G61" i="21"/>
  <c r="H61" i="21"/>
  <c r="C61" i="21"/>
  <c r="C60" i="21"/>
  <c r="C56" i="21"/>
  <c r="F15" i="10"/>
  <c r="F16" i="10" s="1"/>
  <c r="D16" i="10"/>
  <c r="D15" i="10"/>
  <c r="E15" i="10"/>
  <c r="HJ52" i="10"/>
  <c r="HI52" i="10"/>
  <c r="HH52" i="10"/>
  <c r="HG52" i="10"/>
  <c r="HF52" i="10"/>
  <c r="HE52" i="10"/>
  <c r="HD52" i="10"/>
  <c r="HC52" i="10"/>
  <c r="HB52" i="10"/>
  <c r="HA52" i="10"/>
  <c r="GZ52" i="10"/>
  <c r="GY52" i="10"/>
  <c r="GX52" i="10"/>
  <c r="GW52" i="10"/>
  <c r="GV52" i="10"/>
  <c r="GU52" i="10"/>
  <c r="GT52" i="10"/>
  <c r="GS52" i="10"/>
  <c r="GR52" i="10"/>
  <c r="GQ52" i="10"/>
  <c r="GP52" i="10"/>
  <c r="GO52" i="10"/>
  <c r="GN52" i="10"/>
  <c r="GM52" i="10"/>
  <c r="GL52" i="10"/>
  <c r="GK52" i="10"/>
  <c r="GJ52" i="10"/>
  <c r="GI52" i="10"/>
  <c r="GH52" i="10"/>
  <c r="GG52" i="10"/>
  <c r="GF52" i="10"/>
  <c r="GE52" i="10"/>
  <c r="GD52" i="10"/>
  <c r="GC52" i="10"/>
  <c r="GB52" i="10"/>
  <c r="GA52" i="10"/>
  <c r="FZ52" i="10"/>
  <c r="FY52" i="10"/>
  <c r="FX52" i="10"/>
  <c r="FW52" i="10"/>
  <c r="FV52" i="10"/>
  <c r="FU52" i="10"/>
  <c r="FT52" i="10"/>
  <c r="FS52" i="10"/>
  <c r="FR52" i="10"/>
  <c r="FQ52" i="10"/>
  <c r="FP52" i="10"/>
  <c r="FO52" i="10"/>
  <c r="FN52" i="10"/>
  <c r="FM52" i="10"/>
  <c r="FL52" i="10"/>
  <c r="FK52" i="10"/>
  <c r="FJ52" i="10"/>
  <c r="FI52" i="10"/>
  <c r="FH52" i="10"/>
  <c r="FG52" i="10"/>
  <c r="FF52" i="10"/>
  <c r="FE52" i="10"/>
  <c r="FD52" i="10"/>
  <c r="FC52" i="10"/>
  <c r="FB52" i="10"/>
  <c r="FA52" i="10"/>
  <c r="EZ52" i="10"/>
  <c r="EY52" i="10"/>
  <c r="EX52" i="10"/>
  <c r="EW52" i="10"/>
  <c r="EV52" i="10"/>
  <c r="EU52" i="10"/>
  <c r="ET52" i="10"/>
  <c r="ES52" i="10"/>
  <c r="ER52" i="10"/>
  <c r="EQ52" i="10"/>
  <c r="EP52" i="10"/>
  <c r="EO52" i="10"/>
  <c r="EN52" i="10"/>
  <c r="EM52" i="10"/>
  <c r="EL52" i="10"/>
  <c r="EK52" i="10"/>
  <c r="EJ52" i="10"/>
  <c r="EI52" i="10"/>
  <c r="EG52" i="10"/>
  <c r="EF52" i="10"/>
  <c r="EE52" i="10"/>
  <c r="ED52" i="10"/>
  <c r="EC52" i="10"/>
  <c r="EB52" i="10"/>
  <c r="EA52" i="10"/>
  <c r="DZ52" i="10"/>
  <c r="DY52" i="10"/>
  <c r="DX52" i="10"/>
  <c r="DW52" i="10"/>
  <c r="DV52" i="10"/>
  <c r="DU52" i="10"/>
  <c r="DT52" i="10"/>
  <c r="DS52" i="10"/>
  <c r="DR52" i="10"/>
  <c r="DQ52" i="10"/>
  <c r="DP52" i="10"/>
  <c r="DO52" i="10"/>
  <c r="DN52" i="10"/>
  <c r="DM52" i="10"/>
  <c r="DL52" i="10"/>
  <c r="DK52" i="10"/>
  <c r="DJ52" i="10"/>
  <c r="DI52" i="10"/>
  <c r="DH52" i="10"/>
  <c r="DG52" i="10"/>
  <c r="DF52" i="10"/>
  <c r="DE52" i="10"/>
  <c r="DD52" i="10"/>
  <c r="DC52" i="10"/>
  <c r="DB52" i="10"/>
  <c r="DA52" i="10"/>
  <c r="CZ52" i="10"/>
  <c r="CY52" i="10"/>
  <c r="CX52" i="10"/>
  <c r="CW52" i="10"/>
  <c r="CV52" i="10"/>
  <c r="CU52" i="10"/>
  <c r="CT52" i="10"/>
  <c r="CS52" i="10"/>
  <c r="CR52" i="10"/>
  <c r="CQ52" i="10"/>
  <c r="CP52" i="10"/>
  <c r="CO52" i="10"/>
  <c r="CN52" i="10"/>
  <c r="CM52" i="10"/>
  <c r="CL52" i="10"/>
  <c r="CK52" i="10"/>
  <c r="CJ52" i="10"/>
  <c r="CI52" i="10"/>
  <c r="CH52" i="10"/>
  <c r="CG52" i="10"/>
  <c r="CF52" i="10"/>
  <c r="CE52" i="10"/>
  <c r="CD52" i="10"/>
  <c r="CC52" i="10"/>
  <c r="CB52" i="10"/>
  <c r="CA52" i="10"/>
  <c r="BZ52" i="10"/>
  <c r="BY52" i="10"/>
  <c r="BX52" i="10"/>
  <c r="BW52" i="10"/>
  <c r="BV52" i="10"/>
  <c r="BU52" i="10"/>
  <c r="BT52" i="10"/>
  <c r="BS52" i="10"/>
  <c r="BR52" i="10"/>
  <c r="BQ52" i="10"/>
  <c r="BP52" i="10"/>
  <c r="BO52" i="10"/>
  <c r="BN52" i="10"/>
  <c r="BM52" i="10"/>
  <c r="BL52" i="10"/>
  <c r="BK52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EH52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AV51" i="10"/>
  <c r="AW51" i="10"/>
  <c r="AX51" i="10"/>
  <c r="AY51" i="10"/>
  <c r="AZ51" i="10"/>
  <c r="BA51" i="10"/>
  <c r="BB51" i="10"/>
  <c r="BC51" i="10"/>
  <c r="BD51" i="10"/>
  <c r="BE51" i="10"/>
  <c r="BF51" i="10"/>
  <c r="BG51" i="10"/>
  <c r="BH51" i="10"/>
  <c r="BI51" i="10"/>
  <c r="BJ51" i="10"/>
  <c r="BK51" i="10"/>
  <c r="BL51" i="10"/>
  <c r="BM51" i="10"/>
  <c r="BN51" i="10"/>
  <c r="BO51" i="10"/>
  <c r="BP51" i="10"/>
  <c r="BQ51" i="10"/>
  <c r="BR51" i="10"/>
  <c r="BS51" i="10"/>
  <c r="BT51" i="10"/>
  <c r="BU51" i="10"/>
  <c r="BV51" i="10"/>
  <c r="BW51" i="10"/>
  <c r="BX51" i="10"/>
  <c r="BY51" i="10"/>
  <c r="BZ51" i="10"/>
  <c r="CA51" i="10"/>
  <c r="CB51" i="10"/>
  <c r="CC51" i="10"/>
  <c r="CD51" i="10"/>
  <c r="CE51" i="10"/>
  <c r="CF51" i="10"/>
  <c r="CG51" i="10"/>
  <c r="CH51" i="10"/>
  <c r="CI51" i="10"/>
  <c r="CJ51" i="10"/>
  <c r="CK51" i="10"/>
  <c r="CL51" i="10"/>
  <c r="CM51" i="10"/>
  <c r="CN51" i="10"/>
  <c r="CO51" i="10"/>
  <c r="CP51" i="10"/>
  <c r="CQ51" i="10"/>
  <c r="CR51" i="10"/>
  <c r="CS51" i="10"/>
  <c r="CT51" i="10"/>
  <c r="CU51" i="10"/>
  <c r="CV51" i="10"/>
  <c r="CW51" i="10"/>
  <c r="CX51" i="10"/>
  <c r="CY51" i="10"/>
  <c r="CZ51" i="10"/>
  <c r="DA51" i="10"/>
  <c r="DB51" i="10"/>
  <c r="DC51" i="10"/>
  <c r="DD51" i="10"/>
  <c r="DE51" i="10"/>
  <c r="DF51" i="10"/>
  <c r="DG51" i="10"/>
  <c r="DH51" i="10"/>
  <c r="DI51" i="10"/>
  <c r="DJ51" i="10"/>
  <c r="DK51" i="10"/>
  <c r="DL51" i="10"/>
  <c r="DM51" i="10"/>
  <c r="DN51" i="10"/>
  <c r="DO51" i="10"/>
  <c r="DP51" i="10"/>
  <c r="DQ51" i="10"/>
  <c r="DR51" i="10"/>
  <c r="DS51" i="10"/>
  <c r="DT51" i="10"/>
  <c r="DU51" i="10"/>
  <c r="DV51" i="10"/>
  <c r="DW51" i="10"/>
  <c r="DX51" i="10"/>
  <c r="DY51" i="10"/>
  <c r="DZ51" i="10"/>
  <c r="EA51" i="10"/>
  <c r="EB51" i="10"/>
  <c r="EC51" i="10"/>
  <c r="ED51" i="10"/>
  <c r="EE51" i="10"/>
  <c r="EF51" i="10"/>
  <c r="EG51" i="10"/>
  <c r="C51" i="10"/>
  <c r="EH51" i="10" s="1"/>
  <c r="EI51" i="10" s="1"/>
  <c r="EJ51" i="10" s="1"/>
  <c r="EK51" i="10" s="1"/>
  <c r="EL51" i="10" s="1"/>
  <c r="EM51" i="10" s="1"/>
  <c r="EN51" i="10" s="1"/>
  <c r="EO51" i="10" s="1"/>
  <c r="EP51" i="10" s="1"/>
  <c r="EQ51" i="10" s="1"/>
  <c r="ER51" i="10" s="1"/>
  <c r="ES51" i="10" s="1"/>
  <c r="ET51" i="10" s="1"/>
  <c r="EU51" i="10" s="1"/>
  <c r="EV51" i="10" s="1"/>
  <c r="EW51" i="10" s="1"/>
  <c r="EX51" i="10" s="1"/>
  <c r="EY51" i="10" s="1"/>
  <c r="EZ51" i="10" s="1"/>
  <c r="FA51" i="10" s="1"/>
  <c r="FB51" i="10" s="1"/>
  <c r="FC51" i="10" s="1"/>
  <c r="FD51" i="10" s="1"/>
  <c r="FE51" i="10" s="1"/>
  <c r="FF51" i="10" s="1"/>
  <c r="FG51" i="10" s="1"/>
  <c r="FH51" i="10" s="1"/>
  <c r="FI51" i="10" s="1"/>
  <c r="FJ51" i="10" s="1"/>
  <c r="FK51" i="10" s="1"/>
  <c r="FL51" i="10" s="1"/>
  <c r="FM51" i="10" s="1"/>
  <c r="FN51" i="10" s="1"/>
  <c r="FO51" i="10" s="1"/>
  <c r="FP51" i="10" s="1"/>
  <c r="FQ51" i="10" s="1"/>
  <c r="FR51" i="10" s="1"/>
  <c r="FS51" i="10" s="1"/>
  <c r="FT51" i="10" s="1"/>
  <c r="FU51" i="10" s="1"/>
  <c r="FV51" i="10" s="1"/>
  <c r="FW51" i="10" s="1"/>
  <c r="FX51" i="10" s="1"/>
  <c r="FY51" i="10" s="1"/>
  <c r="FZ51" i="10" s="1"/>
  <c r="GA51" i="10" s="1"/>
  <c r="GB51" i="10" s="1"/>
  <c r="GC51" i="10" s="1"/>
  <c r="GD51" i="10" s="1"/>
  <c r="GE51" i="10" s="1"/>
  <c r="GF51" i="10" s="1"/>
  <c r="GG51" i="10" s="1"/>
  <c r="GH51" i="10" s="1"/>
  <c r="GI51" i="10" s="1"/>
  <c r="GJ51" i="10" s="1"/>
  <c r="GK51" i="10" s="1"/>
  <c r="GL51" i="10" s="1"/>
  <c r="GM51" i="10" s="1"/>
  <c r="GN51" i="10" s="1"/>
  <c r="GO51" i="10" s="1"/>
  <c r="GP51" i="10" s="1"/>
  <c r="GQ51" i="10" s="1"/>
  <c r="GR51" i="10" s="1"/>
  <c r="GS51" i="10" s="1"/>
  <c r="GT51" i="10" s="1"/>
  <c r="GU51" i="10" s="1"/>
  <c r="GV51" i="10" s="1"/>
  <c r="GW51" i="10" s="1"/>
  <c r="GX51" i="10" s="1"/>
  <c r="GY51" i="10" s="1"/>
  <c r="GZ51" i="10" s="1"/>
  <c r="HA51" i="10" s="1"/>
  <c r="HB51" i="10" s="1"/>
  <c r="HC51" i="10" s="1"/>
  <c r="HD51" i="10" s="1"/>
  <c r="HE51" i="10" s="1"/>
  <c r="HF51" i="10" s="1"/>
  <c r="HG51" i="10" s="1"/>
  <c r="HH51" i="10" s="1"/>
  <c r="HI51" i="10" s="1"/>
  <c r="HJ51" i="10" s="1"/>
  <c r="C11" i="9"/>
  <c r="D11" i="9"/>
  <c r="E11" i="9"/>
  <c r="F11" i="9"/>
  <c r="G11" i="9"/>
  <c r="H11" i="9"/>
  <c r="I11" i="9"/>
  <c r="J11" i="9"/>
  <c r="K11" i="9"/>
  <c r="L11" i="9"/>
  <c r="L101" i="9" s="1"/>
  <c r="M11" i="9"/>
  <c r="M101" i="9" s="1"/>
  <c r="N11" i="9"/>
  <c r="O11" i="9"/>
  <c r="O101" i="9" s="1"/>
  <c r="N101" i="9"/>
  <c r="K101" i="9"/>
  <c r="D31" i="2"/>
  <c r="C31" i="2"/>
  <c r="E40" i="21"/>
  <c r="E41" i="21"/>
  <c r="E43" i="21"/>
  <c r="E44" i="21"/>
  <c r="E45" i="21"/>
  <c r="E46" i="21"/>
  <c r="E47" i="21"/>
  <c r="C47" i="21"/>
  <c r="C46" i="21"/>
  <c r="C45" i="21"/>
  <c r="C44" i="21"/>
  <c r="C43" i="21"/>
  <c r="C41" i="21"/>
  <c r="C40" i="21"/>
  <c r="N70" i="9"/>
  <c r="M70" i="9"/>
  <c r="L70" i="9"/>
  <c r="K70" i="9"/>
  <c r="J70" i="9"/>
  <c r="I70" i="9"/>
  <c r="H70" i="9"/>
  <c r="G70" i="9"/>
  <c r="F70" i="9"/>
  <c r="E70" i="9"/>
  <c r="D70" i="9"/>
  <c r="C70" i="9"/>
  <c r="C71" i="9"/>
  <c r="D71" i="9"/>
  <c r="E71" i="9"/>
  <c r="F71" i="9"/>
  <c r="G71" i="9"/>
  <c r="H71" i="9"/>
  <c r="I71" i="9"/>
  <c r="J71" i="9"/>
  <c r="K71" i="9"/>
  <c r="L71" i="9"/>
  <c r="M71" i="9"/>
  <c r="N71" i="9"/>
  <c r="N72" i="9"/>
  <c r="M72" i="9"/>
  <c r="L72" i="9"/>
  <c r="K72" i="9"/>
  <c r="J72" i="9"/>
  <c r="I72" i="9"/>
  <c r="H72" i="9"/>
  <c r="G72" i="9"/>
  <c r="F72" i="9"/>
  <c r="E72" i="9"/>
  <c r="D72" i="9"/>
  <c r="C72" i="9"/>
  <c r="C73" i="9"/>
  <c r="D73" i="9"/>
  <c r="E73" i="9"/>
  <c r="F73" i="9"/>
  <c r="N73" i="9"/>
  <c r="M73" i="9"/>
  <c r="L73" i="9"/>
  <c r="K73" i="9"/>
  <c r="J73" i="9"/>
  <c r="I73" i="9"/>
  <c r="H73" i="9"/>
  <c r="G73" i="9"/>
  <c r="R30" i="13"/>
  <c r="N30" i="13"/>
  <c r="O30" i="13"/>
  <c r="P30" i="13" s="1"/>
  <c r="Q30" i="13" s="1"/>
  <c r="M30" i="13"/>
  <c r="L30" i="13"/>
  <c r="K30" i="13"/>
  <c r="H101" i="9"/>
  <c r="I101" i="9"/>
  <c r="J101" i="9"/>
  <c r="D11" i="14"/>
  <c r="E11" i="14"/>
  <c r="F11" i="14"/>
  <c r="G11" i="14"/>
  <c r="H11" i="14"/>
  <c r="I11" i="14"/>
  <c r="J11" i="14"/>
  <c r="K11" i="14"/>
  <c r="C11" i="14"/>
  <c r="C48" i="21" l="1"/>
  <c r="D41" i="21" s="1"/>
  <c r="E48" i="21"/>
  <c r="F47" i="21" s="1"/>
  <c r="D45" i="21"/>
  <c r="D46" i="21"/>
  <c r="D47" i="21"/>
  <c r="D40" i="21"/>
  <c r="S30" i="13"/>
  <c r="T30" i="13" s="1"/>
  <c r="U30" i="13" s="1"/>
  <c r="V30" i="13" s="1"/>
  <c r="W30" i="13" s="1"/>
  <c r="X30" i="13" s="1"/>
  <c r="Y30" i="13" s="1"/>
  <c r="Z30" i="13" s="1"/>
  <c r="AA30" i="13" s="1"/>
  <c r="AB30" i="13" s="1"/>
  <c r="AC30" i="13" s="1"/>
  <c r="AD30" i="13" s="1"/>
  <c r="G101" i="9"/>
  <c r="D44" i="21" l="1"/>
  <c r="D43" i="21"/>
  <c r="F45" i="21"/>
  <c r="F41" i="21"/>
  <c r="F43" i="21"/>
  <c r="F40" i="21"/>
  <c r="F46" i="21"/>
  <c r="F44" i="21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AP20" i="23"/>
  <c r="AQ20" i="23"/>
  <c r="AR20" i="23"/>
  <c r="AS20" i="23"/>
  <c r="AT20" i="23"/>
  <c r="AU20" i="23"/>
  <c r="AV20" i="23"/>
  <c r="AW20" i="23"/>
  <c r="AX20" i="23"/>
  <c r="AY20" i="23"/>
  <c r="AZ20" i="23"/>
  <c r="BA20" i="23"/>
  <c r="BB20" i="23"/>
  <c r="BC20" i="23"/>
  <c r="BD20" i="23"/>
  <c r="BE20" i="23"/>
  <c r="BF20" i="23"/>
  <c r="BG20" i="23"/>
  <c r="BH20" i="23"/>
  <c r="BI20" i="23"/>
  <c r="BJ20" i="23"/>
  <c r="C20" i="23"/>
  <c r="C21" i="23" s="1"/>
  <c r="D18" i="23"/>
  <c r="E18" i="23"/>
  <c r="F18" i="23"/>
  <c r="G18" i="23"/>
  <c r="H18" i="23"/>
  <c r="I18" i="23"/>
  <c r="J18" i="23"/>
  <c r="K18" i="23"/>
  <c r="L18" i="23"/>
  <c r="M18" i="23"/>
  <c r="N18" i="23"/>
  <c r="O18" i="23"/>
  <c r="P18" i="23"/>
  <c r="Q18" i="23"/>
  <c r="R18" i="23"/>
  <c r="S18" i="23"/>
  <c r="T18" i="23"/>
  <c r="U18" i="23"/>
  <c r="V18" i="23"/>
  <c r="W18" i="23"/>
  <c r="X18" i="23"/>
  <c r="Y18" i="23"/>
  <c r="Z18" i="23"/>
  <c r="AA18" i="23"/>
  <c r="AB18" i="23"/>
  <c r="AC18" i="23"/>
  <c r="AD18" i="23"/>
  <c r="AE18" i="23"/>
  <c r="AF18" i="23"/>
  <c r="AG18" i="23"/>
  <c r="AH18" i="23"/>
  <c r="AI18" i="23"/>
  <c r="AJ18" i="23"/>
  <c r="AK18" i="23"/>
  <c r="AL18" i="23"/>
  <c r="AM18" i="23"/>
  <c r="AN18" i="23"/>
  <c r="AO18" i="23"/>
  <c r="AP18" i="23"/>
  <c r="AQ18" i="23"/>
  <c r="AR18" i="23"/>
  <c r="AS18" i="23"/>
  <c r="AT18" i="23"/>
  <c r="AU18" i="23"/>
  <c r="AV18" i="23"/>
  <c r="AW18" i="23"/>
  <c r="AX18" i="23"/>
  <c r="AY18" i="23"/>
  <c r="AZ18" i="23"/>
  <c r="BA18" i="23"/>
  <c r="BB18" i="23"/>
  <c r="BC18" i="23"/>
  <c r="BD18" i="23"/>
  <c r="BE18" i="23"/>
  <c r="BF18" i="23"/>
  <c r="BG18" i="23"/>
  <c r="BH18" i="23"/>
  <c r="BI18" i="23"/>
  <c r="BJ18" i="23"/>
  <c r="C18" i="23"/>
  <c r="C19" i="23" s="1"/>
  <c r="G102" i="9"/>
  <c r="H102" i="9"/>
  <c r="I102" i="9"/>
  <c r="J102" i="9"/>
  <c r="K102" i="9"/>
  <c r="L102" i="9"/>
  <c r="M102" i="9"/>
  <c r="N102" i="9"/>
  <c r="O102" i="9"/>
  <c r="G105" i="9"/>
  <c r="H105" i="9"/>
  <c r="I105" i="9"/>
  <c r="J105" i="9"/>
  <c r="K105" i="9"/>
  <c r="L105" i="9"/>
  <c r="M105" i="9"/>
  <c r="N105" i="9"/>
  <c r="O105" i="9"/>
  <c r="D21" i="23" l="1"/>
  <c r="BF21" i="23"/>
  <c r="AT21" i="23"/>
  <c r="J21" i="23"/>
  <c r="X19" i="23"/>
  <c r="L19" i="23"/>
  <c r="BH21" i="23"/>
  <c r="AV21" i="23"/>
  <c r="BC21" i="23"/>
  <c r="AQ21" i="23"/>
  <c r="AE21" i="23"/>
  <c r="S21" i="23"/>
  <c r="G21" i="23"/>
  <c r="F21" i="23"/>
  <c r="BH19" i="23"/>
  <c r="AJ19" i="23"/>
  <c r="AJ21" i="23"/>
  <c r="X21" i="23"/>
  <c r="L21" i="23"/>
  <c r="BA19" i="23"/>
  <c r="AO19" i="23"/>
  <c r="AC19" i="23"/>
  <c r="Q19" i="23"/>
  <c r="E19" i="23"/>
  <c r="BA21" i="23"/>
  <c r="AO21" i="23"/>
  <c r="AC21" i="23"/>
  <c r="Q21" i="23"/>
  <c r="E21" i="23"/>
  <c r="BI19" i="23"/>
  <c r="AK19" i="23"/>
  <c r="Y19" i="23"/>
  <c r="M19" i="23"/>
  <c r="BI21" i="23"/>
  <c r="AW21" i="23"/>
  <c r="AK21" i="23"/>
  <c r="Y21" i="23"/>
  <c r="M21" i="23"/>
  <c r="Z19" i="23"/>
  <c r="AL19" i="23"/>
  <c r="AW19" i="23"/>
  <c r="K19" i="23"/>
  <c r="BG21" i="23"/>
  <c r="AU21" i="23"/>
  <c r="AI21" i="23"/>
  <c r="W21" i="23"/>
  <c r="K21" i="23"/>
  <c r="N21" i="23"/>
  <c r="AU19" i="23"/>
  <c r="AR19" i="23"/>
  <c r="AF19" i="23"/>
  <c r="T19" i="23"/>
  <c r="H19" i="23"/>
  <c r="BD21" i="23"/>
  <c r="AR21" i="23"/>
  <c r="AF21" i="23"/>
  <c r="T21" i="23"/>
  <c r="H21" i="23"/>
  <c r="Z21" i="23"/>
  <c r="BG19" i="23"/>
  <c r="AT19" i="23"/>
  <c r="J19" i="23"/>
  <c r="AQ19" i="23"/>
  <c r="AE19" i="23"/>
  <c r="S19" i="23"/>
  <c r="G19" i="23"/>
  <c r="N19" i="23"/>
  <c r="AI19" i="23"/>
  <c r="AX19" i="23"/>
  <c r="W19" i="23"/>
  <c r="AH19" i="23"/>
  <c r="BF19" i="23"/>
  <c r="V19" i="23"/>
  <c r="BD19" i="23"/>
  <c r="AH21" i="23"/>
  <c r="V21" i="23"/>
  <c r="BE19" i="23"/>
  <c r="AS19" i="23"/>
  <c r="AG19" i="23"/>
  <c r="U19" i="23"/>
  <c r="I19" i="23"/>
  <c r="BE21" i="23"/>
  <c r="AS21" i="23"/>
  <c r="AG21" i="23"/>
  <c r="U21" i="23"/>
  <c r="I21" i="23"/>
  <c r="BC19" i="23"/>
  <c r="BB19" i="23"/>
  <c r="AP19" i="23"/>
  <c r="AD19" i="23"/>
  <c r="R19" i="23"/>
  <c r="F19" i="23"/>
  <c r="BB21" i="23"/>
  <c r="AP21" i="23"/>
  <c r="AD21" i="23"/>
  <c r="R21" i="23"/>
  <c r="AZ19" i="23"/>
  <c r="AN19" i="23"/>
  <c r="AB19" i="23"/>
  <c r="P19" i="23"/>
  <c r="D19" i="23"/>
  <c r="AZ21" i="23"/>
  <c r="AN21" i="23"/>
  <c r="AB21" i="23"/>
  <c r="P21" i="23"/>
  <c r="AY19" i="23"/>
  <c r="AM19" i="23"/>
  <c r="AA19" i="23"/>
  <c r="O19" i="23"/>
  <c r="AY21" i="23"/>
  <c r="AM21" i="23"/>
  <c r="AA21" i="23"/>
  <c r="O21" i="23"/>
  <c r="AX21" i="23"/>
  <c r="AL21" i="23"/>
  <c r="AV19" i="23"/>
  <c r="H30" i="13"/>
  <c r="I30" i="13" s="1"/>
  <c r="J30" i="13" s="1"/>
  <c r="C13" i="18"/>
  <c r="F46" i="13"/>
  <c r="E46" i="13"/>
  <c r="D46" i="13"/>
  <c r="C46" i="13"/>
  <c r="F41" i="13"/>
  <c r="E41" i="13"/>
  <c r="D41" i="13"/>
  <c r="C41" i="13"/>
  <c r="J38" i="14"/>
  <c r="J41" i="14"/>
  <c r="D33" i="21"/>
  <c r="D29" i="21"/>
  <c r="C33" i="21"/>
  <c r="C29" i="21"/>
  <c r="D32" i="21"/>
  <c r="D28" i="21"/>
  <c r="C28" i="21"/>
  <c r="C32" i="21"/>
  <c r="E21" i="21"/>
  <c r="C21" i="21"/>
  <c r="E20" i="21"/>
  <c r="C20" i="21"/>
  <c r="C15" i="21"/>
  <c r="E15" i="21"/>
  <c r="C16" i="21"/>
  <c r="E16" i="21"/>
  <c r="C17" i="21"/>
  <c r="E17" i="21"/>
  <c r="C18" i="21"/>
  <c r="E18" i="21"/>
  <c r="E14" i="21"/>
  <c r="C14" i="21"/>
  <c r="C12" i="21"/>
  <c r="E12" i="21"/>
  <c r="E11" i="21"/>
  <c r="C11" i="21"/>
  <c r="C42" i="18"/>
  <c r="D34" i="18"/>
  <c r="C34" i="18"/>
  <c r="C41" i="18"/>
  <c r="C40" i="18"/>
  <c r="C24" i="18"/>
  <c r="C25" i="18"/>
  <c r="C31" i="18"/>
  <c r="C35" i="18"/>
  <c r="D35" i="18" s="1"/>
  <c r="E35" i="18" s="1"/>
  <c r="F35" i="18" s="1"/>
  <c r="G35" i="18" s="1"/>
  <c r="H35" i="18" s="1"/>
  <c r="I35" i="18" s="1"/>
  <c r="C32" i="18"/>
  <c r="C34" i="21" l="1"/>
  <c r="C15" i="13"/>
  <c r="D30" i="21"/>
  <c r="C30" i="21"/>
  <c r="D34" i="21"/>
  <c r="C15" i="23"/>
  <c r="C9" i="23" s="1"/>
  <c r="C11" i="23" s="1"/>
  <c r="E49" i="18" s="1"/>
  <c r="C22" i="21"/>
  <c r="D12" i="21" s="1"/>
  <c r="E22" i="21"/>
  <c r="C26" i="18"/>
  <c r="C36" i="18"/>
  <c r="E34" i="18"/>
  <c r="F34" i="18" s="1"/>
  <c r="G34" i="18" s="1"/>
  <c r="H34" i="18" s="1"/>
  <c r="I34" i="18" s="1"/>
  <c r="F11" i="21" l="1"/>
  <c r="D21" i="21"/>
  <c r="D11" i="21"/>
  <c r="F14" i="21"/>
  <c r="D18" i="21"/>
  <c r="D20" i="21"/>
  <c r="D14" i="21"/>
  <c r="F21" i="21"/>
  <c r="D15" i="21"/>
  <c r="D16" i="21"/>
  <c r="D17" i="21"/>
  <c r="I49" i="18"/>
  <c r="J49" i="18" s="1"/>
  <c r="H49" i="18"/>
  <c r="D49" i="18"/>
  <c r="G49" i="18"/>
  <c r="F49" i="18"/>
  <c r="F20" i="21"/>
  <c r="F12" i="21"/>
  <c r="F15" i="21"/>
  <c r="F16" i="21"/>
  <c r="F17" i="21"/>
  <c r="F18" i="21"/>
  <c r="D53" i="16" l="1"/>
  <c r="C53" i="16"/>
  <c r="D48" i="16"/>
  <c r="C48" i="16"/>
  <c r="D36" i="16"/>
  <c r="C36" i="16"/>
  <c r="D46" i="15"/>
  <c r="C46" i="15"/>
  <c r="D35" i="15"/>
  <c r="D37" i="15" s="1"/>
  <c r="C35" i="15"/>
  <c r="D25" i="15"/>
  <c r="C25" i="15"/>
  <c r="D17" i="15"/>
  <c r="C17" i="15"/>
  <c r="C45" i="18" s="1"/>
  <c r="C12" i="13"/>
  <c r="C11" i="13"/>
  <c r="G36" i="13"/>
  <c r="F36" i="13"/>
  <c r="E36" i="13"/>
  <c r="D36" i="13"/>
  <c r="C36" i="13"/>
  <c r="K10" i="14"/>
  <c r="D10" i="14"/>
  <c r="E10" i="14"/>
  <c r="F10" i="14"/>
  <c r="G10" i="14"/>
  <c r="H10" i="14"/>
  <c r="I10" i="14"/>
  <c r="J10" i="14"/>
  <c r="C10" i="14"/>
  <c r="C38" i="14"/>
  <c r="D38" i="14"/>
  <c r="E38" i="14"/>
  <c r="F38" i="14"/>
  <c r="G38" i="14"/>
  <c r="H38" i="14"/>
  <c r="I38" i="14"/>
  <c r="C41" i="14"/>
  <c r="D41" i="14"/>
  <c r="E41" i="14"/>
  <c r="F41" i="14"/>
  <c r="G41" i="14"/>
  <c r="H41" i="14"/>
  <c r="I41" i="14"/>
  <c r="F33" i="13"/>
  <c r="F48" i="13" s="1"/>
  <c r="E33" i="13"/>
  <c r="E48" i="13" s="1"/>
  <c r="D33" i="13"/>
  <c r="D48" i="13" s="1"/>
  <c r="C33" i="13"/>
  <c r="C48" i="13" s="1"/>
  <c r="E28" i="13"/>
  <c r="D28" i="13"/>
  <c r="C28" i="13"/>
  <c r="F28" i="13"/>
  <c r="G28" i="13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AV60" i="10"/>
  <c r="AW60" i="10"/>
  <c r="AX60" i="10"/>
  <c r="AY60" i="10"/>
  <c r="AZ60" i="10"/>
  <c r="BA60" i="10"/>
  <c r="BB60" i="10"/>
  <c r="BC60" i="10"/>
  <c r="BD60" i="10"/>
  <c r="BE60" i="10"/>
  <c r="BF60" i="10"/>
  <c r="BG60" i="10"/>
  <c r="BH60" i="10"/>
  <c r="BI60" i="10"/>
  <c r="BJ60" i="10"/>
  <c r="BK60" i="10"/>
  <c r="BL60" i="10"/>
  <c r="BM60" i="10"/>
  <c r="BN60" i="10"/>
  <c r="BO60" i="10"/>
  <c r="BP60" i="10"/>
  <c r="BQ60" i="10"/>
  <c r="BR60" i="10"/>
  <c r="BS60" i="10"/>
  <c r="BT60" i="10"/>
  <c r="BU60" i="10"/>
  <c r="BV60" i="10"/>
  <c r="BW60" i="10"/>
  <c r="BX60" i="10"/>
  <c r="BY60" i="10"/>
  <c r="BZ60" i="10"/>
  <c r="CA60" i="10"/>
  <c r="CB60" i="10"/>
  <c r="CC60" i="10"/>
  <c r="CD60" i="10"/>
  <c r="CE60" i="10"/>
  <c r="CF60" i="10"/>
  <c r="CG60" i="10"/>
  <c r="CH60" i="10"/>
  <c r="CI60" i="10"/>
  <c r="CJ60" i="10"/>
  <c r="CK60" i="10"/>
  <c r="CL60" i="10"/>
  <c r="CM60" i="10"/>
  <c r="CN60" i="10"/>
  <c r="CO60" i="10"/>
  <c r="CP60" i="10"/>
  <c r="CQ60" i="10"/>
  <c r="CR60" i="10"/>
  <c r="CS60" i="10"/>
  <c r="CT60" i="10"/>
  <c r="CU60" i="10"/>
  <c r="CV60" i="10"/>
  <c r="CW60" i="10"/>
  <c r="CX60" i="10"/>
  <c r="CY60" i="10"/>
  <c r="CZ60" i="10"/>
  <c r="DA60" i="10"/>
  <c r="DB60" i="10"/>
  <c r="DC60" i="10"/>
  <c r="DD60" i="10"/>
  <c r="DE60" i="10"/>
  <c r="DF60" i="10"/>
  <c r="DG60" i="10"/>
  <c r="DH60" i="10"/>
  <c r="DI60" i="10"/>
  <c r="DJ60" i="10"/>
  <c r="DK60" i="10"/>
  <c r="DL60" i="10"/>
  <c r="DM60" i="10"/>
  <c r="DN60" i="10"/>
  <c r="DO60" i="10"/>
  <c r="DP60" i="10"/>
  <c r="DQ60" i="10"/>
  <c r="DR60" i="10"/>
  <c r="DS60" i="10"/>
  <c r="DT60" i="10"/>
  <c r="DU60" i="10"/>
  <c r="DV60" i="10"/>
  <c r="DW60" i="10"/>
  <c r="DX60" i="10"/>
  <c r="DY60" i="10"/>
  <c r="DZ60" i="10"/>
  <c r="EA60" i="10"/>
  <c r="EB60" i="10"/>
  <c r="EC60" i="10"/>
  <c r="ED60" i="10"/>
  <c r="EE60" i="10"/>
  <c r="EF60" i="10"/>
  <c r="EG60" i="10"/>
  <c r="C60" i="10"/>
  <c r="BO21" i="10"/>
  <c r="BO22" i="10"/>
  <c r="F11" i="10"/>
  <c r="F12" i="10" s="1"/>
  <c r="F13" i="10" s="1"/>
  <c r="F14" i="10" s="1"/>
  <c r="E13" i="10"/>
  <c r="E14" i="10" s="1"/>
  <c r="E12" i="10"/>
  <c r="E11" i="10"/>
  <c r="ER22" i="10"/>
  <c r="EQ22" i="10"/>
  <c r="EP22" i="10"/>
  <c r="EO22" i="10"/>
  <c r="EN22" i="10"/>
  <c r="EM22" i="10"/>
  <c r="EL22" i="10"/>
  <c r="EK22" i="10"/>
  <c r="EJ22" i="10"/>
  <c r="EI22" i="10"/>
  <c r="EH22" i="10"/>
  <c r="EG22" i="10"/>
  <c r="EF22" i="10"/>
  <c r="EE22" i="10"/>
  <c r="ED22" i="10"/>
  <c r="EC22" i="10"/>
  <c r="EB22" i="10"/>
  <c r="EA22" i="10"/>
  <c r="DZ22" i="10"/>
  <c r="DY22" i="10"/>
  <c r="DX22" i="10"/>
  <c r="DW22" i="10"/>
  <c r="DV22" i="10"/>
  <c r="DU22" i="10"/>
  <c r="DT22" i="10"/>
  <c r="DS22" i="10"/>
  <c r="DR22" i="10"/>
  <c r="DQ22" i="10"/>
  <c r="DP22" i="10"/>
  <c r="DO22" i="10"/>
  <c r="DN22" i="10"/>
  <c r="DM22" i="10"/>
  <c r="DL22" i="10"/>
  <c r="DK22" i="10"/>
  <c r="DJ22" i="10"/>
  <c r="DI22" i="10"/>
  <c r="DH22" i="10"/>
  <c r="DG22" i="10"/>
  <c r="DF22" i="10"/>
  <c r="DE22" i="10"/>
  <c r="DD22" i="10"/>
  <c r="DC22" i="10"/>
  <c r="DB22" i="10"/>
  <c r="DA22" i="10"/>
  <c r="CZ22" i="10"/>
  <c r="CY22" i="10"/>
  <c r="CX22" i="10"/>
  <c r="CW22" i="10"/>
  <c r="CV22" i="10"/>
  <c r="CU22" i="10"/>
  <c r="CT22" i="10"/>
  <c r="CS22" i="10"/>
  <c r="CR22" i="10"/>
  <c r="CQ22" i="10"/>
  <c r="CP22" i="10"/>
  <c r="CO22" i="10"/>
  <c r="CN22" i="10"/>
  <c r="CM22" i="10"/>
  <c r="CL22" i="10"/>
  <c r="CK22" i="10"/>
  <c r="CJ22" i="10"/>
  <c r="CI22" i="10"/>
  <c r="CH22" i="10"/>
  <c r="CG22" i="10"/>
  <c r="CF22" i="10"/>
  <c r="CE22" i="10"/>
  <c r="CD22" i="10"/>
  <c r="CC22" i="10"/>
  <c r="CB22" i="10"/>
  <c r="CA22" i="10"/>
  <c r="BZ22" i="10"/>
  <c r="BY22" i="10"/>
  <c r="BX22" i="10"/>
  <c r="BW22" i="10"/>
  <c r="BV22" i="10"/>
  <c r="BU22" i="10"/>
  <c r="BT22" i="10"/>
  <c r="BS22" i="10"/>
  <c r="BR22" i="10"/>
  <c r="BQ22" i="10"/>
  <c r="BP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ES22" i="10"/>
  <c r="ER21" i="10"/>
  <c r="EQ21" i="10"/>
  <c r="EP21" i="10"/>
  <c r="EO21" i="10"/>
  <c r="EN21" i="10"/>
  <c r="EM21" i="10"/>
  <c r="EL21" i="10"/>
  <c r="EK21" i="10"/>
  <c r="EJ21" i="10"/>
  <c r="EI21" i="10"/>
  <c r="EH21" i="10"/>
  <c r="EG21" i="10"/>
  <c r="EF21" i="10"/>
  <c r="EE21" i="10"/>
  <c r="ED21" i="10"/>
  <c r="EC21" i="10"/>
  <c r="EB21" i="10"/>
  <c r="EA21" i="10"/>
  <c r="DZ21" i="10"/>
  <c r="DY21" i="10"/>
  <c r="DX21" i="10"/>
  <c r="DW21" i="10"/>
  <c r="DV21" i="10"/>
  <c r="DU21" i="10"/>
  <c r="DT21" i="10"/>
  <c r="DS21" i="10"/>
  <c r="DR21" i="10"/>
  <c r="DQ21" i="10"/>
  <c r="DP21" i="10"/>
  <c r="DO21" i="10"/>
  <c r="DN21" i="10"/>
  <c r="DM21" i="10"/>
  <c r="DL21" i="10"/>
  <c r="DK21" i="10"/>
  <c r="DJ21" i="10"/>
  <c r="DI21" i="10"/>
  <c r="DH21" i="10"/>
  <c r="DG21" i="10"/>
  <c r="DF21" i="10"/>
  <c r="DE21" i="10"/>
  <c r="DD21" i="10"/>
  <c r="DC21" i="10"/>
  <c r="DB21" i="10"/>
  <c r="DA21" i="10"/>
  <c r="CZ21" i="10"/>
  <c r="CY21" i="10"/>
  <c r="CX21" i="10"/>
  <c r="CW21" i="10"/>
  <c r="CV21" i="10"/>
  <c r="CU21" i="10"/>
  <c r="CT21" i="10"/>
  <c r="CS21" i="10"/>
  <c r="CR21" i="10"/>
  <c r="CQ21" i="10"/>
  <c r="CP21" i="10"/>
  <c r="CO21" i="10"/>
  <c r="CN21" i="10"/>
  <c r="CM21" i="10"/>
  <c r="CL21" i="10"/>
  <c r="CK21" i="10"/>
  <c r="CJ21" i="10"/>
  <c r="CI21" i="10"/>
  <c r="CH21" i="10"/>
  <c r="CG21" i="10"/>
  <c r="CF21" i="10"/>
  <c r="CE21" i="10"/>
  <c r="CD21" i="10"/>
  <c r="CC21" i="10"/>
  <c r="CB21" i="10"/>
  <c r="CA21" i="10"/>
  <c r="BZ21" i="10"/>
  <c r="BY21" i="10"/>
  <c r="BX21" i="10"/>
  <c r="BW21" i="10"/>
  <c r="BV21" i="10"/>
  <c r="BU21" i="10"/>
  <c r="BT21" i="10"/>
  <c r="BS21" i="10"/>
  <c r="BR21" i="10"/>
  <c r="BQ21" i="10"/>
  <c r="BP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K26" i="10" s="1"/>
  <c r="J21" i="10"/>
  <c r="I21" i="10"/>
  <c r="H21" i="10"/>
  <c r="G21" i="10"/>
  <c r="F21" i="10"/>
  <c r="E21" i="10"/>
  <c r="D21" i="10"/>
  <c r="C21" i="10"/>
  <c r="ES21" i="10"/>
  <c r="P42" i="9"/>
  <c r="D10" i="9"/>
  <c r="D42" i="9" s="1"/>
  <c r="E10" i="9"/>
  <c r="E42" i="9" s="1"/>
  <c r="F10" i="9"/>
  <c r="F42" i="9" s="1"/>
  <c r="G10" i="9"/>
  <c r="G42" i="9" s="1"/>
  <c r="H10" i="9"/>
  <c r="H42" i="9" s="1"/>
  <c r="I10" i="9"/>
  <c r="I42" i="9" s="1"/>
  <c r="J10" i="9"/>
  <c r="J42" i="9" s="1"/>
  <c r="K10" i="9"/>
  <c r="K42" i="9" s="1"/>
  <c r="L10" i="9"/>
  <c r="L42" i="9" s="1"/>
  <c r="M10" i="9"/>
  <c r="M42" i="9" s="1"/>
  <c r="N10" i="9"/>
  <c r="N42" i="9" s="1"/>
  <c r="O10" i="9"/>
  <c r="O42" i="9" s="1"/>
  <c r="C10" i="9"/>
  <c r="D30" i="2"/>
  <c r="C30" i="2"/>
  <c r="D44" i="2"/>
  <c r="C44" i="2"/>
  <c r="C28" i="6"/>
  <c r="C27" i="6"/>
  <c r="D14" i="4"/>
  <c r="E14" i="4"/>
  <c r="F14" i="4"/>
  <c r="G14" i="4"/>
  <c r="H14" i="4"/>
  <c r="I14" i="4"/>
  <c r="J14" i="4"/>
  <c r="K14" i="4"/>
  <c r="L14" i="4"/>
  <c r="M14" i="4"/>
  <c r="N14" i="4"/>
  <c r="C14" i="4"/>
  <c r="F34" i="2"/>
  <c r="G34" i="2"/>
  <c r="H34" i="2"/>
  <c r="I34" i="2"/>
  <c r="J34" i="2"/>
  <c r="K34" i="2"/>
  <c r="L34" i="2"/>
  <c r="E34" i="2"/>
  <c r="F24" i="2"/>
  <c r="G24" i="2"/>
  <c r="H24" i="2"/>
  <c r="I24" i="2"/>
  <c r="J24" i="2"/>
  <c r="K24" i="2"/>
  <c r="L24" i="2"/>
  <c r="E24" i="2"/>
  <c r="F15" i="2"/>
  <c r="G15" i="2"/>
  <c r="H15" i="2"/>
  <c r="I15" i="2"/>
  <c r="J15" i="2"/>
  <c r="K15" i="2"/>
  <c r="L15" i="2"/>
  <c r="E15" i="2"/>
  <c r="D47" i="1"/>
  <c r="C47" i="1"/>
  <c r="C37" i="1"/>
  <c r="D37" i="1"/>
  <c r="C26" i="1"/>
  <c r="D26" i="1"/>
  <c r="C20" i="1"/>
  <c r="D20" i="1"/>
  <c r="C39" i="14" s="1"/>
  <c r="D39" i="14" s="1"/>
  <c r="E39" i="14" s="1"/>
  <c r="F39" i="14" s="1"/>
  <c r="C13" i="1"/>
  <c r="D13" i="1"/>
  <c r="C37" i="15" l="1"/>
  <c r="C46" i="18"/>
  <c r="C44" i="18"/>
  <c r="J103" i="9"/>
  <c r="J104" i="9" s="1"/>
  <c r="J106" i="9" s="1"/>
  <c r="I103" i="9"/>
  <c r="I104" i="9" s="1"/>
  <c r="I106" i="9" s="1"/>
  <c r="G103" i="9"/>
  <c r="H103" i="9"/>
  <c r="H104" i="9" s="1"/>
  <c r="H106" i="9" s="1"/>
  <c r="K103" i="9"/>
  <c r="K104" i="9" s="1"/>
  <c r="K106" i="9" s="1"/>
  <c r="L103" i="9"/>
  <c r="L104" i="9" s="1"/>
  <c r="L106" i="9" s="1"/>
  <c r="N103" i="9"/>
  <c r="N104" i="9" s="1"/>
  <c r="N106" i="9" s="1"/>
  <c r="F29" i="13" s="1"/>
  <c r="F31" i="13" s="1"/>
  <c r="F32" i="13" s="1"/>
  <c r="M103" i="9"/>
  <c r="M104" i="9" s="1"/>
  <c r="M106" i="9" s="1"/>
  <c r="E29" i="13" s="1"/>
  <c r="E31" i="13" s="1"/>
  <c r="E32" i="13" s="1"/>
  <c r="C27" i="18"/>
  <c r="C29" i="18" s="1"/>
  <c r="C38" i="18" s="1"/>
  <c r="G39" i="14"/>
  <c r="H39" i="14" s="1"/>
  <c r="I39" i="14" s="1"/>
  <c r="J39" i="14" s="1"/>
  <c r="J40" i="14" s="1"/>
  <c r="J73" i="14" s="1"/>
  <c r="D39" i="13"/>
  <c r="D38" i="13" s="1"/>
  <c r="F39" i="13"/>
  <c r="F38" i="13" s="1"/>
  <c r="E39" i="13"/>
  <c r="E38" i="13" s="1"/>
  <c r="C39" i="13"/>
  <c r="C38" i="13" s="1"/>
  <c r="C14" i="13"/>
  <c r="C28" i="18"/>
  <c r="F44" i="13"/>
  <c r="F45" i="13" s="1"/>
  <c r="E44" i="13"/>
  <c r="E45" i="13" s="1"/>
  <c r="D44" i="13"/>
  <c r="D45" i="13" s="1"/>
  <c r="C44" i="13"/>
  <c r="C34" i="9"/>
  <c r="C35" i="9"/>
  <c r="C36" i="9"/>
  <c r="C37" i="9"/>
  <c r="C42" i="9"/>
  <c r="D40" i="14"/>
  <c r="D73" i="14" s="1"/>
  <c r="C40" i="14"/>
  <c r="C73" i="14" s="1"/>
  <c r="E40" i="14"/>
  <c r="E73" i="14" s="1"/>
  <c r="F40" i="14"/>
  <c r="F73" i="14" s="1"/>
  <c r="H40" i="14"/>
  <c r="G40" i="14"/>
  <c r="G73" i="14" s="1"/>
  <c r="EE96" i="10"/>
  <c r="DS96" i="10"/>
  <c r="DG96" i="10"/>
  <c r="CU96" i="10"/>
  <c r="CI96" i="10"/>
  <c r="BW96" i="10"/>
  <c r="BK96" i="10"/>
  <c r="AY96" i="10"/>
  <c r="AM96" i="10"/>
  <c r="AA96" i="10"/>
  <c r="O96" i="10"/>
  <c r="ED96" i="10"/>
  <c r="F26" i="13" s="1"/>
  <c r="DR96" i="10"/>
  <c r="DF96" i="10"/>
  <c r="CT96" i="10"/>
  <c r="CH96" i="10"/>
  <c r="BV96" i="10"/>
  <c r="BJ96" i="10"/>
  <c r="AX96" i="10"/>
  <c r="AL96" i="10"/>
  <c r="Z96" i="10"/>
  <c r="N96" i="10"/>
  <c r="EC96" i="10"/>
  <c r="DQ96" i="10"/>
  <c r="DE96" i="10"/>
  <c r="CS96" i="10"/>
  <c r="CG96" i="10"/>
  <c r="BU96" i="10"/>
  <c r="BI96" i="10"/>
  <c r="AW96" i="10"/>
  <c r="AK96" i="10"/>
  <c r="Y96" i="10"/>
  <c r="M96" i="10"/>
  <c r="EB96" i="10"/>
  <c r="DP96" i="10"/>
  <c r="DD96" i="10"/>
  <c r="CR96" i="10"/>
  <c r="CF96" i="10"/>
  <c r="BT96" i="10"/>
  <c r="BH96" i="10"/>
  <c r="AV96" i="10"/>
  <c r="AJ96" i="10"/>
  <c r="X96" i="10"/>
  <c r="L96" i="10"/>
  <c r="EA96" i="10"/>
  <c r="E26" i="13" s="1"/>
  <c r="DO96" i="10"/>
  <c r="DC96" i="10"/>
  <c r="CQ96" i="10"/>
  <c r="CE96" i="10"/>
  <c r="BS96" i="10"/>
  <c r="BG96" i="10"/>
  <c r="AU96" i="10"/>
  <c r="AI96" i="10"/>
  <c r="W96" i="10"/>
  <c r="K96" i="10"/>
  <c r="DZ96" i="10"/>
  <c r="DN96" i="10"/>
  <c r="DB96" i="10"/>
  <c r="CP96" i="10"/>
  <c r="CD96" i="10"/>
  <c r="BR96" i="10"/>
  <c r="BF96" i="10"/>
  <c r="AT96" i="10"/>
  <c r="AH96" i="10"/>
  <c r="V96" i="10"/>
  <c r="J96" i="10"/>
  <c r="DY96" i="10"/>
  <c r="DM96" i="10"/>
  <c r="DA96" i="10"/>
  <c r="CO96" i="10"/>
  <c r="CC96" i="10"/>
  <c r="BQ96" i="10"/>
  <c r="BE96" i="10"/>
  <c r="AS96" i="10"/>
  <c r="AG96" i="10"/>
  <c r="U96" i="10"/>
  <c r="I96" i="10"/>
  <c r="DX96" i="10"/>
  <c r="D26" i="13" s="1"/>
  <c r="DL96" i="10"/>
  <c r="CZ96" i="10"/>
  <c r="CN96" i="10"/>
  <c r="CB96" i="10"/>
  <c r="BP96" i="10"/>
  <c r="BD96" i="10"/>
  <c r="AR96" i="10"/>
  <c r="AF96" i="10"/>
  <c r="T96" i="10"/>
  <c r="H96" i="10"/>
  <c r="DW96" i="10"/>
  <c r="DK96" i="10"/>
  <c r="CY96" i="10"/>
  <c r="CM96" i="10"/>
  <c r="CA96" i="10"/>
  <c r="BO96" i="10"/>
  <c r="BC96" i="10"/>
  <c r="AQ96" i="10"/>
  <c r="AE96" i="10"/>
  <c r="S96" i="10"/>
  <c r="G96" i="10"/>
  <c r="C96" i="10"/>
  <c r="DV96" i="10"/>
  <c r="DJ96" i="10"/>
  <c r="CX96" i="10"/>
  <c r="CL96" i="10"/>
  <c r="BZ96" i="10"/>
  <c r="BN96" i="10"/>
  <c r="BB96" i="10"/>
  <c r="AP96" i="10"/>
  <c r="AD96" i="10"/>
  <c r="R96" i="10"/>
  <c r="F96" i="10"/>
  <c r="EG96" i="10"/>
  <c r="G26" i="13" s="1"/>
  <c r="DU96" i="10"/>
  <c r="C26" i="13" s="1"/>
  <c r="DI96" i="10"/>
  <c r="CW96" i="10"/>
  <c r="CK96" i="10"/>
  <c r="BY96" i="10"/>
  <c r="BM96" i="10"/>
  <c r="BA96" i="10"/>
  <c r="AO96" i="10"/>
  <c r="AC96" i="10"/>
  <c r="Q96" i="10"/>
  <c r="E96" i="10"/>
  <c r="EF96" i="10"/>
  <c r="DT96" i="10"/>
  <c r="DH96" i="10"/>
  <c r="CV96" i="10"/>
  <c r="CJ96" i="10"/>
  <c r="BX96" i="10"/>
  <c r="BL96" i="10"/>
  <c r="AZ96" i="10"/>
  <c r="AN96" i="10"/>
  <c r="AB96" i="10"/>
  <c r="P96" i="10"/>
  <c r="D96" i="10"/>
  <c r="J23" i="10"/>
  <c r="DC23" i="10"/>
  <c r="BS23" i="10"/>
  <c r="EA23" i="10"/>
  <c r="DB23" i="10"/>
  <c r="DO23" i="10"/>
  <c r="CE23" i="10"/>
  <c r="EM23" i="10"/>
  <c r="CQ23" i="10"/>
  <c r="R23" i="10"/>
  <c r="AD24" i="10"/>
  <c r="R56" i="10" s="1"/>
  <c r="AP24" i="10"/>
  <c r="BB24" i="10"/>
  <c r="BN24" i="10"/>
  <c r="Q23" i="10"/>
  <c r="AC23" i="10"/>
  <c r="AO23" i="10"/>
  <c r="BA23" i="10"/>
  <c r="BM23" i="10"/>
  <c r="BZ23" i="10"/>
  <c r="CL23" i="10"/>
  <c r="CX23" i="10"/>
  <c r="DJ23" i="10"/>
  <c r="DV23" i="10"/>
  <c r="EH23" i="10"/>
  <c r="CX24" i="10"/>
  <c r="BR23" i="10"/>
  <c r="CD23" i="10"/>
  <c r="CP23" i="10"/>
  <c r="DZ23" i="10"/>
  <c r="EL23" i="10"/>
  <c r="V24" i="10"/>
  <c r="AH24" i="10"/>
  <c r="AT24" i="10"/>
  <c r="AH56" i="10" s="1"/>
  <c r="BF24" i="10"/>
  <c r="AT56" i="10" s="1"/>
  <c r="D55" i="16"/>
  <c r="D58" i="16" s="1"/>
  <c r="C55" i="16"/>
  <c r="C58" i="16" s="1"/>
  <c r="D27" i="15"/>
  <c r="C27" i="15"/>
  <c r="D48" i="15"/>
  <c r="C48" i="15"/>
  <c r="C13" i="13"/>
  <c r="C16" i="13" s="1"/>
  <c r="I26" i="2"/>
  <c r="I28" i="2" s="1"/>
  <c r="I30" i="2" s="1"/>
  <c r="I32" i="2" s="1"/>
  <c r="I44" i="2" s="1"/>
  <c r="D29" i="13"/>
  <c r="D31" i="13" s="1"/>
  <c r="D32" i="13" s="1"/>
  <c r="K23" i="10"/>
  <c r="W23" i="10"/>
  <c r="AI23" i="10"/>
  <c r="AU23" i="10"/>
  <c r="BG23" i="10"/>
  <c r="BT23" i="10"/>
  <c r="CF23" i="10"/>
  <c r="CR23" i="10"/>
  <c r="DD23" i="10"/>
  <c r="DP23" i="10"/>
  <c r="EB23" i="10"/>
  <c r="EN23" i="10"/>
  <c r="CL24" i="10"/>
  <c r="BZ56" i="10" s="1"/>
  <c r="L23" i="10"/>
  <c r="X23" i="10"/>
  <c r="AJ23" i="10"/>
  <c r="AV23" i="10"/>
  <c r="BH23" i="10"/>
  <c r="BU23" i="10"/>
  <c r="CG23" i="10"/>
  <c r="CS23" i="10"/>
  <c r="DE23" i="10"/>
  <c r="DQ23" i="10"/>
  <c r="EC23" i="10"/>
  <c r="EO23" i="10"/>
  <c r="BZ24" i="10"/>
  <c r="BN56" i="10" s="1"/>
  <c r="BO24" i="10"/>
  <c r="BC56" i="10" s="1"/>
  <c r="BF23" i="10"/>
  <c r="AT23" i="10"/>
  <c r="AH23" i="10"/>
  <c r="V23" i="10"/>
  <c r="R24" i="10"/>
  <c r="F56" i="10" s="1"/>
  <c r="AD23" i="10"/>
  <c r="AP23" i="10"/>
  <c r="BB23" i="10"/>
  <c r="BN23" i="10"/>
  <c r="CA24" i="10"/>
  <c r="CM24" i="10"/>
  <c r="CA56" i="10" s="1"/>
  <c r="CY24" i="10"/>
  <c r="DK24" i="10"/>
  <c r="CY56" i="10" s="1"/>
  <c r="DW24" i="10"/>
  <c r="EI24" i="10"/>
  <c r="J24" i="10"/>
  <c r="S24" i="10"/>
  <c r="G56" i="10" s="1"/>
  <c r="AE24" i="10"/>
  <c r="S56" i="10" s="1"/>
  <c r="AQ24" i="10"/>
  <c r="AE56" i="10" s="1"/>
  <c r="BC24" i="10"/>
  <c r="AQ56" i="10" s="1"/>
  <c r="BP24" i="10"/>
  <c r="BD56" i="10" s="1"/>
  <c r="CB24" i="10"/>
  <c r="BP56" i="10" s="1"/>
  <c r="CN24" i="10"/>
  <c r="CB56" i="10" s="1"/>
  <c r="CZ24" i="10"/>
  <c r="CN56" i="10" s="1"/>
  <c r="DL24" i="10"/>
  <c r="DX24" i="10"/>
  <c r="EJ24" i="10"/>
  <c r="DX56" i="10" s="1"/>
  <c r="EH24" i="10"/>
  <c r="T24" i="10"/>
  <c r="AF24" i="10"/>
  <c r="T56" i="10" s="1"/>
  <c r="AR24" i="10"/>
  <c r="AF56" i="10" s="1"/>
  <c r="BD24" i="10"/>
  <c r="AR56" i="10" s="1"/>
  <c r="BQ24" i="10"/>
  <c r="BE56" i="10" s="1"/>
  <c r="CC24" i="10"/>
  <c r="CD25" i="10" s="1"/>
  <c r="CO24" i="10"/>
  <c r="CC56" i="10" s="1"/>
  <c r="DA24" i="10"/>
  <c r="DB25" i="10" s="1"/>
  <c r="DM24" i="10"/>
  <c r="DA56" i="10" s="1"/>
  <c r="DY24" i="10"/>
  <c r="EK24" i="10"/>
  <c r="DV24" i="10"/>
  <c r="U24" i="10"/>
  <c r="AG24" i="10"/>
  <c r="AS24" i="10"/>
  <c r="BE24" i="10"/>
  <c r="AS56" i="10" s="1"/>
  <c r="BR24" i="10"/>
  <c r="BS25" i="10" s="1"/>
  <c r="CD24" i="10"/>
  <c r="CP24" i="10"/>
  <c r="CD56" i="10" s="1"/>
  <c r="DB24" i="10"/>
  <c r="DC25" i="10" s="1"/>
  <c r="DN24" i="10"/>
  <c r="DZ24" i="10"/>
  <c r="EL24" i="10"/>
  <c r="EM25" i="10" s="1"/>
  <c r="DN23" i="10"/>
  <c r="DJ24" i="10"/>
  <c r="CX56" i="10" s="1"/>
  <c r="AY23" i="10"/>
  <c r="AY24" i="10"/>
  <c r="AM56" i="10" s="1"/>
  <c r="DH23" i="10"/>
  <c r="DH24" i="10"/>
  <c r="CV23" i="10"/>
  <c r="CV24" i="10"/>
  <c r="CJ56" i="10" s="1"/>
  <c r="Y23" i="10"/>
  <c r="Y24" i="10"/>
  <c r="AW23" i="10"/>
  <c r="AW24" i="10"/>
  <c r="BV23" i="10"/>
  <c r="BV24" i="10"/>
  <c r="CH23" i="10"/>
  <c r="CH24" i="10"/>
  <c r="BV56" i="10" s="1"/>
  <c r="CT23" i="10"/>
  <c r="CT24" i="10"/>
  <c r="CH56" i="10" s="1"/>
  <c r="DR23" i="10"/>
  <c r="DR24" i="10"/>
  <c r="ED23" i="10"/>
  <c r="ED24" i="10"/>
  <c r="EP23" i="10"/>
  <c r="EP24" i="10"/>
  <c r="M23" i="10"/>
  <c r="M24" i="10"/>
  <c r="AK23" i="10"/>
  <c r="AK24" i="10"/>
  <c r="BI23" i="10"/>
  <c r="BI24" i="10"/>
  <c r="DF23" i="10"/>
  <c r="DF24" i="10"/>
  <c r="CT56" i="10" s="1"/>
  <c r="ES23" i="10"/>
  <c r="N23" i="10"/>
  <c r="Z23" i="10"/>
  <c r="AL23" i="10"/>
  <c r="AX23" i="10"/>
  <c r="BJ23" i="10"/>
  <c r="BW23" i="10"/>
  <c r="CI23" i="10"/>
  <c r="CU23" i="10"/>
  <c r="DG23" i="10"/>
  <c r="DS23" i="10"/>
  <c r="EE23" i="10"/>
  <c r="EQ23" i="10"/>
  <c r="AA23" i="10"/>
  <c r="AA24" i="10"/>
  <c r="CJ23" i="10"/>
  <c r="CJ24" i="10"/>
  <c r="BX56" i="10" s="1"/>
  <c r="ER23" i="10"/>
  <c r="ER24" i="10"/>
  <c r="EF56" i="10" s="1"/>
  <c r="BX23" i="10"/>
  <c r="BX24" i="10"/>
  <c r="BL56" i="10" s="1"/>
  <c r="P23" i="10"/>
  <c r="AB23" i="10"/>
  <c r="AN23" i="10"/>
  <c r="AZ23" i="10"/>
  <c r="BL23" i="10"/>
  <c r="BY23" i="10"/>
  <c r="CK23" i="10"/>
  <c r="CW23" i="10"/>
  <c r="DI23" i="10"/>
  <c r="DU23" i="10"/>
  <c r="EG23" i="10"/>
  <c r="AM23" i="10"/>
  <c r="AM24" i="10"/>
  <c r="O23" i="10"/>
  <c r="O24" i="10"/>
  <c r="C56" i="10" s="1"/>
  <c r="BK23" i="10"/>
  <c r="BK24" i="10"/>
  <c r="BL25" i="10" s="1"/>
  <c r="EF23" i="10"/>
  <c r="EF24" i="10"/>
  <c r="DT56" i="10" s="1"/>
  <c r="DT23" i="10"/>
  <c r="DT24" i="10"/>
  <c r="DH56" i="10" s="1"/>
  <c r="EK23" i="10"/>
  <c r="DY23" i="10"/>
  <c r="DY25" i="10" s="1"/>
  <c r="DM23" i="10"/>
  <c r="DA23" i="10"/>
  <c r="CO23" i="10"/>
  <c r="CC23" i="10"/>
  <c r="BQ23" i="10"/>
  <c r="BE23" i="10"/>
  <c r="AS23" i="10"/>
  <c r="AG23" i="10"/>
  <c r="U23" i="10"/>
  <c r="ES24" i="10"/>
  <c r="EG24" i="10"/>
  <c r="DU56" i="10" s="1"/>
  <c r="DU24" i="10"/>
  <c r="DI24" i="10"/>
  <c r="CW56" i="10" s="1"/>
  <c r="CW24" i="10"/>
  <c r="CK56" i="10" s="1"/>
  <c r="CK24" i="10"/>
  <c r="CL25" i="10" s="1"/>
  <c r="BY24" i="10"/>
  <c r="BZ25" i="10" s="1"/>
  <c r="BM24" i="10"/>
  <c r="BA56" i="10" s="1"/>
  <c r="BA24" i="10"/>
  <c r="AO24" i="10"/>
  <c r="AC24" i="10"/>
  <c r="Q56" i="10" s="1"/>
  <c r="Q24" i="10"/>
  <c r="E56" i="10" s="1"/>
  <c r="EJ23" i="10"/>
  <c r="DX23" i="10"/>
  <c r="DX25" i="10" s="1"/>
  <c r="DL23" i="10"/>
  <c r="DL25" i="10" s="1"/>
  <c r="CZ23" i="10"/>
  <c r="CN23" i="10"/>
  <c r="CB23" i="10"/>
  <c r="BP23" i="10"/>
  <c r="BD23" i="10"/>
  <c r="AR23" i="10"/>
  <c r="AF23" i="10"/>
  <c r="T23" i="10"/>
  <c r="BL24" i="10"/>
  <c r="AZ24" i="10"/>
  <c r="AN24" i="10"/>
  <c r="AO25" i="10" s="1"/>
  <c r="AB24" i="10"/>
  <c r="AC25" i="10" s="1"/>
  <c r="P24" i="10"/>
  <c r="Q25" i="10" s="1"/>
  <c r="EI23" i="10"/>
  <c r="EI25" i="10" s="1"/>
  <c r="DW23" i="10"/>
  <c r="DW25" i="10" s="1"/>
  <c r="DK23" i="10"/>
  <c r="CY23" i="10"/>
  <c r="CM23" i="10"/>
  <c r="CA23" i="10"/>
  <c r="BO23" i="10"/>
  <c r="BO25" i="10" s="1"/>
  <c r="BC23" i="10"/>
  <c r="AQ23" i="10"/>
  <c r="AE23" i="10"/>
  <c r="S23" i="10"/>
  <c r="EQ24" i="10"/>
  <c r="EE24" i="10"/>
  <c r="DS56" i="10" s="1"/>
  <c r="DS24" i="10"/>
  <c r="DT25" i="10" s="1"/>
  <c r="DG24" i="10"/>
  <c r="CU56" i="10" s="1"/>
  <c r="CU24" i="10"/>
  <c r="CI56" i="10" s="1"/>
  <c r="CI24" i="10"/>
  <c r="BW24" i="10"/>
  <c r="BK56" i="10" s="1"/>
  <c r="BJ24" i="10"/>
  <c r="AX56" i="10" s="1"/>
  <c r="AX24" i="10"/>
  <c r="AL24" i="10"/>
  <c r="Z24" i="10"/>
  <c r="N56" i="10" s="1"/>
  <c r="N24" i="10"/>
  <c r="EO24" i="10"/>
  <c r="EP25" i="10" s="1"/>
  <c r="EC24" i="10"/>
  <c r="DQ56" i="10" s="1"/>
  <c r="DQ24" i="10"/>
  <c r="DE56" i="10" s="1"/>
  <c r="DE24" i="10"/>
  <c r="CS56" i="10" s="1"/>
  <c r="CS24" i="10"/>
  <c r="CG56" i="10" s="1"/>
  <c r="CG24" i="10"/>
  <c r="BU24" i="10"/>
  <c r="BV25" i="10" s="1"/>
  <c r="EN24" i="10"/>
  <c r="EB24" i="10"/>
  <c r="DP24" i="10"/>
  <c r="DQ25" i="10" s="1"/>
  <c r="DD24" i="10"/>
  <c r="CR24" i="10"/>
  <c r="CF24" i="10"/>
  <c r="BT24" i="10"/>
  <c r="BU25" i="10" s="1"/>
  <c r="BH24" i="10"/>
  <c r="AV24" i="10"/>
  <c r="AJ24" i="10"/>
  <c r="X56" i="10" s="1"/>
  <c r="X24" i="10"/>
  <c r="L24" i="10"/>
  <c r="M25" i="10" s="1"/>
  <c r="EM24" i="10"/>
  <c r="EA56" i="10" s="1"/>
  <c r="EA24" i="10"/>
  <c r="EB25" i="10" s="1"/>
  <c r="DO24" i="10"/>
  <c r="DC56" i="10" s="1"/>
  <c r="DC24" i="10"/>
  <c r="DD25" i="10" s="1"/>
  <c r="CQ24" i="10"/>
  <c r="CE24" i="10"/>
  <c r="CF25" i="10" s="1"/>
  <c r="BS24" i="10"/>
  <c r="BT25" i="10" s="1"/>
  <c r="BG24" i="10"/>
  <c r="AU56" i="10" s="1"/>
  <c r="AU24" i="10"/>
  <c r="AV25" i="10" s="1"/>
  <c r="AI24" i="10"/>
  <c r="W56" i="10" s="1"/>
  <c r="W24" i="10"/>
  <c r="K24" i="10"/>
  <c r="GT53" i="10"/>
  <c r="HF53" i="10"/>
  <c r="FP53" i="10"/>
  <c r="GB53" i="10"/>
  <c r="GN53" i="10"/>
  <c r="GZ53" i="10"/>
  <c r="BO26" i="10"/>
  <c r="EO53" i="10"/>
  <c r="EJ53" i="10"/>
  <c r="EH53" i="10"/>
  <c r="EI53" i="10"/>
  <c r="EZ53" i="10"/>
  <c r="FL53" i="10"/>
  <c r="FX53" i="10"/>
  <c r="GJ53" i="10"/>
  <c r="GV53" i="10"/>
  <c r="HH53" i="10"/>
  <c r="FA53" i="10"/>
  <c r="FM53" i="10"/>
  <c r="EP53" i="10"/>
  <c r="FB53" i="10"/>
  <c r="FN53" i="10"/>
  <c r="FZ53" i="10"/>
  <c r="GL53" i="10"/>
  <c r="GX53" i="10"/>
  <c r="HJ53" i="10"/>
  <c r="EQ53" i="10"/>
  <c r="FC53" i="10"/>
  <c r="FO53" i="10"/>
  <c r="GA53" i="10"/>
  <c r="GM53" i="10"/>
  <c r="GY53" i="10"/>
  <c r="ER53" i="10"/>
  <c r="FD53" i="10"/>
  <c r="EN53" i="10"/>
  <c r="ES53" i="10"/>
  <c r="FE53" i="10"/>
  <c r="FQ53" i="10"/>
  <c r="GC53" i="10"/>
  <c r="GO53" i="10"/>
  <c r="HA53" i="10"/>
  <c r="EM53" i="10"/>
  <c r="ET53" i="10"/>
  <c r="FF53" i="10"/>
  <c r="FR53" i="10"/>
  <c r="GD53" i="10"/>
  <c r="GP53" i="10"/>
  <c r="HB53" i="10"/>
  <c r="EL53" i="10"/>
  <c r="EU53" i="10"/>
  <c r="FG53" i="10"/>
  <c r="FS53" i="10"/>
  <c r="GE53" i="10"/>
  <c r="GQ53" i="10"/>
  <c r="HC53" i="10"/>
  <c r="EK53" i="10"/>
  <c r="EV53" i="10"/>
  <c r="FH53" i="10"/>
  <c r="FT53" i="10"/>
  <c r="GF53" i="10"/>
  <c r="GR53" i="10"/>
  <c r="HD53" i="10"/>
  <c r="EW53" i="10"/>
  <c r="FI53" i="10"/>
  <c r="FU53" i="10"/>
  <c r="GG53" i="10"/>
  <c r="GS53" i="10"/>
  <c r="HE53" i="10"/>
  <c r="EX53" i="10"/>
  <c r="FJ53" i="10"/>
  <c r="FV53" i="10"/>
  <c r="GH53" i="10"/>
  <c r="FY53" i="10"/>
  <c r="GK53" i="10"/>
  <c r="GW53" i="10"/>
  <c r="HI53" i="10"/>
  <c r="EY53" i="10"/>
  <c r="FK53" i="10"/>
  <c r="FW53" i="10"/>
  <c r="GI53" i="10"/>
  <c r="GU53" i="10"/>
  <c r="HG53" i="10"/>
  <c r="E16" i="10"/>
  <c r="D14" i="10"/>
  <c r="AA26" i="10"/>
  <c r="AM26" i="10"/>
  <c r="AY26" i="10"/>
  <c r="BK26" i="10"/>
  <c r="BW26" i="10"/>
  <c r="CI26" i="10"/>
  <c r="CU26" i="10"/>
  <c r="DG26" i="10"/>
  <c r="DS26" i="10"/>
  <c r="EE26" i="10"/>
  <c r="EQ26" i="10"/>
  <c r="X26" i="10"/>
  <c r="AJ26" i="10"/>
  <c r="AV26" i="10"/>
  <c r="BH26" i="10"/>
  <c r="BT26" i="10"/>
  <c r="CF26" i="10"/>
  <c r="CR26" i="10"/>
  <c r="DD26" i="10"/>
  <c r="DP26" i="10"/>
  <c r="EB26" i="10"/>
  <c r="EN26" i="10"/>
  <c r="L26" i="10"/>
  <c r="Z26" i="10"/>
  <c r="AL26" i="10"/>
  <c r="AX26" i="10"/>
  <c r="BJ26" i="10"/>
  <c r="BV26" i="10"/>
  <c r="CH26" i="10"/>
  <c r="CT26" i="10"/>
  <c r="DF26" i="10"/>
  <c r="DR26" i="10"/>
  <c r="ED26" i="10"/>
  <c r="EP26" i="10"/>
  <c r="AZ26" i="10"/>
  <c r="CV26" i="10"/>
  <c r="ER26" i="10"/>
  <c r="N26" i="10"/>
  <c r="O26" i="10"/>
  <c r="M26" i="10"/>
  <c r="BI26" i="10"/>
  <c r="BU26" i="10"/>
  <c r="CG26" i="10"/>
  <c r="CS26" i="10"/>
  <c r="DE26" i="10"/>
  <c r="DQ26" i="10"/>
  <c r="EC26" i="10"/>
  <c r="EO26" i="10"/>
  <c r="AD56" i="10"/>
  <c r="AP56" i="10"/>
  <c r="CL56" i="10"/>
  <c r="DJ56" i="10"/>
  <c r="DV56" i="10"/>
  <c r="BO56" i="10"/>
  <c r="CM56" i="10"/>
  <c r="DK56" i="10"/>
  <c r="DW56" i="10"/>
  <c r="H56" i="10"/>
  <c r="CZ56" i="10"/>
  <c r="DL56" i="10"/>
  <c r="CO56" i="10"/>
  <c r="DM56" i="10"/>
  <c r="DY56" i="10"/>
  <c r="J56" i="10"/>
  <c r="V56" i="10"/>
  <c r="BR56" i="10"/>
  <c r="CP56" i="10"/>
  <c r="DN56" i="10"/>
  <c r="DZ56" i="10"/>
  <c r="DO56" i="10"/>
  <c r="AV56" i="10"/>
  <c r="DD56" i="10"/>
  <c r="DP56" i="10"/>
  <c r="O56" i="10"/>
  <c r="AA56" i="10"/>
  <c r="DG56" i="10"/>
  <c r="AZ56" i="10"/>
  <c r="CV56" i="10"/>
  <c r="AL56" i="10"/>
  <c r="BJ56" i="10"/>
  <c r="ED56" i="10"/>
  <c r="BY56" i="10"/>
  <c r="EG56" i="10"/>
  <c r="M56" i="10"/>
  <c r="AK56" i="10"/>
  <c r="Y26" i="10"/>
  <c r="AK26" i="10"/>
  <c r="AW26" i="10"/>
  <c r="AF26" i="10"/>
  <c r="AR26" i="10"/>
  <c r="CN26" i="10"/>
  <c r="CZ26" i="10"/>
  <c r="DL26" i="10"/>
  <c r="U26" i="10"/>
  <c r="AG26" i="10"/>
  <c r="AS26" i="10"/>
  <c r="BE26" i="10"/>
  <c r="BQ26" i="10"/>
  <c r="CC26" i="10"/>
  <c r="CO26" i="10"/>
  <c r="DA26" i="10"/>
  <c r="DM26" i="10"/>
  <c r="DY26" i="10"/>
  <c r="EK26" i="10"/>
  <c r="EA26" i="10"/>
  <c r="DN26" i="10"/>
  <c r="DZ26" i="10"/>
  <c r="EL26" i="10"/>
  <c r="AI26" i="10"/>
  <c r="AU26" i="10"/>
  <c r="BG26" i="10"/>
  <c r="BS26" i="10"/>
  <c r="CE26" i="10"/>
  <c r="CQ26" i="10"/>
  <c r="DC26" i="10"/>
  <c r="DO26" i="10"/>
  <c r="EM26" i="10"/>
  <c r="DH26" i="10"/>
  <c r="EF26" i="10"/>
  <c r="CJ26" i="10"/>
  <c r="AH26" i="10"/>
  <c r="AT26" i="10"/>
  <c r="BF26" i="10"/>
  <c r="BR26" i="10"/>
  <c r="CD26" i="10"/>
  <c r="CP26" i="10"/>
  <c r="DB26" i="10"/>
  <c r="BX26" i="10"/>
  <c r="DT26" i="10"/>
  <c r="BL26" i="10"/>
  <c r="P26" i="10"/>
  <c r="AB26" i="10"/>
  <c r="AN26" i="10"/>
  <c r="CL26" i="10"/>
  <c r="AE26" i="10"/>
  <c r="DW26" i="10"/>
  <c r="AP26" i="10"/>
  <c r="BB26" i="10"/>
  <c r="BN26" i="10"/>
  <c r="V26" i="10"/>
  <c r="W26" i="10"/>
  <c r="R26" i="10"/>
  <c r="AD26" i="10"/>
  <c r="CY26" i="10"/>
  <c r="CB26" i="10"/>
  <c r="T26" i="10"/>
  <c r="EI26" i="10"/>
  <c r="EJ26" i="10"/>
  <c r="BP26" i="10"/>
  <c r="BZ26" i="10"/>
  <c r="CX26" i="10"/>
  <c r="DJ26" i="10"/>
  <c r="DV26" i="10"/>
  <c r="EH26" i="10"/>
  <c r="DX26" i="10"/>
  <c r="BD26" i="10"/>
  <c r="S26" i="10"/>
  <c r="AQ26" i="10"/>
  <c r="BC26" i="10"/>
  <c r="CA26" i="10"/>
  <c r="CM26" i="10"/>
  <c r="DK26" i="10"/>
  <c r="Q26" i="10"/>
  <c r="AO26" i="10"/>
  <c r="BA26" i="10"/>
  <c r="CK26" i="10"/>
  <c r="DI26" i="10"/>
  <c r="DU26" i="10"/>
  <c r="EG26" i="10"/>
  <c r="CW26" i="10"/>
  <c r="BM26" i="10"/>
  <c r="AC26" i="10"/>
  <c r="BY26" i="10"/>
  <c r="ES26" i="10"/>
  <c r="H26" i="2"/>
  <c r="H28" i="2" s="1"/>
  <c r="H30" i="2" s="1"/>
  <c r="H32" i="2" s="1"/>
  <c r="H44" i="2" s="1"/>
  <c r="E26" i="2"/>
  <c r="E28" i="2" s="1"/>
  <c r="E30" i="2" s="1"/>
  <c r="E32" i="2" s="1"/>
  <c r="E44" i="2" s="1"/>
  <c r="L26" i="2"/>
  <c r="L28" i="2" s="1"/>
  <c r="L30" i="2" s="1"/>
  <c r="L32" i="2" s="1"/>
  <c r="L44" i="2" s="1"/>
  <c r="K26" i="2"/>
  <c r="K28" i="2" s="1"/>
  <c r="K30" i="2" s="1"/>
  <c r="K32" i="2" s="1"/>
  <c r="K44" i="2" s="1"/>
  <c r="J26" i="2"/>
  <c r="J28" i="2" s="1"/>
  <c r="J30" i="2" s="1"/>
  <c r="J32" i="2" s="1"/>
  <c r="J44" i="2" s="1"/>
  <c r="G26" i="2"/>
  <c r="G28" i="2" s="1"/>
  <c r="G30" i="2" s="1"/>
  <c r="G32" i="2" s="1"/>
  <c r="G44" i="2" s="1"/>
  <c r="F26" i="2"/>
  <c r="F28" i="2" s="1"/>
  <c r="F30" i="2" s="1"/>
  <c r="F32" i="2" s="1"/>
  <c r="F44" i="2" s="1"/>
  <c r="C22" i="1"/>
  <c r="C28" i="1" s="1"/>
  <c r="C39" i="1" s="1"/>
  <c r="C41" i="1" s="1"/>
  <c r="C43" i="1" s="1"/>
  <c r="C45" i="1" s="1"/>
  <c r="C57" i="1" s="1"/>
  <c r="D22" i="1"/>
  <c r="D28" i="1" s="1"/>
  <c r="D39" i="1" s="1"/>
  <c r="D41" i="1" s="1"/>
  <c r="D43" i="1" s="1"/>
  <c r="D45" i="1" s="1"/>
  <c r="D57" i="1" s="1"/>
  <c r="BM56" i="10" l="1"/>
  <c r="V25" i="10"/>
  <c r="L25" i="10"/>
  <c r="G38" i="13"/>
  <c r="R44" i="13"/>
  <c r="H44" i="13"/>
  <c r="X44" i="13"/>
  <c r="C45" i="13"/>
  <c r="L44" i="13"/>
  <c r="I44" i="13"/>
  <c r="W44" i="13"/>
  <c r="AA44" i="13"/>
  <c r="K44" i="13"/>
  <c r="O44" i="13"/>
  <c r="Z44" i="13"/>
  <c r="M44" i="13"/>
  <c r="AC44" i="13"/>
  <c r="P44" i="13"/>
  <c r="T44" i="13"/>
  <c r="S44" i="13"/>
  <c r="U44" i="13"/>
  <c r="Q44" i="13"/>
  <c r="AB44" i="13"/>
  <c r="V44" i="13"/>
  <c r="Y44" i="13"/>
  <c r="N44" i="13"/>
  <c r="G44" i="13"/>
  <c r="J44" i="13"/>
  <c r="AD44" i="13"/>
  <c r="I40" i="14"/>
  <c r="I73" i="14" s="1"/>
  <c r="O103" i="9"/>
  <c r="O104" i="9" s="1"/>
  <c r="O106" i="9" s="1"/>
  <c r="G104" i="9"/>
  <c r="G106" i="9" s="1"/>
  <c r="C129" i="9" s="1"/>
  <c r="K41" i="9"/>
  <c r="J41" i="9"/>
  <c r="L41" i="9"/>
  <c r="M41" i="9"/>
  <c r="N41" i="9"/>
  <c r="C41" i="9"/>
  <c r="O41" i="9"/>
  <c r="D41" i="9"/>
  <c r="E41" i="9"/>
  <c r="F41" i="9"/>
  <c r="G41" i="9"/>
  <c r="H41" i="9"/>
  <c r="I41" i="9"/>
  <c r="CR25" i="10"/>
  <c r="CS25" i="10"/>
  <c r="AT25" i="10"/>
  <c r="AH57" i="10" s="1"/>
  <c r="BA25" i="10"/>
  <c r="AG25" i="10"/>
  <c r="AF25" i="10"/>
  <c r="DO25" i="10"/>
  <c r="AN56" i="10"/>
  <c r="AW25" i="10"/>
  <c r="AK57" i="10" s="1"/>
  <c r="DK25" i="10"/>
  <c r="CY57" i="10" s="1"/>
  <c r="BP25" i="10"/>
  <c r="BD57" i="10" s="1"/>
  <c r="I56" i="10"/>
  <c r="ED25" i="10"/>
  <c r="DA25" i="10"/>
  <c r="BJ25" i="10"/>
  <c r="AX57" i="10" s="1"/>
  <c r="CG25" i="10"/>
  <c r="ER25" i="10"/>
  <c r="CZ25" i="10"/>
  <c r="DM25" i="10"/>
  <c r="CA25" i="10"/>
  <c r="BO57" i="10" s="1"/>
  <c r="BT56" i="10"/>
  <c r="EK25" i="10"/>
  <c r="DY57" i="10" s="1"/>
  <c r="BH56" i="10"/>
  <c r="BQ56" i="10"/>
  <c r="EC56" i="10"/>
  <c r="CC25" i="10"/>
  <c r="DE25" i="10"/>
  <c r="CS57" i="10" s="1"/>
  <c r="P56" i="10"/>
  <c r="EL25" i="10"/>
  <c r="DZ57" i="10" s="1"/>
  <c r="CQ56" i="10"/>
  <c r="K25" i="10"/>
  <c r="AB56" i="10"/>
  <c r="C66" i="14"/>
  <c r="C67" i="14"/>
  <c r="H73" i="14"/>
  <c r="C68" i="14"/>
  <c r="C69" i="14"/>
  <c r="D56" i="10"/>
  <c r="BH25" i="10"/>
  <c r="AV57" i="10" s="1"/>
  <c r="EA25" i="10"/>
  <c r="DO57" i="10" s="1"/>
  <c r="DZ25" i="10"/>
  <c r="DN57" i="10" s="1"/>
  <c r="EH25" i="10"/>
  <c r="DV57" i="10" s="1"/>
  <c r="EE56" i="10"/>
  <c r="BG56" i="10"/>
  <c r="DP25" i="10"/>
  <c r="DD57" i="10" s="1"/>
  <c r="EJ25" i="10"/>
  <c r="BS56" i="10"/>
  <c r="CR56" i="10"/>
  <c r="AI56" i="10"/>
  <c r="BC25" i="10"/>
  <c r="BM25" i="10"/>
  <c r="BA57" i="10" s="1"/>
  <c r="AI25" i="10"/>
  <c r="W57" i="10" s="1"/>
  <c r="W25" i="10"/>
  <c r="K57" i="10" s="1"/>
  <c r="ES25" i="10"/>
  <c r="EG57" i="10" s="1"/>
  <c r="AH25" i="10"/>
  <c r="X25" i="10"/>
  <c r="L57" i="10" s="1"/>
  <c r="Y25" i="10"/>
  <c r="M57" i="10" s="1"/>
  <c r="CJ25" i="10"/>
  <c r="AY56" i="10"/>
  <c r="AJ56" i="10"/>
  <c r="DB56" i="10"/>
  <c r="U56" i="10"/>
  <c r="AJ25" i="10"/>
  <c r="X57" i="10" s="1"/>
  <c r="AK25" i="10"/>
  <c r="Y57" i="10" s="1"/>
  <c r="CY25" i="10"/>
  <c r="CM57" i="10" s="1"/>
  <c r="DN25" i="10"/>
  <c r="DB57" i="10" s="1"/>
  <c r="EO25" i="10"/>
  <c r="CT25" i="10"/>
  <c r="CH57" i="10" s="1"/>
  <c r="BD25" i="10"/>
  <c r="AR57" i="10" s="1"/>
  <c r="BN25" i="10"/>
  <c r="BQ25" i="10"/>
  <c r="BE25" i="10"/>
  <c r="DH25" i="10"/>
  <c r="CV57" i="10" s="1"/>
  <c r="T25" i="10"/>
  <c r="BB25" i="10"/>
  <c r="AP57" i="10" s="1"/>
  <c r="BI25" i="10"/>
  <c r="AW57" i="10" s="1"/>
  <c r="CX25" i="10"/>
  <c r="CL57" i="10" s="1"/>
  <c r="BF56" i="10"/>
  <c r="DJ25" i="10"/>
  <c r="CX57" i="10" s="1"/>
  <c r="EB56" i="10"/>
  <c r="AG56" i="10"/>
  <c r="DV25" i="10"/>
  <c r="DJ57" i="10" s="1"/>
  <c r="CM25" i="10"/>
  <c r="AE25" i="10"/>
  <c r="BG25" i="10"/>
  <c r="AU57" i="10" s="1"/>
  <c r="AQ25" i="10"/>
  <c r="CQ25" i="10"/>
  <c r="CE57" i="10" s="1"/>
  <c r="CP25" i="10"/>
  <c r="CD57" i="10" s="1"/>
  <c r="AU25" i="10"/>
  <c r="AI57" i="10" s="1"/>
  <c r="AY25" i="10"/>
  <c r="AM57" i="10" s="1"/>
  <c r="R25" i="10"/>
  <c r="F57" i="10" s="1"/>
  <c r="U25" i="10"/>
  <c r="I57" i="10" s="1"/>
  <c r="CE25" i="10"/>
  <c r="BS57" i="10" s="1"/>
  <c r="P25" i="10"/>
  <c r="CN25" i="10"/>
  <c r="CH25" i="10"/>
  <c r="BR25" i="10"/>
  <c r="BF57" i="10" s="1"/>
  <c r="DR25" i="10"/>
  <c r="CB25" i="10"/>
  <c r="BP57" i="10" s="1"/>
  <c r="CO25" i="10"/>
  <c r="CC57" i="10" s="1"/>
  <c r="O25" i="10"/>
  <c r="C57" i="10" s="1"/>
  <c r="S25" i="10"/>
  <c r="G57" i="10" s="1"/>
  <c r="AB25" i="10"/>
  <c r="G41" i="13"/>
  <c r="G29" i="13"/>
  <c r="G31" i="13" s="1"/>
  <c r="C29" i="13"/>
  <c r="C31" i="13" s="1"/>
  <c r="C32" i="13" s="1"/>
  <c r="H29" i="13"/>
  <c r="I29" i="13" s="1"/>
  <c r="J29" i="13" s="1"/>
  <c r="K29" i="13" s="1"/>
  <c r="L29" i="13" s="1"/>
  <c r="M29" i="13" s="1"/>
  <c r="N29" i="13" s="1"/>
  <c r="O29" i="13" s="1"/>
  <c r="P29" i="13" s="1"/>
  <c r="Q29" i="13" s="1"/>
  <c r="R29" i="13" s="1"/>
  <c r="S29" i="13" s="1"/>
  <c r="T29" i="13" s="1"/>
  <c r="U29" i="13" s="1"/>
  <c r="V29" i="13" s="1"/>
  <c r="W29" i="13" s="1"/>
  <c r="X29" i="13" s="1"/>
  <c r="Y29" i="13" s="1"/>
  <c r="Z29" i="13" s="1"/>
  <c r="AA29" i="13" s="1"/>
  <c r="AB29" i="13" s="1"/>
  <c r="AC29" i="13" s="1"/>
  <c r="AD29" i="13" s="1"/>
  <c r="AP25" i="10"/>
  <c r="AD57" i="10" s="1"/>
  <c r="CF56" i="10"/>
  <c r="AR25" i="10"/>
  <c r="AS25" i="10"/>
  <c r="AG57" i="10" s="1"/>
  <c r="EQ25" i="10"/>
  <c r="EE57" i="10" s="1"/>
  <c r="CV25" i="10"/>
  <c r="CJ57" i="10" s="1"/>
  <c r="EF25" i="10"/>
  <c r="DT57" i="10" s="1"/>
  <c r="AN25" i="10"/>
  <c r="AB57" i="10" s="1"/>
  <c r="AW56" i="10"/>
  <c r="AA25" i="10"/>
  <c r="O57" i="10" s="1"/>
  <c r="DU25" i="10"/>
  <c r="DI57" i="10" s="1"/>
  <c r="DI56" i="10"/>
  <c r="AM25" i="10"/>
  <c r="AL25" i="10"/>
  <c r="Z57" i="10" s="1"/>
  <c r="EC25" i="10"/>
  <c r="BI56" i="10"/>
  <c r="AC56" i="10"/>
  <c r="CE56" i="10"/>
  <c r="EN25" i="10"/>
  <c r="EB57" i="10" s="1"/>
  <c r="AD25" i="10"/>
  <c r="R57" i="10" s="1"/>
  <c r="N25" i="10"/>
  <c r="BF25" i="10"/>
  <c r="AT57" i="10" s="1"/>
  <c r="DS25" i="10"/>
  <c r="DG57" i="10" s="1"/>
  <c r="K56" i="10"/>
  <c r="DF25" i="10"/>
  <c r="CT57" i="10" s="1"/>
  <c r="EG25" i="10"/>
  <c r="DU57" i="10" s="1"/>
  <c r="CU25" i="10"/>
  <c r="CI57" i="10" s="1"/>
  <c r="CW25" i="10"/>
  <c r="CK57" i="10" s="1"/>
  <c r="L56" i="10"/>
  <c r="CK25" i="10"/>
  <c r="BY57" i="10" s="1"/>
  <c r="CI25" i="10"/>
  <c r="BW57" i="10" s="1"/>
  <c r="DI25" i="10"/>
  <c r="CW57" i="10" s="1"/>
  <c r="BU56" i="10"/>
  <c r="BW25" i="10"/>
  <c r="BK57" i="10" s="1"/>
  <c r="BW56" i="10"/>
  <c r="AX25" i="10"/>
  <c r="DF56" i="10"/>
  <c r="BK25" i="10"/>
  <c r="AY57" i="10" s="1"/>
  <c r="EE25" i="10"/>
  <c r="DS57" i="10" s="1"/>
  <c r="Z25" i="10"/>
  <c r="N57" i="10" s="1"/>
  <c r="AZ25" i="10"/>
  <c r="AN57" i="10" s="1"/>
  <c r="AO56" i="10"/>
  <c r="BX25" i="10"/>
  <c r="BL57" i="10" s="1"/>
  <c r="BY25" i="10"/>
  <c r="BM57" i="10" s="1"/>
  <c r="DG25" i="10"/>
  <c r="CU57" i="10" s="1"/>
  <c r="BC57" i="10"/>
  <c r="BB56" i="10"/>
  <c r="Y56" i="10"/>
  <c r="AA57" i="10"/>
  <c r="Z56" i="10"/>
  <c r="DR56" i="10"/>
  <c r="DF57" i="10"/>
  <c r="DR57" i="10"/>
  <c r="BJ57" i="10"/>
  <c r="BV57" i="10"/>
  <c r="P57" i="10"/>
  <c r="BI57" i="10"/>
  <c r="AJ57" i="10"/>
  <c r="EF57" i="10"/>
  <c r="AC57" i="10"/>
  <c r="V57" i="10"/>
  <c r="DW57" i="10"/>
  <c r="Q57" i="10"/>
  <c r="ED57" i="10"/>
  <c r="J57" i="10"/>
  <c r="DX57" i="10"/>
  <c r="DK57" i="10"/>
  <c r="DL57" i="10"/>
  <c r="BB57" i="10"/>
  <c r="DM57" i="10"/>
  <c r="CZ57" i="10"/>
  <c r="DH57" i="10"/>
  <c r="EA57" i="10"/>
  <c r="DA57" i="10"/>
  <c r="CN57" i="10"/>
  <c r="CA57" i="10"/>
  <c r="AL57" i="10"/>
  <c r="BZ57" i="10"/>
  <c r="EC57" i="10"/>
  <c r="DP57" i="10"/>
  <c r="DC57" i="10"/>
  <c r="CP57" i="10"/>
  <c r="BX57" i="10"/>
  <c r="DQ57" i="10"/>
  <c r="CQ57" i="10"/>
  <c r="BQ57" i="10"/>
  <c r="AQ57" i="10"/>
  <c r="DE57" i="10"/>
  <c r="CR57" i="10"/>
  <c r="BR57" i="10"/>
  <c r="BE57" i="10"/>
  <c r="AE57" i="10"/>
  <c r="BN57" i="10"/>
  <c r="AZ57" i="10"/>
  <c r="CF57" i="10"/>
  <c r="AS57" i="10"/>
  <c r="AF57" i="10"/>
  <c r="S57" i="10"/>
  <c r="FO54" i="10"/>
  <c r="FO55" i="10" s="1"/>
  <c r="FC54" i="10"/>
  <c r="FC55" i="10" s="1"/>
  <c r="EQ54" i="10"/>
  <c r="EQ55" i="10" s="1"/>
  <c r="EI54" i="10"/>
  <c r="EI55" i="10" s="1"/>
  <c r="FN54" i="10"/>
  <c r="FN55" i="10" s="1"/>
  <c r="FB54" i="10"/>
  <c r="FB55" i="10" s="1"/>
  <c r="EP54" i="10"/>
  <c r="EP55" i="10" s="1"/>
  <c r="EJ54" i="10"/>
  <c r="EJ55" i="10" s="1"/>
  <c r="FM54" i="10"/>
  <c r="FM55" i="10" s="1"/>
  <c r="FA54" i="10"/>
  <c r="FA55" i="10" s="1"/>
  <c r="EK54" i="10"/>
  <c r="EK55" i="10" s="1"/>
  <c r="FL54" i="10"/>
  <c r="FL55" i="10" s="1"/>
  <c r="EZ54" i="10"/>
  <c r="EZ55" i="10" s="1"/>
  <c r="EL54" i="10"/>
  <c r="EL55" i="10" s="1"/>
  <c r="FK54" i="10"/>
  <c r="FK55" i="10" s="1"/>
  <c r="EY54" i="10"/>
  <c r="EY55" i="10" s="1"/>
  <c r="EM54" i="10"/>
  <c r="EM55" i="10" s="1"/>
  <c r="ES54" i="10"/>
  <c r="ES55" i="10" s="1"/>
  <c r="FJ54" i="10"/>
  <c r="FJ55" i="10" s="1"/>
  <c r="EX54" i="10"/>
  <c r="EX55" i="10" s="1"/>
  <c r="EN54" i="10"/>
  <c r="EN55" i="10" s="1"/>
  <c r="FI54" i="10"/>
  <c r="FI55" i="10" s="1"/>
  <c r="EW54" i="10"/>
  <c r="EW55" i="10" s="1"/>
  <c r="EO54" i="10"/>
  <c r="EO55" i="10" s="1"/>
  <c r="FH54" i="10"/>
  <c r="FH55" i="10" s="1"/>
  <c r="EV54" i="10"/>
  <c r="EV55" i="10" s="1"/>
  <c r="EH54" i="10"/>
  <c r="EH55" i="10" s="1"/>
  <c r="EH57" i="10" s="1"/>
  <c r="FG54" i="10"/>
  <c r="FG55" i="10" s="1"/>
  <c r="EU54" i="10"/>
  <c r="EU55" i="10" s="1"/>
  <c r="FE54" i="10"/>
  <c r="FE55" i="10" s="1"/>
  <c r="FF54" i="10"/>
  <c r="FF55" i="10" s="1"/>
  <c r="ET54" i="10"/>
  <c r="ET55" i="10" s="1"/>
  <c r="FP54" i="10"/>
  <c r="FP55" i="10" s="1"/>
  <c r="FD54" i="10"/>
  <c r="FD55" i="10" s="1"/>
  <c r="ER54" i="10"/>
  <c r="ER55" i="10" s="1"/>
  <c r="CO57" i="10"/>
  <c r="CG57" i="10"/>
  <c r="BT57" i="10"/>
  <c r="BG57" i="10"/>
  <c r="T57" i="10"/>
  <c r="CB57" i="10"/>
  <c r="AO57" i="10"/>
  <c r="BU57" i="10"/>
  <c r="BH57" i="10"/>
  <c r="U57" i="10"/>
  <c r="H57" i="10"/>
  <c r="E57" i="10"/>
  <c r="D57" i="10"/>
  <c r="HJ54" i="10"/>
  <c r="HJ55" i="10" s="1"/>
  <c r="AA45" i="13" l="1"/>
  <c r="T45" i="13"/>
  <c r="O45" i="13"/>
  <c r="V45" i="13"/>
  <c r="Z45" i="13"/>
  <c r="J45" i="13"/>
  <c r="J46" i="13" s="1"/>
  <c r="N45" i="13"/>
  <c r="N46" i="13" s="1"/>
  <c r="I45" i="13"/>
  <c r="I46" i="13" s="1"/>
  <c r="Y45" i="13"/>
  <c r="H45" i="13"/>
  <c r="H46" i="13" s="1"/>
  <c r="W45" i="13"/>
  <c r="U45" i="13"/>
  <c r="S45" i="13"/>
  <c r="G45" i="13"/>
  <c r="G46" i="13" s="1"/>
  <c r="R45" i="13"/>
  <c r="L45" i="13"/>
  <c r="L46" i="13" s="1"/>
  <c r="Q45" i="13"/>
  <c r="AC45" i="13"/>
  <c r="AD45" i="13"/>
  <c r="M45" i="13"/>
  <c r="M46" i="13" s="1"/>
  <c r="X45" i="13"/>
  <c r="AB45" i="13"/>
  <c r="K45" i="13"/>
  <c r="K46" i="13" s="1"/>
  <c r="E15" i="13" s="1"/>
  <c r="E28" i="18" s="1"/>
  <c r="P45" i="13"/>
  <c r="J72" i="14"/>
  <c r="J74" i="14" s="1"/>
  <c r="C72" i="14"/>
  <c r="C74" i="14" s="1"/>
  <c r="I72" i="14"/>
  <c r="I74" i="14" s="1"/>
  <c r="E72" i="14"/>
  <c r="E74" i="14" s="1"/>
  <c r="D72" i="14"/>
  <c r="D74" i="14" s="1"/>
  <c r="F72" i="14"/>
  <c r="F74" i="14" s="1"/>
  <c r="H72" i="14"/>
  <c r="H74" i="14" s="1"/>
  <c r="G72" i="14"/>
  <c r="G74" i="14" s="1"/>
  <c r="EH56" i="10"/>
  <c r="EI57" i="10" s="1"/>
  <c r="FT54" i="10"/>
  <c r="FT55" i="10" s="1"/>
  <c r="FR54" i="10"/>
  <c r="FR55" i="10" s="1"/>
  <c r="FV54" i="10"/>
  <c r="FV55" i="10" s="1"/>
  <c r="GF54" i="10"/>
  <c r="GF55" i="10" s="1"/>
  <c r="GT54" i="10"/>
  <c r="GT55" i="10" s="1"/>
  <c r="GN54" i="10"/>
  <c r="GN55" i="10" s="1"/>
  <c r="GE54" i="10"/>
  <c r="GE55" i="10" s="1"/>
  <c r="GH54" i="10"/>
  <c r="GH55" i="10" s="1"/>
  <c r="GV54" i="10"/>
  <c r="GV55" i="10" s="1"/>
  <c r="HD54" i="10"/>
  <c r="HD55" i="10" s="1"/>
  <c r="GB54" i="10"/>
  <c r="GB55" i="10" s="1"/>
  <c r="GZ54" i="10"/>
  <c r="GZ55" i="10" s="1"/>
  <c r="GQ54" i="10"/>
  <c r="GQ55" i="10" s="1"/>
  <c r="FY54" i="10"/>
  <c r="FY55" i="10" s="1"/>
  <c r="GA54" i="10"/>
  <c r="GA55" i="10" s="1"/>
  <c r="GO54" i="10"/>
  <c r="GO55" i="10" s="1"/>
  <c r="GR54" i="10"/>
  <c r="GR55" i="10" s="1"/>
  <c r="FS54" i="10"/>
  <c r="FS55" i="10" s="1"/>
  <c r="FQ54" i="10"/>
  <c r="FQ55" i="10" s="1"/>
  <c r="FU54" i="10"/>
  <c r="FU55" i="10" s="1"/>
  <c r="GK54" i="10"/>
  <c r="GK55" i="10" s="1"/>
  <c r="GJ54" i="10"/>
  <c r="GJ55" i="10" s="1"/>
  <c r="HF54" i="10"/>
  <c r="HF55" i="10" s="1"/>
  <c r="HC54" i="10"/>
  <c r="HC55" i="10" s="1"/>
  <c r="HA54" i="10"/>
  <c r="HA55" i="10" s="1"/>
  <c r="GC54" i="10"/>
  <c r="GC55" i="10" s="1"/>
  <c r="GG54" i="10"/>
  <c r="GG55" i="10" s="1"/>
  <c r="GU54" i="10"/>
  <c r="GU55" i="10" s="1"/>
  <c r="GW54" i="10"/>
  <c r="GW55" i="10" s="1"/>
  <c r="HG54" i="10"/>
  <c r="HG55" i="10" s="1"/>
  <c r="HI54" i="10"/>
  <c r="HI55" i="10" s="1"/>
  <c r="FX54" i="10"/>
  <c r="FX55" i="10" s="1"/>
  <c r="GM54" i="10"/>
  <c r="GM55" i="10" s="1"/>
  <c r="GY54" i="10"/>
  <c r="GY55" i="10" s="1"/>
  <c r="FZ54" i="10"/>
  <c r="FZ55" i="10" s="1"/>
  <c r="HH54" i="10"/>
  <c r="HH55" i="10" s="1"/>
  <c r="GD54" i="10"/>
  <c r="GD55" i="10" s="1"/>
  <c r="GS54" i="10"/>
  <c r="GS55" i="10" s="1"/>
  <c r="GL54" i="10"/>
  <c r="GL55" i="10" s="1"/>
  <c r="FW54" i="10"/>
  <c r="FW55" i="10" s="1"/>
  <c r="GX54" i="10"/>
  <c r="GX55" i="10" s="1"/>
  <c r="GP54" i="10"/>
  <c r="GP55" i="10" s="1"/>
  <c r="HE54" i="10"/>
  <c r="HE55" i="10" s="1"/>
  <c r="HB54" i="10"/>
  <c r="HB55" i="10" s="1"/>
  <c r="GI54" i="10"/>
  <c r="GI55" i="10" s="1"/>
  <c r="D15" i="13" l="1"/>
  <c r="D28" i="18" s="1"/>
  <c r="O46" i="13"/>
  <c r="N43" i="9"/>
  <c r="J43" i="9"/>
  <c r="L43" i="9"/>
  <c r="H43" i="9"/>
  <c r="D43" i="9"/>
  <c r="G43" i="9"/>
  <c r="F43" i="9"/>
  <c r="M43" i="9"/>
  <c r="C43" i="9"/>
  <c r="E43" i="9"/>
  <c r="K43" i="9"/>
  <c r="EI56" i="10"/>
  <c r="EJ57" i="10" s="1"/>
  <c r="O43" i="9"/>
  <c r="I43" i="9"/>
  <c r="P46" i="13" l="1"/>
  <c r="EJ56" i="10"/>
  <c r="EK57" i="10" l="1"/>
  <c r="EK56" i="10"/>
  <c r="Q46" i="13"/>
  <c r="EL57" i="10"/>
  <c r="F15" i="13" l="1"/>
  <c r="F28" i="18" s="1"/>
  <c r="R46" i="13"/>
  <c r="EL56" i="10"/>
  <c r="EM57" i="10" s="1"/>
  <c r="S46" i="13" l="1"/>
  <c r="EM56" i="10"/>
  <c r="EN57" i="10" s="1"/>
  <c r="T46" i="13" l="1"/>
  <c r="EN56" i="10"/>
  <c r="EO57" i="10" s="1"/>
  <c r="U46" i="13" l="1"/>
  <c r="EO56" i="10"/>
  <c r="EP56" i="10" s="1"/>
  <c r="EP57" i="10"/>
  <c r="G15" i="13" l="1"/>
  <c r="G28" i="18" s="1"/>
  <c r="V46" i="13"/>
  <c r="EQ56" i="10"/>
  <c r="EQ57" i="10"/>
  <c r="W46" i="13" l="1"/>
  <c r="ER56" i="10"/>
  <c r="ER57" i="10"/>
  <c r="X46" i="13" l="1"/>
  <c r="ES56" i="10"/>
  <c r="ES57" i="10"/>
  <c r="Y46" i="13" l="1"/>
  <c r="ET57" i="10"/>
  <c r="ET56" i="10"/>
  <c r="H15" i="13" l="1"/>
  <c r="H28" i="18" s="1"/>
  <c r="Z46" i="13"/>
  <c r="EU57" i="10"/>
  <c r="EU56" i="10"/>
  <c r="EV57" i="10" l="1"/>
  <c r="EV56" i="10"/>
  <c r="AB46" i="13" l="1"/>
  <c r="AA46" i="13"/>
  <c r="AC46" i="13"/>
  <c r="EW57" i="10"/>
  <c r="EW56" i="10"/>
  <c r="I15" i="13" l="1"/>
  <c r="I28" i="18" s="1"/>
  <c r="AD46" i="13"/>
  <c r="EX57" i="10"/>
  <c r="EX56" i="10"/>
  <c r="EY57" i="10" l="1"/>
  <c r="EY56" i="10"/>
  <c r="EZ56" i="10" l="1"/>
  <c r="EZ57" i="10"/>
  <c r="FA57" i="10" l="1"/>
  <c r="FA56" i="10"/>
  <c r="FB57" i="10" l="1"/>
  <c r="FB56" i="10"/>
  <c r="FC56" i="10" l="1"/>
  <c r="FC57" i="10"/>
  <c r="FD56" i="10" l="1"/>
  <c r="FD57" i="10"/>
  <c r="FE56" i="10" l="1"/>
  <c r="FE57" i="10"/>
  <c r="FF57" i="10" l="1"/>
  <c r="FF56" i="10"/>
  <c r="FG57" i="10" l="1"/>
  <c r="FG56" i="10"/>
  <c r="FH57" i="10" l="1"/>
  <c r="FH56" i="10"/>
  <c r="FI57" i="10" l="1"/>
  <c r="FI56" i="10"/>
  <c r="FJ57" i="10" l="1"/>
  <c r="FJ56" i="10"/>
  <c r="FK57" i="10" l="1"/>
  <c r="FK56" i="10"/>
  <c r="FL57" i="10" l="1"/>
  <c r="FL56" i="10"/>
  <c r="FM57" i="10" l="1"/>
  <c r="FM56" i="10"/>
  <c r="FN57" i="10" l="1"/>
  <c r="FN56" i="10"/>
  <c r="FO57" i="10" l="1"/>
  <c r="FO56" i="10"/>
  <c r="FP56" i="10" l="1"/>
  <c r="FP57" i="10"/>
  <c r="FQ56" i="10" l="1"/>
  <c r="FQ57" i="10"/>
  <c r="FR56" i="10" l="1"/>
  <c r="FR57" i="10"/>
  <c r="FS57" i="10" l="1"/>
  <c r="FS56" i="10"/>
  <c r="FT56" i="10" l="1"/>
  <c r="FT57" i="10"/>
  <c r="FU57" i="10" l="1"/>
  <c r="FU56" i="10"/>
  <c r="FV56" i="10" l="1"/>
  <c r="FV57" i="10"/>
  <c r="FW57" i="10" l="1"/>
  <c r="FW56" i="10"/>
  <c r="FX56" i="10" l="1"/>
  <c r="FX57" i="10"/>
  <c r="FY57" i="10" l="1"/>
  <c r="FY56" i="10"/>
  <c r="FZ57" i="10" l="1"/>
  <c r="FZ56" i="10"/>
  <c r="GA57" i="10" l="1"/>
  <c r="GA56" i="10"/>
  <c r="GB57" i="10" l="1"/>
  <c r="GB56" i="10"/>
  <c r="GC56" i="10" l="1"/>
  <c r="GC57" i="10"/>
  <c r="GD57" i="10" l="1"/>
  <c r="GD56" i="10"/>
  <c r="GE56" i="10" l="1"/>
  <c r="GE57" i="10"/>
  <c r="GF57" i="10" l="1"/>
  <c r="GF56" i="10"/>
  <c r="GG57" i="10" l="1"/>
  <c r="GG56" i="10"/>
  <c r="GH57" i="10" l="1"/>
  <c r="GH56" i="10"/>
  <c r="GI57" i="10" l="1"/>
  <c r="GI56" i="10"/>
  <c r="GJ57" i="10" l="1"/>
  <c r="GJ56" i="10"/>
  <c r="GK56" i="10" l="1"/>
  <c r="GK57" i="10"/>
  <c r="GL57" i="10" l="1"/>
  <c r="GL56" i="10"/>
  <c r="GM57" i="10" l="1"/>
  <c r="GM56" i="10"/>
  <c r="GN56" i="10" l="1"/>
  <c r="GN57" i="10"/>
  <c r="GO56" i="10" l="1"/>
  <c r="GO57" i="10"/>
  <c r="GP57" i="10" l="1"/>
  <c r="GP56" i="10"/>
  <c r="GQ57" i="10" l="1"/>
  <c r="GQ56" i="10"/>
  <c r="GR57" i="10" l="1"/>
  <c r="GR56" i="10"/>
  <c r="GS57" i="10" l="1"/>
  <c r="GS56" i="10"/>
  <c r="GT57" i="10" l="1"/>
  <c r="GT56" i="10"/>
  <c r="GU57" i="10" l="1"/>
  <c r="GU56" i="10"/>
  <c r="GV57" i="10" l="1"/>
  <c r="GV56" i="10"/>
  <c r="GW57" i="10" l="1"/>
  <c r="GW56" i="10"/>
  <c r="GX57" i="10" l="1"/>
  <c r="GX56" i="10"/>
  <c r="GY57" i="10" l="1"/>
  <c r="GY56" i="10"/>
  <c r="GZ56" i="10" l="1"/>
  <c r="GZ57" i="10"/>
  <c r="HA56" i="10" l="1"/>
  <c r="HA57" i="10"/>
  <c r="HB57" i="10" l="1"/>
  <c r="HB56" i="10"/>
  <c r="HC57" i="10" l="1"/>
  <c r="HC56" i="10"/>
  <c r="HD57" i="10" l="1"/>
  <c r="HD56" i="10"/>
  <c r="HE57" i="10" l="1"/>
  <c r="HE56" i="10"/>
  <c r="HF56" i="10" l="1"/>
  <c r="HF57" i="10"/>
  <c r="HG56" i="10" l="1"/>
  <c r="HG57" i="10"/>
  <c r="HH56" i="10" l="1"/>
  <c r="HH57" i="10"/>
  <c r="HI57" i="10" l="1"/>
  <c r="HI56" i="10"/>
  <c r="HJ56" i="10" l="1"/>
  <c r="HJ57" i="10"/>
  <c r="J34" i="10" a="1"/>
  <c r="J34" i="10" s="1"/>
  <c r="J33" i="10" a="1"/>
  <c r="J33" i="10" s="1"/>
  <c r="J32" i="10" a="1"/>
  <c r="J32" i="10" s="1"/>
  <c r="J31" i="10" a="1"/>
  <c r="J31" i="10" s="1"/>
  <c r="AI58" i="10" l="1"/>
  <c r="AI59" i="10" s="1"/>
  <c r="AI93" i="10" s="1"/>
  <c r="V58" i="10"/>
  <c r="V59" i="10" s="1"/>
  <c r="V61" i="10" s="1"/>
  <c r="V94" i="10" s="1"/>
  <c r="V95" i="10" s="1"/>
  <c r="AO58" i="10"/>
  <c r="AO59" i="10" s="1"/>
  <c r="HH58" i="10"/>
  <c r="HH59" i="10" s="1"/>
  <c r="HH93" i="10" s="1"/>
  <c r="BZ58" i="10"/>
  <c r="BZ59" i="10" s="1"/>
  <c r="BZ61" i="10" s="1"/>
  <c r="BZ94" i="10" s="1"/>
  <c r="BZ95" i="10" s="1"/>
  <c r="DF58" i="10"/>
  <c r="DF59" i="10" s="1"/>
  <c r="BS58" i="10"/>
  <c r="BS59" i="10" s="1"/>
  <c r="BS93" i="10" s="1"/>
  <c r="AR58" i="10"/>
  <c r="AR59" i="10" s="1"/>
  <c r="AR93" i="10" s="1"/>
  <c r="BE58" i="10"/>
  <c r="BE59" i="10" s="1"/>
  <c r="FT58" i="10"/>
  <c r="FT59" i="10" s="1"/>
  <c r="FT93" i="10" s="1"/>
  <c r="T25" i="13" s="1"/>
  <c r="X58" i="10"/>
  <c r="X59" i="10" s="1"/>
  <c r="EG58" i="10"/>
  <c r="EG59" i="10" s="1"/>
  <c r="EG93" i="10" s="1"/>
  <c r="G25" i="13" s="1"/>
  <c r="ES58" i="10"/>
  <c r="ES59" i="10" s="1"/>
  <c r="ES93" i="10" s="1"/>
  <c r="K25" i="13" s="1"/>
  <c r="CS58" i="10"/>
  <c r="CS59" i="10" s="1"/>
  <c r="GL58" i="10"/>
  <c r="GL59" i="10" s="1"/>
  <c r="GL93" i="10" s="1"/>
  <c r="Z25" i="13" s="1"/>
  <c r="AV58" i="10"/>
  <c r="AV59" i="10" s="1"/>
  <c r="AV93" i="10" s="1"/>
  <c r="Z58" i="10"/>
  <c r="Z59" i="10" s="1"/>
  <c r="Z61" i="10" s="1"/>
  <c r="Z94" i="10" s="1"/>
  <c r="Z95" i="10" s="1"/>
  <c r="BV58" i="10"/>
  <c r="BV59" i="10" s="1"/>
  <c r="BV93" i="10" s="1"/>
  <c r="AB58" i="10"/>
  <c r="AB59" i="10" s="1"/>
  <c r="FA58" i="10"/>
  <c r="FA59" i="10" s="1"/>
  <c r="FA93" i="10" s="1"/>
  <c r="AU58" i="10"/>
  <c r="AU59" i="10" s="1"/>
  <c r="AU93" i="10" s="1"/>
  <c r="AL58" i="10"/>
  <c r="AL59" i="10" s="1"/>
  <c r="AL93" i="10" s="1"/>
  <c r="GG58" i="10"/>
  <c r="GG59" i="10" s="1"/>
  <c r="GG93" i="10" s="1"/>
  <c r="GS58" i="10"/>
  <c r="GS59" i="10" s="1"/>
  <c r="GS93" i="10" s="1"/>
  <c r="GY58" i="10"/>
  <c r="GY59" i="10" s="1"/>
  <c r="GY93" i="10" s="1"/>
  <c r="BF58" i="10"/>
  <c r="BF59" i="10" s="1"/>
  <c r="BF93" i="10" s="1"/>
  <c r="CM58" i="10"/>
  <c r="CM59" i="10" s="1"/>
  <c r="FF58" i="10"/>
  <c r="FF59" i="10" s="1"/>
  <c r="FF93" i="10" s="1"/>
  <c r="AW58" i="10"/>
  <c r="AW59" i="10" s="1"/>
  <c r="AW93" i="10" s="1"/>
  <c r="FX58" i="10"/>
  <c r="FX59" i="10" s="1"/>
  <c r="FX93" i="10" s="1"/>
  <c r="AC58" i="10"/>
  <c r="AC59" i="10" s="1"/>
  <c r="AC93" i="10" s="1"/>
  <c r="BH58" i="10"/>
  <c r="BH59" i="10" s="1"/>
  <c r="EK58" i="10"/>
  <c r="EK59" i="10" s="1"/>
  <c r="EK93" i="10" s="1"/>
  <c r="FV58" i="10"/>
  <c r="FV59" i="10" s="1"/>
  <c r="FV93" i="10" s="1"/>
  <c r="EQ58" i="10"/>
  <c r="EQ59" i="10" s="1"/>
  <c r="EQ93" i="10" s="1"/>
  <c r="Y58" i="10"/>
  <c r="Y59" i="10" s="1"/>
  <c r="GM58" i="10"/>
  <c r="GM59" i="10" s="1"/>
  <c r="GM93" i="10" s="1"/>
  <c r="GE58" i="10"/>
  <c r="GE59" i="10" s="1"/>
  <c r="GE93" i="10" s="1"/>
  <c r="BI58" i="10"/>
  <c r="BI59" i="10" s="1"/>
  <c r="BI93" i="10" s="1"/>
  <c r="AY58" i="10"/>
  <c r="AY59" i="10" s="1"/>
  <c r="HC58" i="10"/>
  <c r="HC59" i="10" s="1"/>
  <c r="HC93" i="10" s="1"/>
  <c r="AD58" i="10"/>
  <c r="AD59" i="10" s="1"/>
  <c r="DI58" i="10"/>
  <c r="DI59" i="10" s="1"/>
  <c r="DI61" i="10" s="1"/>
  <c r="DI94" i="10" s="1"/>
  <c r="DI95" i="10" s="1"/>
  <c r="CF58" i="10"/>
  <c r="CF59" i="10" s="1"/>
  <c r="CF93" i="10" s="1"/>
  <c r="HF58" i="10"/>
  <c r="HF59" i="10" s="1"/>
  <c r="HF93" i="10" s="1"/>
  <c r="FR58" i="10"/>
  <c r="FR59" i="10" s="1"/>
  <c r="FR93" i="10" s="1"/>
  <c r="CO58" i="10"/>
  <c r="CO59" i="10" s="1"/>
  <c r="HB58" i="10"/>
  <c r="HB59" i="10" s="1"/>
  <c r="HB93" i="10" s="1"/>
  <c r="AQ58" i="10"/>
  <c r="AQ59" i="10" s="1"/>
  <c r="BG58" i="10"/>
  <c r="BG59" i="10" s="1"/>
  <c r="HE58" i="10"/>
  <c r="HE59" i="10" s="1"/>
  <c r="HE93" i="10" s="1"/>
  <c r="R58" i="10"/>
  <c r="R59" i="10" s="1"/>
  <c r="R61" i="10" s="1"/>
  <c r="R94" i="10" s="1"/>
  <c r="R95" i="10" s="1"/>
  <c r="BX58" i="10"/>
  <c r="BX59" i="10" s="1"/>
  <c r="FY58" i="10"/>
  <c r="FY59" i="10" s="1"/>
  <c r="FY93" i="10" s="1"/>
  <c r="T58" i="10"/>
  <c r="T59" i="10" s="1"/>
  <c r="T93" i="10" s="1"/>
  <c r="DR58" i="10"/>
  <c r="DR59" i="10" s="1"/>
  <c r="DR93" i="10" s="1"/>
  <c r="CI58" i="10"/>
  <c r="CI59" i="10" s="1"/>
  <c r="CI93" i="10" s="1"/>
  <c r="M58" i="10"/>
  <c r="M59" i="10" s="1"/>
  <c r="M93" i="10" s="1"/>
  <c r="GK58" i="10"/>
  <c r="GK59" i="10" s="1"/>
  <c r="GK93" i="10" s="1"/>
  <c r="CU58" i="10"/>
  <c r="CU59" i="10" s="1"/>
  <c r="DO58" i="10"/>
  <c r="DO59" i="10" s="1"/>
  <c r="DO93" i="10" s="1"/>
  <c r="HJ58" i="10"/>
  <c r="HJ59" i="10" s="1"/>
  <c r="HJ93" i="10" s="1"/>
  <c r="DT58" i="10"/>
  <c r="DT59" i="10" s="1"/>
  <c r="CQ58" i="10"/>
  <c r="CQ59" i="10" s="1"/>
  <c r="CQ93" i="10" s="1"/>
  <c r="ET58" i="10"/>
  <c r="ET59" i="10" s="1"/>
  <c r="ET93" i="10" s="1"/>
  <c r="FH58" i="10"/>
  <c r="FH59" i="10" s="1"/>
  <c r="FH93" i="10" s="1"/>
  <c r="P25" i="13" s="1"/>
  <c r="GH58" i="10"/>
  <c r="GH59" i="10" s="1"/>
  <c r="GH93" i="10" s="1"/>
  <c r="EW58" i="10"/>
  <c r="EW59" i="10" s="1"/>
  <c r="EW93" i="10" s="1"/>
  <c r="FD58" i="10"/>
  <c r="FD59" i="10" s="1"/>
  <c r="FD93" i="10" s="1"/>
  <c r="Z93" i="10"/>
  <c r="AR61" i="10"/>
  <c r="AR94" i="10" s="1"/>
  <c r="AR95" i="10" s="1"/>
  <c r="BZ93" i="10"/>
  <c r="DI93" i="10"/>
  <c r="CN58" i="10"/>
  <c r="CN59" i="10" s="1"/>
  <c r="GO58" i="10"/>
  <c r="GO59" i="10" s="1"/>
  <c r="GO93" i="10" s="1"/>
  <c r="AA25" i="13" s="1"/>
  <c r="GT58" i="10"/>
  <c r="GT59" i="10" s="1"/>
  <c r="GT93" i="10" s="1"/>
  <c r="AE58" i="10"/>
  <c r="AE59" i="10" s="1"/>
  <c r="DW58" i="10"/>
  <c r="DW59" i="10" s="1"/>
  <c r="BR58" i="10"/>
  <c r="BR59" i="10" s="1"/>
  <c r="ER58" i="10"/>
  <c r="ER59" i="10" s="1"/>
  <c r="ER93" i="10" s="1"/>
  <c r="FJ58" i="10"/>
  <c r="FJ59" i="10" s="1"/>
  <c r="FJ93" i="10" s="1"/>
  <c r="AA58" i="10"/>
  <c r="AA59" i="10" s="1"/>
  <c r="G58" i="10"/>
  <c r="G59" i="10" s="1"/>
  <c r="EH58" i="10"/>
  <c r="EH59" i="10" s="1"/>
  <c r="EH93" i="10" s="1"/>
  <c r="DV58" i="10"/>
  <c r="DV59" i="10" s="1"/>
  <c r="FC58" i="10"/>
  <c r="FC59" i="10" s="1"/>
  <c r="FC93" i="10" s="1"/>
  <c r="CP58" i="10"/>
  <c r="CP59" i="10" s="1"/>
  <c r="GU58" i="10"/>
  <c r="GU59" i="10" s="1"/>
  <c r="GU93" i="10" s="1"/>
  <c r="AC25" i="13" s="1"/>
  <c r="HI58" i="10"/>
  <c r="HI59" i="10" s="1"/>
  <c r="HI93" i="10" s="1"/>
  <c r="P58" i="10"/>
  <c r="P59" i="10" s="1"/>
  <c r="CH58" i="10"/>
  <c r="CH59" i="10" s="1"/>
  <c r="DJ58" i="10"/>
  <c r="DJ59" i="10" s="1"/>
  <c r="CT58" i="10"/>
  <c r="CT59" i="10" s="1"/>
  <c r="GJ58" i="10"/>
  <c r="GJ59" i="10" s="1"/>
  <c r="GJ93" i="10" s="1"/>
  <c r="DH58" i="10"/>
  <c r="DH59" i="10" s="1"/>
  <c r="EC58" i="10"/>
  <c r="EC59" i="10" s="1"/>
  <c r="FB58" i="10"/>
  <c r="FB59" i="10" s="1"/>
  <c r="FB93" i="10" s="1"/>
  <c r="N25" i="13" s="1"/>
  <c r="AF58" i="10"/>
  <c r="AF59" i="10" s="1"/>
  <c r="DY58" i="10"/>
  <c r="DY59" i="10" s="1"/>
  <c r="EM58" i="10"/>
  <c r="EM59" i="10" s="1"/>
  <c r="EM93" i="10" s="1"/>
  <c r="I25" i="13" s="1"/>
  <c r="EP58" i="10"/>
  <c r="EP59" i="10" s="1"/>
  <c r="EP93" i="10" s="1"/>
  <c r="J25" i="13" s="1"/>
  <c r="DZ58" i="10"/>
  <c r="DZ59" i="10" s="1"/>
  <c r="BY58" i="10"/>
  <c r="BY59" i="10" s="1"/>
  <c r="DL58" i="10"/>
  <c r="DL59" i="10" s="1"/>
  <c r="EB58" i="10"/>
  <c r="EB59" i="10" s="1"/>
  <c r="CL58" i="10"/>
  <c r="CL59" i="10" s="1"/>
  <c r="GQ58" i="10"/>
  <c r="GQ59" i="10" s="1"/>
  <c r="GQ93" i="10" s="1"/>
  <c r="HA58" i="10"/>
  <c r="HA59" i="10" s="1"/>
  <c r="HA93" i="10" s="1"/>
  <c r="EZ58" i="10"/>
  <c r="EZ59" i="10" s="1"/>
  <c r="EZ93" i="10" s="1"/>
  <c r="CW58" i="10"/>
  <c r="CW59" i="10" s="1"/>
  <c r="FU58" i="10"/>
  <c r="FU59" i="10" s="1"/>
  <c r="FU93" i="10" s="1"/>
  <c r="E58" i="10"/>
  <c r="E59" i="10" s="1"/>
  <c r="CG58" i="10"/>
  <c r="CG59" i="10" s="1"/>
  <c r="EN58" i="10"/>
  <c r="EN59" i="10" s="1"/>
  <c r="EN93" i="10" s="1"/>
  <c r="GW58" i="10"/>
  <c r="GW59" i="10" s="1"/>
  <c r="GW93" i="10" s="1"/>
  <c r="AN58" i="10"/>
  <c r="AN59" i="10" s="1"/>
  <c r="AH58" i="10"/>
  <c r="AH59" i="10" s="1"/>
  <c r="CJ58" i="10"/>
  <c r="CJ59" i="10" s="1"/>
  <c r="AZ58" i="10"/>
  <c r="AZ59" i="10" s="1"/>
  <c r="DE58" i="10"/>
  <c r="DE59" i="10" s="1"/>
  <c r="CB58" i="10"/>
  <c r="CB59" i="10" s="1"/>
  <c r="GF58" i="10"/>
  <c r="GF59" i="10" s="1"/>
  <c r="GF93" i="10" s="1"/>
  <c r="X25" i="13" s="1"/>
  <c r="FM58" i="10"/>
  <c r="FM59" i="10" s="1"/>
  <c r="FM93" i="10" s="1"/>
  <c r="CD58" i="10"/>
  <c r="CD59" i="10" s="1"/>
  <c r="AK58" i="10"/>
  <c r="AK59" i="10" s="1"/>
  <c r="HG58" i="10"/>
  <c r="HG59" i="10" s="1"/>
  <c r="HG93" i="10" s="1"/>
  <c r="FZ58" i="10"/>
  <c r="FZ59" i="10" s="1"/>
  <c r="FZ93" i="10" s="1"/>
  <c r="V25" i="13" s="1"/>
  <c r="FP58" i="10"/>
  <c r="FP59" i="10" s="1"/>
  <c r="FP93" i="10" s="1"/>
  <c r="BA58" i="10"/>
  <c r="BA59" i="10" s="1"/>
  <c r="CE58" i="10"/>
  <c r="CE59" i="10" s="1"/>
  <c r="CY58" i="10"/>
  <c r="CY59" i="10" s="1"/>
  <c r="BU58" i="10"/>
  <c r="BU59" i="10" s="1"/>
  <c r="AS58" i="10"/>
  <c r="AS59" i="10" s="1"/>
  <c r="HD58" i="10"/>
  <c r="HD59" i="10" s="1"/>
  <c r="HD93" i="10" s="1"/>
  <c r="CR58" i="10"/>
  <c r="CR59" i="10" s="1"/>
  <c r="H58" i="10"/>
  <c r="H59" i="10" s="1"/>
  <c r="GZ58" i="10"/>
  <c r="GZ59" i="10" s="1"/>
  <c r="GZ93" i="10" s="1"/>
  <c r="DN58" i="10"/>
  <c r="DN59" i="10" s="1"/>
  <c r="BO58" i="10"/>
  <c r="BO59" i="10" s="1"/>
  <c r="DB58" i="10"/>
  <c r="DB59" i="10" s="1"/>
  <c r="U58" i="10"/>
  <c r="U59" i="10" s="1"/>
  <c r="BB58" i="10"/>
  <c r="BB59" i="10" s="1"/>
  <c r="BL58" i="10"/>
  <c r="BL59" i="10" s="1"/>
  <c r="FK58" i="10"/>
  <c r="FK59" i="10" s="1"/>
  <c r="FK93" i="10" s="1"/>
  <c r="Q25" i="13" s="1"/>
  <c r="DM58" i="10"/>
  <c r="DM59" i="10" s="1"/>
  <c r="DK58" i="10"/>
  <c r="DK59" i="10" s="1"/>
  <c r="EX58" i="10"/>
  <c r="EX59" i="10" s="1"/>
  <c r="EX93" i="10" s="1"/>
  <c r="I58" i="10"/>
  <c r="I59" i="10" s="1"/>
  <c r="CA58" i="10"/>
  <c r="CA59" i="10" s="1"/>
  <c r="FN58" i="10"/>
  <c r="FN59" i="10" s="1"/>
  <c r="FN93" i="10" s="1"/>
  <c r="R25" i="13" s="1"/>
  <c r="FO58" i="10"/>
  <c r="FO59" i="10" s="1"/>
  <c r="FO93" i="10" s="1"/>
  <c r="EF58" i="10"/>
  <c r="EF59" i="10" s="1"/>
  <c r="BW58" i="10"/>
  <c r="BW59" i="10" s="1"/>
  <c r="DC58" i="10"/>
  <c r="DC59" i="10" s="1"/>
  <c r="DU58" i="10"/>
  <c r="DU59" i="10" s="1"/>
  <c r="GI58" i="10"/>
  <c r="GI59" i="10" s="1"/>
  <c r="GI93" i="10" s="1"/>
  <c r="Y25" i="13" s="1"/>
  <c r="AM58" i="10"/>
  <c r="AM59" i="10" s="1"/>
  <c r="AT58" i="10"/>
  <c r="AT59" i="10" s="1"/>
  <c r="GV58" i="10"/>
  <c r="GV59" i="10" s="1"/>
  <c r="GV93" i="10" s="1"/>
  <c r="AX58" i="10"/>
  <c r="AX59" i="10" s="1"/>
  <c r="S58" i="10"/>
  <c r="S59" i="10" s="1"/>
  <c r="C58" i="10"/>
  <c r="C59" i="10" s="1"/>
  <c r="W58" i="10"/>
  <c r="W59" i="10" s="1"/>
  <c r="BP58" i="10"/>
  <c r="BP59" i="10" s="1"/>
  <c r="EJ58" i="10"/>
  <c r="EJ59" i="10" s="1"/>
  <c r="EJ93" i="10" s="1"/>
  <c r="H25" i="13" s="1"/>
  <c r="GD58" i="10"/>
  <c r="GD59" i="10" s="1"/>
  <c r="GD93" i="10" s="1"/>
  <c r="GC58" i="10"/>
  <c r="GC59" i="10" s="1"/>
  <c r="GC93" i="10" s="1"/>
  <c r="W25" i="13" s="1"/>
  <c r="EA58" i="10"/>
  <c r="EA59" i="10" s="1"/>
  <c r="ED58" i="10"/>
  <c r="ED59" i="10" s="1"/>
  <c r="BD58" i="10"/>
  <c r="BD59" i="10" s="1"/>
  <c r="BQ58" i="10"/>
  <c r="BQ59" i="10" s="1"/>
  <c r="GR58" i="10"/>
  <c r="GR59" i="10" s="1"/>
  <c r="GR93" i="10" s="1"/>
  <c r="AB25" i="13" s="1"/>
  <c r="FG58" i="10"/>
  <c r="FG59" i="10" s="1"/>
  <c r="FG93" i="10" s="1"/>
  <c r="CZ58" i="10"/>
  <c r="CZ59" i="10" s="1"/>
  <c r="EE58" i="10"/>
  <c r="EE59" i="10" s="1"/>
  <c r="GB58" i="10"/>
  <c r="GB59" i="10" s="1"/>
  <c r="GB93" i="10" s="1"/>
  <c r="AP58" i="10"/>
  <c r="AP59" i="10" s="1"/>
  <c r="D58" i="10"/>
  <c r="D59" i="10" s="1"/>
  <c r="FQ58" i="10"/>
  <c r="FQ59" i="10" s="1"/>
  <c r="FQ93" i="10" s="1"/>
  <c r="S25" i="13" s="1"/>
  <c r="DX58" i="10"/>
  <c r="DX59" i="10" s="1"/>
  <c r="EI58" i="10"/>
  <c r="EI59" i="10" s="1"/>
  <c r="EI93" i="10" s="1"/>
  <c r="FW58" i="10"/>
  <c r="FW59" i="10" s="1"/>
  <c r="FW93" i="10" s="1"/>
  <c r="U25" i="13" s="1"/>
  <c r="EV58" i="10"/>
  <c r="EV59" i="10" s="1"/>
  <c r="EV93" i="10" s="1"/>
  <c r="L25" i="13" s="1"/>
  <c r="BT58" i="10"/>
  <c r="BT59" i="10" s="1"/>
  <c r="DQ58" i="10"/>
  <c r="DQ59" i="10" s="1"/>
  <c r="DG58" i="10"/>
  <c r="DG59" i="10" s="1"/>
  <c r="DA58" i="10"/>
  <c r="DA59" i="10" s="1"/>
  <c r="J58" i="10"/>
  <c r="J59" i="10" s="1"/>
  <c r="CC58" i="10"/>
  <c r="CC59" i="10" s="1"/>
  <c r="BM58" i="10"/>
  <c r="BM59" i="10" s="1"/>
  <c r="EO58" i="10"/>
  <c r="EO59" i="10" s="1"/>
  <c r="EO93" i="10" s="1"/>
  <c r="GN58" i="10"/>
  <c r="GN59" i="10" s="1"/>
  <c r="GN93" i="10" s="1"/>
  <c r="F58" i="10"/>
  <c r="F59" i="10" s="1"/>
  <c r="CX58" i="10"/>
  <c r="CX59" i="10" s="1"/>
  <c r="L58" i="10"/>
  <c r="L59" i="10" s="1"/>
  <c r="Q58" i="10"/>
  <c r="Q59" i="10" s="1"/>
  <c r="FL58" i="10"/>
  <c r="FL59" i="10" s="1"/>
  <c r="FL93" i="10" s="1"/>
  <c r="DP58" i="10"/>
  <c r="DP59" i="10" s="1"/>
  <c r="EL58" i="10"/>
  <c r="EL59" i="10" s="1"/>
  <c r="EL93" i="10" s="1"/>
  <c r="CV58" i="10"/>
  <c r="CV59" i="10" s="1"/>
  <c r="GX58" i="10"/>
  <c r="GX59" i="10" s="1"/>
  <c r="GX93" i="10" s="1"/>
  <c r="AD25" i="13" s="1"/>
  <c r="O58" i="10"/>
  <c r="O59" i="10" s="1"/>
  <c r="BJ58" i="10"/>
  <c r="BJ59" i="10" s="1"/>
  <c r="FE58" i="10"/>
  <c r="FE59" i="10" s="1"/>
  <c r="FE93" i="10" s="1"/>
  <c r="O25" i="13" s="1"/>
  <c r="N58" i="10"/>
  <c r="N59" i="10" s="1"/>
  <c r="CK58" i="10"/>
  <c r="CK59" i="10" s="1"/>
  <c r="FS58" i="10"/>
  <c r="FS59" i="10" s="1"/>
  <c r="FS93" i="10" s="1"/>
  <c r="GP58" i="10"/>
  <c r="GP59" i="10" s="1"/>
  <c r="GP93" i="10" s="1"/>
  <c r="FI58" i="10"/>
  <c r="FI59" i="10" s="1"/>
  <c r="FI93" i="10" s="1"/>
  <c r="BC58" i="10"/>
  <c r="BC59" i="10" s="1"/>
  <c r="GA58" i="10"/>
  <c r="GA59" i="10" s="1"/>
  <c r="GA93" i="10" s="1"/>
  <c r="AG58" i="10"/>
  <c r="AG59" i="10" s="1"/>
  <c r="AJ58" i="10"/>
  <c r="AJ59" i="10" s="1"/>
  <c r="DS58" i="10"/>
  <c r="DS59" i="10" s="1"/>
  <c r="EY58" i="10"/>
  <c r="EY59" i="10" s="1"/>
  <c r="EY93" i="10" s="1"/>
  <c r="M25" i="13" s="1"/>
  <c r="DD58" i="10"/>
  <c r="DD59" i="10" s="1"/>
  <c r="K58" i="10"/>
  <c r="K59" i="10" s="1"/>
  <c r="BS61" i="10"/>
  <c r="BS94" i="10" s="1"/>
  <c r="BS95" i="10" s="1"/>
  <c r="BN58" i="10"/>
  <c r="BN59" i="10" s="1"/>
  <c r="EU58" i="10"/>
  <c r="EU59" i="10" s="1"/>
  <c r="EU93" i="10" s="1"/>
  <c r="BK58" i="10"/>
  <c r="BK59" i="10" s="1"/>
  <c r="AW61" i="10" l="1"/>
  <c r="AW94" i="10" s="1"/>
  <c r="AW95" i="10" s="1"/>
  <c r="BF61" i="10"/>
  <c r="BF94" i="10" s="1"/>
  <c r="BF95" i="10" s="1"/>
  <c r="CQ61" i="10"/>
  <c r="CQ94" i="10" s="1"/>
  <c r="CQ95" i="10" s="1"/>
  <c r="R93" i="10"/>
  <c r="AV61" i="10"/>
  <c r="AV94" i="10" s="1"/>
  <c r="AV95" i="10" s="1"/>
  <c r="DO61" i="10"/>
  <c r="DO94" i="10" s="1"/>
  <c r="DO95" i="10" s="1"/>
  <c r="BV61" i="10"/>
  <c r="BV94" i="10" s="1"/>
  <c r="BV95" i="10" s="1"/>
  <c r="EG61" i="10"/>
  <c r="EG94" i="10" s="1"/>
  <c r="EG95" i="10" s="1"/>
  <c r="DR61" i="10"/>
  <c r="DR94" i="10" s="1"/>
  <c r="DR95" i="10" s="1"/>
  <c r="CF61" i="10"/>
  <c r="CF94" i="10" s="1"/>
  <c r="CF95" i="10" s="1"/>
  <c r="AI61" i="10"/>
  <c r="AI94" i="10" s="1"/>
  <c r="AI95" i="10" s="1"/>
  <c r="AC61" i="10"/>
  <c r="AC94" i="10" s="1"/>
  <c r="AC95" i="10" s="1"/>
  <c r="BI61" i="10"/>
  <c r="BI94" i="10" s="1"/>
  <c r="BI95" i="10" s="1"/>
  <c r="T61" i="10"/>
  <c r="T94" i="10" s="1"/>
  <c r="T95" i="10" s="1"/>
  <c r="V93" i="10"/>
  <c r="CO93" i="10"/>
  <c r="CO61" i="10"/>
  <c r="CO94" i="10" s="1"/>
  <c r="CO95" i="10" s="1"/>
  <c r="X93" i="10"/>
  <c r="X61" i="10"/>
  <c r="X94" i="10" s="1"/>
  <c r="X95" i="10" s="1"/>
  <c r="CI61" i="10"/>
  <c r="CI94" i="10" s="1"/>
  <c r="CI95" i="10" s="1"/>
  <c r="BE93" i="10"/>
  <c r="BE61" i="10"/>
  <c r="BE94" i="10" s="1"/>
  <c r="BE95" i="10" s="1"/>
  <c r="AL61" i="10"/>
  <c r="AL94" i="10" s="1"/>
  <c r="AL95" i="10" s="1"/>
  <c r="BH93" i="10"/>
  <c r="BH61" i="10"/>
  <c r="BH94" i="10" s="1"/>
  <c r="BH95" i="10" s="1"/>
  <c r="AB93" i="10"/>
  <c r="AB61" i="10"/>
  <c r="AB94" i="10" s="1"/>
  <c r="AB95" i="10" s="1"/>
  <c r="AD93" i="10"/>
  <c r="AD61" i="10"/>
  <c r="AD94" i="10" s="1"/>
  <c r="AD95" i="10" s="1"/>
  <c r="DF93" i="10"/>
  <c r="DF61" i="10"/>
  <c r="DF94" i="10" s="1"/>
  <c r="DF95" i="10" s="1"/>
  <c r="AU61" i="10"/>
  <c r="AU94" i="10" s="1"/>
  <c r="AU95" i="10" s="1"/>
  <c r="BX93" i="10"/>
  <c r="BX61" i="10"/>
  <c r="BX94" i="10" s="1"/>
  <c r="BX95" i="10" s="1"/>
  <c r="AY93" i="10"/>
  <c r="AY61" i="10"/>
  <c r="AY94" i="10" s="1"/>
  <c r="AY95" i="10" s="1"/>
  <c r="DT93" i="10"/>
  <c r="DT61" i="10"/>
  <c r="DT94" i="10" s="1"/>
  <c r="DT95" i="10" s="1"/>
  <c r="CM93" i="10"/>
  <c r="CM61" i="10"/>
  <c r="CM94" i="10" s="1"/>
  <c r="CM95" i="10" s="1"/>
  <c r="AO93" i="10"/>
  <c r="AO61" i="10"/>
  <c r="AO94" i="10" s="1"/>
  <c r="AO95" i="10" s="1"/>
  <c r="BG93" i="10"/>
  <c r="BG61" i="10"/>
  <c r="BG94" i="10" s="1"/>
  <c r="BG95" i="10" s="1"/>
  <c r="CS93" i="10"/>
  <c r="CS61" i="10"/>
  <c r="CS94" i="10" s="1"/>
  <c r="CS95" i="10" s="1"/>
  <c r="M61" i="10"/>
  <c r="M94" i="10" s="1"/>
  <c r="M95" i="10" s="1"/>
  <c r="AQ93" i="10"/>
  <c r="AQ61" i="10"/>
  <c r="AQ94" i="10" s="1"/>
  <c r="AQ95" i="10" s="1"/>
  <c r="CU93" i="10"/>
  <c r="CU61" i="10"/>
  <c r="CU94" i="10" s="1"/>
  <c r="CU95" i="10" s="1"/>
  <c r="Y93" i="10"/>
  <c r="Y61" i="10"/>
  <c r="Y94" i="10" s="1"/>
  <c r="Y95" i="10" s="1"/>
  <c r="CV93" i="10"/>
  <c r="CV61" i="10"/>
  <c r="CV94" i="10" s="1"/>
  <c r="CV95" i="10" s="1"/>
  <c r="EF93" i="10"/>
  <c r="EF61" i="10"/>
  <c r="DA93" i="10"/>
  <c r="DA61" i="10"/>
  <c r="DA94" i="10" s="1"/>
  <c r="DA95" i="10" s="1"/>
  <c r="EE93" i="10"/>
  <c r="EE61" i="10"/>
  <c r="W93" i="10"/>
  <c r="W61" i="10"/>
  <c r="W94" i="10" s="1"/>
  <c r="W95" i="10" s="1"/>
  <c r="BO93" i="10"/>
  <c r="BO61" i="10"/>
  <c r="BO94" i="10" s="1"/>
  <c r="BO95" i="10" s="1"/>
  <c r="BY93" i="10"/>
  <c r="BY61" i="10"/>
  <c r="BY94" i="10" s="1"/>
  <c r="BY95" i="10" s="1"/>
  <c r="CH93" i="10"/>
  <c r="CH61" i="10"/>
  <c r="CH94" i="10" s="1"/>
  <c r="CH95" i="10" s="1"/>
  <c r="BR93" i="10"/>
  <c r="BR61" i="10"/>
  <c r="BR94" i="10" s="1"/>
  <c r="BR95" i="10" s="1"/>
  <c r="CT93" i="10"/>
  <c r="CT61" i="10"/>
  <c r="BP93" i="10"/>
  <c r="BP61" i="10"/>
  <c r="BP94" i="10" s="1"/>
  <c r="BP95" i="10" s="1"/>
  <c r="BK93" i="10"/>
  <c r="BK61" i="10"/>
  <c r="BK94" i="10" s="1"/>
  <c r="BK95" i="10" s="1"/>
  <c r="BC93" i="10"/>
  <c r="BC61" i="10"/>
  <c r="BC94" i="10" s="1"/>
  <c r="BC95" i="10" s="1"/>
  <c r="DP93" i="10"/>
  <c r="DP61" i="10"/>
  <c r="DP94" i="10" s="1"/>
  <c r="DP95" i="10" s="1"/>
  <c r="DG93" i="10"/>
  <c r="DG61" i="10"/>
  <c r="DG94" i="10" s="1"/>
  <c r="DG95" i="10" s="1"/>
  <c r="CZ93" i="10"/>
  <c r="CZ61" i="10"/>
  <c r="CZ94" i="10" s="1"/>
  <c r="CZ95" i="10" s="1"/>
  <c r="C93" i="10"/>
  <c r="C61" i="10"/>
  <c r="C94" i="10" s="1"/>
  <c r="C95" i="10" s="1"/>
  <c r="DN93" i="10"/>
  <c r="DN61" i="10"/>
  <c r="DN94" i="10" s="1"/>
  <c r="DN95" i="10" s="1"/>
  <c r="DZ93" i="10"/>
  <c r="DZ61" i="10"/>
  <c r="P93" i="10"/>
  <c r="P61" i="10"/>
  <c r="P94" i="10" s="1"/>
  <c r="P95" i="10" s="1"/>
  <c r="DW93" i="10"/>
  <c r="DW61" i="10"/>
  <c r="DW94" i="10" s="1"/>
  <c r="DW95" i="10" s="1"/>
  <c r="DQ93" i="10"/>
  <c r="DQ61" i="10"/>
  <c r="DQ94" i="10" s="1"/>
  <c r="DQ95" i="10" s="1"/>
  <c r="S93" i="10"/>
  <c r="S61" i="10"/>
  <c r="S94" i="10" s="1"/>
  <c r="S95" i="10" s="1"/>
  <c r="CA93" i="10"/>
  <c r="CA61" i="10"/>
  <c r="CA94" i="10" s="1"/>
  <c r="CA95" i="10" s="1"/>
  <c r="AK93" i="10"/>
  <c r="AK61" i="10"/>
  <c r="AK94" i="10" s="1"/>
  <c r="AK95" i="10" s="1"/>
  <c r="CG93" i="10"/>
  <c r="CG61" i="10"/>
  <c r="CG94" i="10" s="1"/>
  <c r="CG95" i="10" s="1"/>
  <c r="AE93" i="10"/>
  <c r="AE61" i="10"/>
  <c r="AE94" i="10" s="1"/>
  <c r="AE95" i="10" s="1"/>
  <c r="CC93" i="10"/>
  <c r="CC61" i="10"/>
  <c r="CC94" i="10" s="1"/>
  <c r="CC95" i="10" s="1"/>
  <c r="BA93" i="10"/>
  <c r="BA61" i="10"/>
  <c r="BA94" i="10" s="1"/>
  <c r="BA95" i="10" s="1"/>
  <c r="J93" i="10"/>
  <c r="J61" i="10"/>
  <c r="J94" i="10" s="1"/>
  <c r="J95" i="10" s="1"/>
  <c r="BN93" i="10"/>
  <c r="BN61" i="10"/>
  <c r="BN94" i="10" s="1"/>
  <c r="BN95" i="10" s="1"/>
  <c r="Q93" i="10"/>
  <c r="Q61" i="10"/>
  <c r="Q94" i="10" s="1"/>
  <c r="Q95" i="10" s="1"/>
  <c r="BT93" i="10"/>
  <c r="BT61" i="10"/>
  <c r="BT94" i="10" s="1"/>
  <c r="BT95" i="10" s="1"/>
  <c r="AX93" i="10"/>
  <c r="AX61" i="10"/>
  <c r="AX94" i="10" s="1"/>
  <c r="AX95" i="10" s="1"/>
  <c r="I93" i="10"/>
  <c r="I61" i="10"/>
  <c r="I94" i="10" s="1"/>
  <c r="I95" i="10" s="1"/>
  <c r="H93" i="10"/>
  <c r="H61" i="10"/>
  <c r="H94" i="10" s="1"/>
  <c r="H95" i="10" s="1"/>
  <c r="CD93" i="10"/>
  <c r="CD61" i="10"/>
  <c r="CD94" i="10" s="1"/>
  <c r="CD95" i="10" s="1"/>
  <c r="E93" i="10"/>
  <c r="E61" i="10"/>
  <c r="E94" i="10" s="1"/>
  <c r="E95" i="10" s="1"/>
  <c r="AP93" i="10"/>
  <c r="AP61" i="10"/>
  <c r="AP94" i="10" s="1"/>
  <c r="AP95" i="10" s="1"/>
  <c r="DB93" i="10"/>
  <c r="DB61" i="10"/>
  <c r="DB94" i="10" s="1"/>
  <c r="DB95" i="10" s="1"/>
  <c r="L93" i="10"/>
  <c r="L61" i="10"/>
  <c r="L94" i="10" s="1"/>
  <c r="L95" i="10" s="1"/>
  <c r="BQ93" i="10"/>
  <c r="BQ61" i="10"/>
  <c r="BQ94" i="10" s="1"/>
  <c r="BQ95" i="10" s="1"/>
  <c r="CR93" i="10"/>
  <c r="CR61" i="10"/>
  <c r="DY93" i="10"/>
  <c r="DY61" i="10"/>
  <c r="CP93" i="10"/>
  <c r="CP61" i="10"/>
  <c r="CP94" i="10" s="1"/>
  <c r="CP95" i="10" s="1"/>
  <c r="AJ93" i="10"/>
  <c r="AJ61" i="10"/>
  <c r="AJ94" i="10" s="1"/>
  <c r="AJ95" i="10" s="1"/>
  <c r="AH93" i="10"/>
  <c r="AH61" i="10"/>
  <c r="AH94" i="10" s="1"/>
  <c r="AH95" i="10" s="1"/>
  <c r="DL93" i="10"/>
  <c r="DL61" i="10"/>
  <c r="DL94" i="10" s="1"/>
  <c r="DL95" i="10" s="1"/>
  <c r="CK93" i="10"/>
  <c r="CK61" i="10"/>
  <c r="CK94" i="10" s="1"/>
  <c r="CK95" i="10" s="1"/>
  <c r="CX93" i="10"/>
  <c r="CX61" i="10"/>
  <c r="BD93" i="10"/>
  <c r="BD61" i="10"/>
  <c r="BD94" i="10" s="1"/>
  <c r="BD95" i="10" s="1"/>
  <c r="AT93" i="10"/>
  <c r="AT61" i="10"/>
  <c r="AT94" i="10" s="1"/>
  <c r="AT95" i="10" s="1"/>
  <c r="DK93" i="10"/>
  <c r="DK61" i="10"/>
  <c r="DK94" i="10" s="1"/>
  <c r="DK95" i="10" s="1"/>
  <c r="CW93" i="10"/>
  <c r="CW61" i="10"/>
  <c r="CW94" i="10" s="1"/>
  <c r="CW95" i="10" s="1"/>
  <c r="AF93" i="10"/>
  <c r="AF61" i="10"/>
  <c r="AF94" i="10" s="1"/>
  <c r="AF95" i="10" s="1"/>
  <c r="CN93" i="10"/>
  <c r="CN61" i="10"/>
  <c r="CN94" i="10" s="1"/>
  <c r="CN95" i="10" s="1"/>
  <c r="AN93" i="10"/>
  <c r="AN61" i="10"/>
  <c r="AN94" i="10" s="1"/>
  <c r="AN95" i="10" s="1"/>
  <c r="K93" i="10"/>
  <c r="K61" i="10"/>
  <c r="K94" i="10" s="1"/>
  <c r="K95" i="10" s="1"/>
  <c r="N93" i="10"/>
  <c r="N61" i="10"/>
  <c r="N94" i="10" s="1"/>
  <c r="N95" i="10" s="1"/>
  <c r="F93" i="10"/>
  <c r="F61" i="10"/>
  <c r="F94" i="10" s="1"/>
  <c r="F95" i="10" s="1"/>
  <c r="ED93" i="10"/>
  <c r="F25" i="13" s="1"/>
  <c r="X32" i="13" s="1"/>
  <c r="ED61" i="10"/>
  <c r="ED94" i="10" s="1"/>
  <c r="ED95" i="10" s="1"/>
  <c r="AM93" i="10"/>
  <c r="AM61" i="10"/>
  <c r="AM94" i="10" s="1"/>
  <c r="AM95" i="10" s="1"/>
  <c r="DM93" i="10"/>
  <c r="DM61" i="10"/>
  <c r="DM94" i="10" s="1"/>
  <c r="DM95" i="10" s="1"/>
  <c r="AS93" i="10"/>
  <c r="AS61" i="10"/>
  <c r="AS94" i="10" s="1"/>
  <c r="AS95" i="10" s="1"/>
  <c r="CB93" i="10"/>
  <c r="CB61" i="10"/>
  <c r="CB94" i="10" s="1"/>
  <c r="CB95" i="10" s="1"/>
  <c r="DV93" i="10"/>
  <c r="DV61" i="10"/>
  <c r="DV94" i="10" s="1"/>
  <c r="DV95" i="10" s="1"/>
  <c r="U93" i="10"/>
  <c r="U61" i="10"/>
  <c r="U94" i="10" s="1"/>
  <c r="U95" i="10" s="1"/>
  <c r="DD93" i="10"/>
  <c r="DD61" i="10"/>
  <c r="DD94" i="10" s="1"/>
  <c r="DD95" i="10" s="1"/>
  <c r="DX93" i="10"/>
  <c r="D25" i="13" s="1"/>
  <c r="DX61" i="10"/>
  <c r="DX94" i="10" s="1"/>
  <c r="DX95" i="10" s="1"/>
  <c r="EA93" i="10"/>
  <c r="E25" i="13" s="1"/>
  <c r="EA61" i="10"/>
  <c r="EA94" i="10" s="1"/>
  <c r="EA95" i="10" s="1"/>
  <c r="BU93" i="10"/>
  <c r="BU61" i="10"/>
  <c r="BU94" i="10" s="1"/>
  <c r="BU95" i="10" s="1"/>
  <c r="DE93" i="10"/>
  <c r="DE61" i="10"/>
  <c r="EC93" i="10"/>
  <c r="EC61" i="10"/>
  <c r="EC94" i="10" s="1"/>
  <c r="EC95" i="10" s="1"/>
  <c r="BW93" i="10"/>
  <c r="BW61" i="10"/>
  <c r="BW94" i="10" s="1"/>
  <c r="BW95" i="10" s="1"/>
  <c r="AG93" i="10"/>
  <c r="AG61" i="10"/>
  <c r="AG94" i="10" s="1"/>
  <c r="AG95" i="10" s="1"/>
  <c r="DJ93" i="10"/>
  <c r="DJ61" i="10"/>
  <c r="DJ94" i="10" s="1"/>
  <c r="DJ95" i="10" s="1"/>
  <c r="BJ93" i="10"/>
  <c r="BJ61" i="10"/>
  <c r="BJ94" i="10" s="1"/>
  <c r="BJ95" i="10" s="1"/>
  <c r="DU93" i="10"/>
  <c r="C25" i="13" s="1"/>
  <c r="DU61" i="10"/>
  <c r="DU94" i="10" s="1"/>
  <c r="DU95" i="10" s="1"/>
  <c r="BL93" i="10"/>
  <c r="BL61" i="10"/>
  <c r="BL94" i="10" s="1"/>
  <c r="BL95" i="10" s="1"/>
  <c r="CY93" i="10"/>
  <c r="CY61" i="10"/>
  <c r="AZ93" i="10"/>
  <c r="AZ61" i="10"/>
  <c r="AZ94" i="10" s="1"/>
  <c r="AZ95" i="10" s="1"/>
  <c r="DH93" i="10"/>
  <c r="DH61" i="10"/>
  <c r="DH94" i="10" s="1"/>
  <c r="DH95" i="10" s="1"/>
  <c r="G93" i="10"/>
  <c r="G61" i="10"/>
  <c r="G94" i="10" s="1"/>
  <c r="G95" i="10" s="1"/>
  <c r="EB93" i="10"/>
  <c r="EB61" i="10"/>
  <c r="EB94" i="10" s="1"/>
  <c r="EB95" i="10" s="1"/>
  <c r="DS93" i="10"/>
  <c r="DS61" i="10"/>
  <c r="DS94" i="10" s="1"/>
  <c r="DS95" i="10" s="1"/>
  <c r="O93" i="10"/>
  <c r="O61" i="10"/>
  <c r="O94" i="10" s="1"/>
  <c r="O95" i="10" s="1"/>
  <c r="BM93" i="10"/>
  <c r="BM61" i="10"/>
  <c r="BM94" i="10" s="1"/>
  <c r="BM95" i="10" s="1"/>
  <c r="D93" i="10"/>
  <c r="D61" i="10"/>
  <c r="D94" i="10" s="1"/>
  <c r="D95" i="10" s="1"/>
  <c r="DC93" i="10"/>
  <c r="DC61" i="10"/>
  <c r="DC94" i="10" s="1"/>
  <c r="DC95" i="10" s="1"/>
  <c r="BB93" i="10"/>
  <c r="BB61" i="10"/>
  <c r="BB94" i="10" s="1"/>
  <c r="BB95" i="10" s="1"/>
  <c r="CE93" i="10"/>
  <c r="CE61" i="10"/>
  <c r="CE94" i="10" s="1"/>
  <c r="CE95" i="10" s="1"/>
  <c r="CJ93" i="10"/>
  <c r="CJ61" i="10"/>
  <c r="CJ94" i="10" s="1"/>
  <c r="CJ95" i="10" s="1"/>
  <c r="CL93" i="10"/>
  <c r="CL61" i="10"/>
  <c r="CL94" i="10" s="1"/>
  <c r="CL95" i="10" s="1"/>
  <c r="AA93" i="10"/>
  <c r="AA61" i="10"/>
  <c r="AA94" i="10" s="1"/>
  <c r="AA95" i="10" s="1"/>
  <c r="GU96" i="10" l="1"/>
  <c r="AC26" i="13" s="1"/>
  <c r="AC36" i="13" s="1"/>
  <c r="AC38" i="13" s="1"/>
  <c r="GO96" i="10"/>
  <c r="AA26" i="13" s="1"/>
  <c r="GX96" i="10"/>
  <c r="AD26" i="13" s="1"/>
  <c r="FH96" i="10"/>
  <c r="P26" i="13" s="1"/>
  <c r="GA96" i="10"/>
  <c r="GZ96" i="10"/>
  <c r="FE96" i="10"/>
  <c r="O26" i="13" s="1"/>
  <c r="GG96" i="10"/>
  <c r="EI96" i="10"/>
  <c r="J32" i="13"/>
  <c r="Y32" i="13"/>
  <c r="K32" i="13"/>
  <c r="I32" i="13"/>
  <c r="EV96" i="10"/>
  <c r="L26" i="13" s="1"/>
  <c r="DE94" i="10"/>
  <c r="DE95" i="10" s="1"/>
  <c r="Q32" i="13"/>
  <c r="DZ94" i="10"/>
  <c r="DZ95" i="10" s="1"/>
  <c r="AB32" i="13"/>
  <c r="W32" i="13"/>
  <c r="M32" i="13"/>
  <c r="R32" i="13"/>
  <c r="AC32" i="13"/>
  <c r="H32" i="13"/>
  <c r="O32" i="13"/>
  <c r="G32" i="13"/>
  <c r="AA32" i="13"/>
  <c r="T32" i="13"/>
  <c r="P32" i="13"/>
  <c r="U32" i="13"/>
  <c r="FV96" i="10"/>
  <c r="EF94" i="10"/>
  <c r="EF95" i="10" s="1"/>
  <c r="L32" i="13"/>
  <c r="Z32" i="13"/>
  <c r="GE96" i="10"/>
  <c r="CY94" i="10"/>
  <c r="CY95" i="10" s="1"/>
  <c r="GM96" i="10" s="1"/>
  <c r="S32" i="13"/>
  <c r="G12" i="13" s="1"/>
  <c r="G25" i="18" s="1"/>
  <c r="CT94" i="10"/>
  <c r="CT95" i="10" s="1"/>
  <c r="FU96" i="10"/>
  <c r="EE94" i="10"/>
  <c r="EE95" i="10" s="1"/>
  <c r="V32" i="13"/>
  <c r="FJ96" i="10"/>
  <c r="CR94" i="10"/>
  <c r="CR95" i="10" s="1"/>
  <c r="AD32" i="13"/>
  <c r="N32" i="13"/>
  <c r="GD96" i="10"/>
  <c r="CX94" i="10"/>
  <c r="CX95" i="10" s="1"/>
  <c r="DY94" i="10"/>
  <c r="DY95" i="10" s="1"/>
  <c r="EK96" i="10"/>
  <c r="FP96" i="10"/>
  <c r="FI96" i="10"/>
  <c r="GY96" i="10"/>
  <c r="GT96" i="10"/>
  <c r="FD96" i="10"/>
  <c r="HD96" i="10"/>
  <c r="FN96" i="10"/>
  <c r="R26" i="13" s="1"/>
  <c r="FC96" i="10"/>
  <c r="GW96" i="10"/>
  <c r="FG96" i="10"/>
  <c r="GJ96" i="10"/>
  <c r="ET96" i="10"/>
  <c r="GB96" i="10"/>
  <c r="GI96" i="10"/>
  <c r="Y26" i="13" s="1"/>
  <c r="FR96" i="10"/>
  <c r="HH96" i="10"/>
  <c r="FK96" i="10"/>
  <c r="Q26" i="13" s="1"/>
  <c r="HA96" i="10"/>
  <c r="EP96" i="10"/>
  <c r="J26" i="13" s="1"/>
  <c r="EU96" i="10"/>
  <c r="HI96" i="10"/>
  <c r="HJ96" i="10"/>
  <c r="FM96" i="10"/>
  <c r="HC96" i="10"/>
  <c r="EO96" i="10"/>
  <c r="EW96" i="10"/>
  <c r="HG96" i="10"/>
  <c r="FQ96" i="10"/>
  <c r="S26" i="13" s="1"/>
  <c r="FL96" i="10"/>
  <c r="HB96" i="10"/>
  <c r="EQ96" i="10"/>
  <c r="GN96" i="10"/>
  <c r="EX96" i="10"/>
  <c r="GV96" i="10"/>
  <c r="FF96" i="10"/>
  <c r="GQ96" i="10"/>
  <c r="FA96" i="10"/>
  <c r="GP96" i="10"/>
  <c r="EZ96" i="10"/>
  <c r="GC96" i="10"/>
  <c r="W26" i="13" s="1"/>
  <c r="EM96" i="10"/>
  <c r="I26" i="13" s="1"/>
  <c r="FB96" i="10"/>
  <c r="N26" i="13" s="1"/>
  <c r="GR96" i="10"/>
  <c r="AB26" i="13" s="1"/>
  <c r="I12" i="13" l="1"/>
  <c r="I25" i="18" s="1"/>
  <c r="GF96" i="10"/>
  <c r="X26" i="13" s="1"/>
  <c r="ES96" i="10"/>
  <c r="K26" i="13" s="1"/>
  <c r="FY96" i="10"/>
  <c r="EL96" i="10"/>
  <c r="GL96" i="10"/>
  <c r="Z26" i="13" s="1"/>
  <c r="AD28" i="13"/>
  <c r="AA28" i="13"/>
  <c r="AA31" i="13" s="1"/>
  <c r="AA33" i="13" s="1"/>
  <c r="AC28" i="13"/>
  <c r="AC31" i="13" s="1"/>
  <c r="AC33" i="13" s="1"/>
  <c r="AD36" i="13"/>
  <c r="AA36" i="13"/>
  <c r="AA38" i="13" s="1"/>
  <c r="FZ96" i="10"/>
  <c r="V26" i="13" s="1"/>
  <c r="HE96" i="10"/>
  <c r="FS96" i="10"/>
  <c r="HF96" i="10"/>
  <c r="FT96" i="10"/>
  <c r="T26" i="13" s="1"/>
  <c r="GK96" i="10"/>
  <c r="ER96" i="10"/>
  <c r="G33" i="13"/>
  <c r="G48" i="13" s="1"/>
  <c r="D12" i="13"/>
  <c r="D25" i="18" s="1"/>
  <c r="F12" i="13"/>
  <c r="F25" i="18" s="1"/>
  <c r="FO96" i="10"/>
  <c r="E12" i="13"/>
  <c r="E25" i="18" s="1"/>
  <c r="AC41" i="13"/>
  <c r="FX96" i="10"/>
  <c r="EH96" i="10"/>
  <c r="H12" i="13"/>
  <c r="H25" i="18" s="1"/>
  <c r="EJ96" i="10"/>
  <c r="H26" i="13" s="1"/>
  <c r="Y28" i="13" l="1"/>
  <c r="Y31" i="13" s="1"/>
  <c r="Y33" i="13" s="1"/>
  <c r="P28" i="13"/>
  <c r="AB28" i="13"/>
  <c r="R28" i="13"/>
  <c r="V28" i="13"/>
  <c r="K28" i="13"/>
  <c r="X28" i="13"/>
  <c r="O28" i="13"/>
  <c r="L28" i="13"/>
  <c r="Z28" i="13"/>
  <c r="Q28" i="13"/>
  <c r="J28" i="13"/>
  <c r="J31" i="13" s="1"/>
  <c r="J33" i="13" s="1"/>
  <c r="I28" i="13"/>
  <c r="I31" i="13" s="1"/>
  <c r="I33" i="13" s="1"/>
  <c r="N28" i="13"/>
  <c r="W28" i="13"/>
  <c r="W31" i="13" s="1"/>
  <c r="W33" i="13" s="1"/>
  <c r="S28" i="13"/>
  <c r="S31" i="13" s="1"/>
  <c r="S33" i="13" s="1"/>
  <c r="AD38" i="13"/>
  <c r="AD41" i="13"/>
  <c r="AA41" i="13"/>
  <c r="AA48" i="13" s="1"/>
  <c r="R36" i="13"/>
  <c r="R38" i="13" s="1"/>
  <c r="K36" i="13"/>
  <c r="K38" i="13" s="1"/>
  <c r="AB36" i="13"/>
  <c r="AB38" i="13" s="1"/>
  <c r="X36" i="13"/>
  <c r="X38" i="13" s="1"/>
  <c r="Q36" i="13"/>
  <c r="Q38" i="13" s="1"/>
  <c r="I36" i="13"/>
  <c r="N36" i="13"/>
  <c r="N41" i="13" s="1"/>
  <c r="W36" i="13"/>
  <c r="W38" i="13" s="1"/>
  <c r="S36" i="13"/>
  <c r="S38" i="13" s="1"/>
  <c r="AC48" i="13"/>
  <c r="AD31" i="13"/>
  <c r="AD33" i="13" s="1"/>
  <c r="Y36" i="13"/>
  <c r="Y38" i="13" s="1"/>
  <c r="J36" i="13"/>
  <c r="P36" i="13"/>
  <c r="O36" i="13"/>
  <c r="GS96" i="10"/>
  <c r="EY96" i="10"/>
  <c r="M26" i="13" s="1"/>
  <c r="GH96" i="10"/>
  <c r="EN96" i="10"/>
  <c r="L36" i="13"/>
  <c r="V36" i="13"/>
  <c r="Z36" i="13"/>
  <c r="FW96" i="10"/>
  <c r="U26" i="13" s="1"/>
  <c r="R41" i="13" l="1"/>
  <c r="T28" i="13"/>
  <c r="S41" i="13"/>
  <c r="S48" i="13" s="1"/>
  <c r="H28" i="13"/>
  <c r="AB41" i="13"/>
  <c r="I14" i="13" s="1"/>
  <c r="I27" i="18" s="1"/>
  <c r="H55" i="21" s="1"/>
  <c r="X41" i="13"/>
  <c r="Q41" i="13"/>
  <c r="K41" i="13"/>
  <c r="W41" i="13"/>
  <c r="W48" i="13" s="1"/>
  <c r="N38" i="13"/>
  <c r="I38" i="13"/>
  <c r="I41" i="13"/>
  <c r="I48" i="13" s="1"/>
  <c r="H36" i="13"/>
  <c r="H38" i="13" s="1"/>
  <c r="Z38" i="13"/>
  <c r="V38" i="13"/>
  <c r="J38" i="13"/>
  <c r="K31" i="13"/>
  <c r="K33" i="13" s="1"/>
  <c r="AD48" i="13"/>
  <c r="Z31" i="13"/>
  <c r="Z33" i="13" s="1"/>
  <c r="V31" i="13"/>
  <c r="V33" i="13" s="1"/>
  <c r="X31" i="13"/>
  <c r="X33" i="13" s="1"/>
  <c r="Y41" i="13"/>
  <c r="Y48" i="13" s="1"/>
  <c r="AB31" i="13"/>
  <c r="AB33" i="13" s="1"/>
  <c r="Q31" i="13"/>
  <c r="Q33" i="13" s="1"/>
  <c r="R31" i="13"/>
  <c r="R33" i="13" s="1"/>
  <c r="R48" i="13" s="1"/>
  <c r="L31" i="13"/>
  <c r="L33" i="13" s="1"/>
  <c r="O31" i="13"/>
  <c r="N31" i="13"/>
  <c r="N33" i="13" s="1"/>
  <c r="N48" i="13" s="1"/>
  <c r="P31" i="13"/>
  <c r="J41" i="13"/>
  <c r="J48" i="13" s="1"/>
  <c r="P38" i="13"/>
  <c r="P41" i="13"/>
  <c r="O38" i="13"/>
  <c r="O41" i="13"/>
  <c r="T36" i="13"/>
  <c r="V41" i="13"/>
  <c r="L38" i="13"/>
  <c r="L41" i="13"/>
  <c r="Z41" i="13"/>
  <c r="H14" i="13" s="1"/>
  <c r="H27" i="18" s="1"/>
  <c r="G55" i="21" s="1"/>
  <c r="K48" i="13" l="1"/>
  <c r="F14" i="13"/>
  <c r="F27" i="18" s="1"/>
  <c r="E55" i="21" s="1"/>
  <c r="Q48" i="13"/>
  <c r="M28" i="13"/>
  <c r="U28" i="13"/>
  <c r="U31" i="13" s="1"/>
  <c r="U33" i="13" s="1"/>
  <c r="H41" i="13"/>
  <c r="D14" i="13" s="1"/>
  <c r="D27" i="18" s="1"/>
  <c r="C55" i="21" s="1"/>
  <c r="X48" i="13"/>
  <c r="H11" i="13"/>
  <c r="H24" i="18" s="1"/>
  <c r="H26" i="18" s="1"/>
  <c r="I11" i="13"/>
  <c r="I13" i="13" s="1"/>
  <c r="I16" i="13" s="1"/>
  <c r="M36" i="13"/>
  <c r="M38" i="13" s="1"/>
  <c r="F11" i="13"/>
  <c r="F13" i="13" s="1"/>
  <c r="AB48" i="13"/>
  <c r="L48" i="13"/>
  <c r="P33" i="13"/>
  <c r="P48" i="13" s="1"/>
  <c r="Z48" i="13"/>
  <c r="T31" i="13"/>
  <c r="T33" i="13" s="1"/>
  <c r="V48" i="13"/>
  <c r="H31" i="13"/>
  <c r="D11" i="13" s="1"/>
  <c r="D13" i="13" s="1"/>
  <c r="O33" i="13"/>
  <c r="O48" i="13" s="1"/>
  <c r="U36" i="13"/>
  <c r="U38" i="13" s="1"/>
  <c r="T38" i="13"/>
  <c r="T41" i="13"/>
  <c r="H29" i="18" l="1"/>
  <c r="H44" i="18" s="1"/>
  <c r="G54" i="21"/>
  <c r="G57" i="21" s="1"/>
  <c r="F16" i="13"/>
  <c r="D16" i="13"/>
  <c r="G11" i="13"/>
  <c r="G13" i="13" s="1"/>
  <c r="H13" i="13"/>
  <c r="H16" i="13" s="1"/>
  <c r="M41" i="13"/>
  <c r="E14" i="13" s="1"/>
  <c r="E27" i="18" s="1"/>
  <c r="D55" i="21" s="1"/>
  <c r="I24" i="18"/>
  <c r="I26" i="18" s="1"/>
  <c r="H54" i="21" s="1"/>
  <c r="H57" i="21" s="1"/>
  <c r="G14" i="13"/>
  <c r="G27" i="18" s="1"/>
  <c r="F55" i="21" s="1"/>
  <c r="H31" i="18"/>
  <c r="G58" i="21" s="1"/>
  <c r="F24" i="18"/>
  <c r="F26" i="18" s="1"/>
  <c r="T48" i="13"/>
  <c r="H33" i="13"/>
  <c r="H48" i="13" s="1"/>
  <c r="E11" i="13"/>
  <c r="E13" i="13" s="1"/>
  <c r="M31" i="13"/>
  <c r="D24" i="18"/>
  <c r="D26" i="18" s="1"/>
  <c r="U41" i="13"/>
  <c r="U48" i="13" s="1"/>
  <c r="H32" i="18"/>
  <c r="G59" i="21" s="1"/>
  <c r="F29" i="18" l="1"/>
  <c r="F44" i="18" s="1"/>
  <c r="E54" i="21"/>
  <c r="E57" i="21" s="1"/>
  <c r="D29" i="18"/>
  <c r="D44" i="18" s="1"/>
  <c r="C54" i="21"/>
  <c r="C57" i="21" s="1"/>
  <c r="G62" i="21"/>
  <c r="I29" i="18"/>
  <c r="I31" i="18" s="1"/>
  <c r="H58" i="21" s="1"/>
  <c r="E16" i="13"/>
  <c r="G16" i="13"/>
  <c r="G24" i="18"/>
  <c r="G26" i="18" s="1"/>
  <c r="H36" i="18"/>
  <c r="H38" i="18" s="1"/>
  <c r="F32" i="18"/>
  <c r="E59" i="21" s="1"/>
  <c r="E24" i="18"/>
  <c r="E26" i="18" s="1"/>
  <c r="D54" i="21" s="1"/>
  <c r="D57" i="21" s="1"/>
  <c r="M33" i="13"/>
  <c r="M48" i="13" s="1"/>
  <c r="D32" i="18" l="1"/>
  <c r="C59" i="21" s="1"/>
  <c r="G29" i="18"/>
  <c r="G44" i="18" s="1"/>
  <c r="F54" i="21"/>
  <c r="F57" i="21" s="1"/>
  <c r="F31" i="18"/>
  <c r="E58" i="21" s="1"/>
  <c r="E62" i="21" s="1"/>
  <c r="D31" i="18"/>
  <c r="C58" i="21" s="1"/>
  <c r="H40" i="18"/>
  <c r="G63" i="21" s="1"/>
  <c r="I32" i="18"/>
  <c r="H59" i="21" s="1"/>
  <c r="H62" i="21" s="1"/>
  <c r="I44" i="18"/>
  <c r="E29" i="18"/>
  <c r="E44" i="18" s="1"/>
  <c r="G32" i="18"/>
  <c r="F59" i="21" s="1"/>
  <c r="G31" i="18"/>
  <c r="F58" i="21" s="1"/>
  <c r="D43" i="18"/>
  <c r="C64" i="21" s="1"/>
  <c r="C62" i="21" l="1"/>
  <c r="D36" i="18"/>
  <c r="D38" i="18" s="1"/>
  <c r="D40" i="18" s="1"/>
  <c r="C63" i="21" s="1"/>
  <c r="C65" i="21" s="1"/>
  <c r="F36" i="18"/>
  <c r="F38" i="18" s="1"/>
  <c r="F62" i="21"/>
  <c r="I36" i="18"/>
  <c r="I38" i="18" s="1"/>
  <c r="I40" i="18" s="1"/>
  <c r="H63" i="21" s="1"/>
  <c r="F40" i="18"/>
  <c r="E63" i="21" s="1"/>
  <c r="G36" i="18"/>
  <c r="G38" i="18" s="1"/>
  <c r="D48" i="18"/>
  <c r="D50" i="18" s="1"/>
  <c r="E43" i="18"/>
  <c r="D64" i="21" s="1"/>
  <c r="E31" i="18"/>
  <c r="D58" i="21" s="1"/>
  <c r="E32" i="18"/>
  <c r="D59" i="21" s="1"/>
  <c r="D62" i="21" l="1"/>
  <c r="G40" i="18"/>
  <c r="F63" i="21" s="1"/>
  <c r="G43" i="18"/>
  <c r="F43" i="18"/>
  <c r="E36" i="18"/>
  <c r="E38" i="18" s="1"/>
  <c r="F48" i="18" l="1"/>
  <c r="F50" i="18" s="1"/>
  <c r="E64" i="21"/>
  <c r="E65" i="21" s="1"/>
  <c r="G48" i="18"/>
  <c r="F64" i="21"/>
  <c r="F65" i="21" s="1"/>
  <c r="E40" i="18"/>
  <c r="D63" i="21" s="1"/>
  <c r="D65" i="21" s="1"/>
  <c r="G50" i="18"/>
  <c r="H43" i="18"/>
  <c r="I43" i="18"/>
  <c r="E48" i="18" l="1"/>
  <c r="I48" i="18"/>
  <c r="H64" i="21"/>
  <c r="H65" i="21" s="1"/>
  <c r="H48" i="18"/>
  <c r="H50" i="18" s="1"/>
  <c r="G64" i="21"/>
  <c r="G65" i="21" s="1"/>
  <c r="I50" i="18"/>
  <c r="J48" i="18"/>
  <c r="J50" i="18" s="1"/>
  <c r="E50" i="18"/>
  <c r="C16" i="18" l="1"/>
  <c r="C18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<sst xmlns="http://schemas.openxmlformats.org/spreadsheetml/2006/main" count="788" uniqueCount="432">
  <si>
    <t>Valuation model</t>
  </si>
  <si>
    <t>Other revenue</t>
  </si>
  <si>
    <t>Retail transaction revenue</t>
  </si>
  <si>
    <t>Institutional transaction revenue</t>
  </si>
  <si>
    <t>Total transaction revenue</t>
  </si>
  <si>
    <t>Custodial fee revenue</t>
  </si>
  <si>
    <t>Staking revenue</t>
  </si>
  <si>
    <t>Earn campaign revenue</t>
  </si>
  <si>
    <t>Interest income</t>
  </si>
  <si>
    <t>Other subscription and services revenue</t>
  </si>
  <si>
    <t>Total subscription and services revenue</t>
  </si>
  <si>
    <t>Total net revenue</t>
  </si>
  <si>
    <t>Transaction revenue</t>
  </si>
  <si>
    <t>Retail</t>
  </si>
  <si>
    <t>Institutional</t>
  </si>
  <si>
    <t>Subscription and services revenue</t>
  </si>
  <si>
    <t>Crypto asset sales revenue</t>
  </si>
  <si>
    <t>Year</t>
  </si>
  <si>
    <t>Year ended</t>
  </si>
  <si>
    <t>Corporate interest income</t>
  </si>
  <si>
    <t>Total other revenue</t>
  </si>
  <si>
    <t>Total revenue</t>
  </si>
  <si>
    <t>Revenues</t>
  </si>
  <si>
    <t>Operating expenses</t>
  </si>
  <si>
    <t>Transaction expense</t>
  </si>
  <si>
    <t>Technology and development</t>
  </si>
  <si>
    <t>Sales and marketing</t>
  </si>
  <si>
    <t>General and administrative</t>
  </si>
  <si>
    <t>Restructuring</t>
  </si>
  <si>
    <t>Other operating expense</t>
  </si>
  <si>
    <t>Total operating expenses</t>
  </si>
  <si>
    <t>EBIT</t>
  </si>
  <si>
    <t>Operating profit</t>
  </si>
  <si>
    <t>Interest</t>
  </si>
  <si>
    <t>Income tax / (benefit)</t>
  </si>
  <si>
    <t>Net income / (loss)</t>
  </si>
  <si>
    <r>
      <t>Other income</t>
    </r>
    <r>
      <rPr>
        <vertAlign val="superscript"/>
        <sz val="10"/>
        <color theme="1"/>
        <rFont val="Calibri"/>
        <family val="2"/>
        <scheme val="minor"/>
      </rPr>
      <t>(1)</t>
    </r>
  </si>
  <si>
    <t>Notes:</t>
  </si>
  <si>
    <t>(1) Other income includes: (i) gain and losses on investments as a result of fair value adjustments; and (2) gains and losses on the settlement of foreign currency assets and liabilities.</t>
  </si>
  <si>
    <t>Form S-1/A (No. 2), page 106</t>
  </si>
  <si>
    <t>Quarter ended</t>
  </si>
  <si>
    <t>Operational metrics</t>
  </si>
  <si>
    <t>Q1 2018</t>
  </si>
  <si>
    <t>Q2 2018</t>
  </si>
  <si>
    <t>Q1 2019</t>
  </si>
  <si>
    <t>Q2 2019</t>
  </si>
  <si>
    <t>Q1 2020</t>
  </si>
  <si>
    <t>Q2 2020</t>
  </si>
  <si>
    <t>Q1 2021</t>
  </si>
  <si>
    <t>Q3 2018</t>
  </si>
  <si>
    <t>Q4 2018</t>
  </si>
  <si>
    <t>Q3 2019</t>
  </si>
  <si>
    <t>Q4 2019</t>
  </si>
  <si>
    <t>Q3 2020</t>
  </si>
  <si>
    <t>Q4 2020</t>
  </si>
  <si>
    <t>Form S-1/A (No. 2), page 94</t>
  </si>
  <si>
    <t>Form S-1/A (No. 2), page 95</t>
  </si>
  <si>
    <t>Form S-1/A (No. 2), page 96</t>
  </si>
  <si>
    <t>Key business metrics</t>
  </si>
  <si>
    <t>BTC</t>
  </si>
  <si>
    <t>ETH</t>
  </si>
  <si>
    <t>Other crypto assets</t>
  </si>
  <si>
    <t>Fiat</t>
  </si>
  <si>
    <t>Form S-1/A (No. 2), page 97</t>
  </si>
  <si>
    <t>Form S-1/A (No. 2), page 98</t>
  </si>
  <si>
    <t>LTC</t>
  </si>
  <si>
    <t>Adjusted EBITDA</t>
  </si>
  <si>
    <t>Add back: Income tax</t>
  </si>
  <si>
    <t>Add back: Depreciation and amortisation</t>
  </si>
  <si>
    <t>Add back: Interest expense</t>
  </si>
  <si>
    <r>
      <t>Interest expense</t>
    </r>
    <r>
      <rPr>
        <vertAlign val="superscript"/>
        <sz val="10"/>
        <color theme="1"/>
        <rFont val="Calibri"/>
        <family val="2"/>
        <scheme val="minor"/>
      </rPr>
      <t>(2)</t>
    </r>
  </si>
  <si>
    <t>Form S-1/A (No. 2), page 87</t>
  </si>
  <si>
    <t xml:space="preserve">(2) Page 87 of Form S-1/A (Amendment No. 2) reports a small interest expense. However, have assumed zero expense as per the income statement and balance sheet (which shows no debt). </t>
  </si>
  <si>
    <t>Add back: Impairment</t>
  </si>
  <si>
    <t>Add back: Restructuring</t>
  </si>
  <si>
    <t>Add back: Non-recurring acquisition-related compensation</t>
  </si>
  <si>
    <t>Add back: Unrealised losses (gains) on foreign exchange</t>
  </si>
  <si>
    <t>Add back: Fair value adjustments on derivatives</t>
  </si>
  <si>
    <t>Add back: Legal reserves and related costs</t>
  </si>
  <si>
    <t>Add back: Stock-based compensation</t>
  </si>
  <si>
    <t>Quarter</t>
  </si>
  <si>
    <t>Form S-1/A (No. 2), Quarterly Consolidated Statement of Operations (page 110)</t>
  </si>
  <si>
    <t>Form S-1/A (No. 2), page 112</t>
  </si>
  <si>
    <r>
      <t>31 Mar 2021</t>
    </r>
    <r>
      <rPr>
        <b/>
        <vertAlign val="superscript"/>
        <sz val="10"/>
        <color theme="1"/>
        <rFont val="Calibri"/>
        <family val="2"/>
        <scheme val="minor"/>
      </rPr>
      <t>(1)</t>
    </r>
  </si>
  <si>
    <t>Forecasts</t>
  </si>
  <si>
    <t>High</t>
  </si>
  <si>
    <t>Low</t>
  </si>
  <si>
    <t>Year ending</t>
  </si>
  <si>
    <r>
      <t>High</t>
    </r>
    <r>
      <rPr>
        <vertAlign val="superscript"/>
        <sz val="10"/>
        <color theme="1"/>
        <rFont val="Calibri"/>
        <family val="2"/>
        <scheme val="minor"/>
      </rPr>
      <t>(1)</t>
    </r>
  </si>
  <si>
    <r>
      <t>Mid</t>
    </r>
    <r>
      <rPr>
        <vertAlign val="superscript"/>
        <sz val="10"/>
        <color theme="1"/>
        <rFont val="Calibri"/>
        <family val="2"/>
        <scheme val="minor"/>
      </rPr>
      <t>(2)</t>
    </r>
  </si>
  <si>
    <r>
      <t>Low</t>
    </r>
    <r>
      <rPr>
        <vertAlign val="superscript"/>
        <sz val="10"/>
        <color theme="1"/>
        <rFont val="Calibri"/>
        <family val="2"/>
        <scheme val="minor"/>
      </rPr>
      <t>(3)</t>
    </r>
  </si>
  <si>
    <t>(2) Assumes flat crypto market capitalisation and low-to-moderate crypto asset price volatility. Assumes modest decline in MTUs from Q1 2021.</t>
  </si>
  <si>
    <t>(3) Assumes significant decrease in crypto market capitalisation similar to that observed in 2018, and low levels of crypto asset price volatility thereafter.</t>
  </si>
  <si>
    <t>Institutional revenue</t>
  </si>
  <si>
    <t xml:space="preserve">"We expect meaningful growth in 2021 driven by transaction and custody revenue given the increased institutional interest in the crypto asset class. </t>
  </si>
  <si>
    <t>However, our institutional revenue is inherently unpredictable given the factors listed above."</t>
  </si>
  <si>
    <t>One-time expenses related to direct listing</t>
  </si>
  <si>
    <t>Expenses (USD million)</t>
  </si>
  <si>
    <t>Assets on platform - % share</t>
  </si>
  <si>
    <t>Trading activity on platform - % share by asset</t>
  </si>
  <si>
    <r>
      <t>R&amp;D and G&amp;A expenses, excl. stock-based compensation</t>
    </r>
    <r>
      <rPr>
        <vertAlign val="superscript"/>
        <sz val="10"/>
        <color theme="1"/>
        <rFont val="Calibri"/>
        <family val="2"/>
        <scheme val="minor"/>
      </rPr>
      <t>(1)</t>
    </r>
  </si>
  <si>
    <t>(1) Calculated as the mid-point of the reported range of USD 1.3 - 1.6 billion.</t>
  </si>
  <si>
    <r>
      <t>Sales and marketing cost as % of net revenues</t>
    </r>
    <r>
      <rPr>
        <vertAlign val="superscript"/>
        <sz val="10"/>
        <color theme="1"/>
        <rFont val="Calibri"/>
        <family val="2"/>
        <scheme val="minor"/>
      </rPr>
      <t>(2)</t>
    </r>
  </si>
  <si>
    <r>
      <t>Transaction expenses as % of net revenues</t>
    </r>
    <r>
      <rPr>
        <vertAlign val="superscript"/>
        <sz val="10"/>
        <color theme="1"/>
        <rFont val="Calibri"/>
        <family val="2"/>
        <scheme val="minor"/>
      </rPr>
      <t>(3)</t>
    </r>
  </si>
  <si>
    <t>(1) Assumes increase in crypto market capitalisation and moderate-to-high crypto asset price volatility. Assumes MTUs will continue to grow for remainder of 2021.</t>
  </si>
  <si>
    <t>(2) Calculated as the mid-point of the reported range of 12% to 15%.</t>
  </si>
  <si>
    <t>(3) Calculated as the mid-point of 10% and 15%, based on the expectation that these expenses "will be in the low-to-mid teens as a percent of revenue in 2021".</t>
  </si>
  <si>
    <t>Coinbase Q1 2021 Form 8-K Current Report</t>
  </si>
  <si>
    <t>Source: Coinbase Q1 2021 Form 8-K Current Report</t>
  </si>
  <si>
    <t>Date</t>
  </si>
  <si>
    <t>Open</t>
  </si>
  <si>
    <t>Close</t>
  </si>
  <si>
    <t>Source: Yahoo Finance, accessed 18 April 2021</t>
  </si>
  <si>
    <t>Date ending</t>
  </si>
  <si>
    <t>MTUs (million)</t>
  </si>
  <si>
    <t>Bitcoin price (USD)</t>
  </si>
  <si>
    <t>Deviation</t>
  </si>
  <si>
    <t>Fitted MTUs</t>
  </si>
  <si>
    <t>Actual MTUs</t>
  </si>
  <si>
    <t>Slope (m)</t>
  </si>
  <si>
    <t>Intercept (b)</t>
  </si>
  <si>
    <t>Standard error of estimate</t>
  </si>
  <si>
    <t>R-squared</t>
  </si>
  <si>
    <t>Source: Blockchain.com</t>
  </si>
  <si>
    <t>Yahoo Finance</t>
  </si>
  <si>
    <t>Blockchain.com</t>
  </si>
  <si>
    <t>Price (USD)</t>
  </si>
  <si>
    <t>Circulating supply</t>
  </si>
  <si>
    <t>Newly mined coins</t>
  </si>
  <si>
    <t>S2F</t>
  </si>
  <si>
    <t>Market cap (USD)</t>
  </si>
  <si>
    <t>Bitcoin Stock-to-Flow</t>
  </si>
  <si>
    <t>Chart: Comparison of market cap and stock-to-flow values of Bitcoin (logarithmic scale)</t>
  </si>
  <si>
    <r>
      <t>Circulating supply (adj. for lost coins)</t>
    </r>
    <r>
      <rPr>
        <vertAlign val="superscript"/>
        <sz val="10"/>
        <color theme="1"/>
        <rFont val="Calibri"/>
        <family val="2"/>
        <scheme val="minor"/>
      </rPr>
      <t>(1)</t>
    </r>
  </si>
  <si>
    <t>Regression of market cap against S2F value</t>
  </si>
  <si>
    <t>Note: Excludes negative log values.</t>
  </si>
  <si>
    <t>Bitcoin Stock-to-Flow (forecast)</t>
  </si>
  <si>
    <t>Bitcoin halving dates</t>
  </si>
  <si>
    <t>Halving</t>
  </si>
  <si>
    <t>Expected</t>
  </si>
  <si>
    <t>Status</t>
  </si>
  <si>
    <t>Completed</t>
  </si>
  <si>
    <t>Inception</t>
  </si>
  <si>
    <t>Block reward (BTC)</t>
  </si>
  <si>
    <t>Days</t>
  </si>
  <si>
    <t>Bitcoinity</t>
  </si>
  <si>
    <t>Source: Bitcoinity</t>
  </si>
  <si>
    <t>n/a</t>
  </si>
  <si>
    <t>Average time to mine a block in minutes</t>
  </si>
  <si>
    <t>Blocks mined per month</t>
  </si>
  <si>
    <t>Days in month</t>
  </si>
  <si>
    <t>Circulating supply (BTC)</t>
  </si>
  <si>
    <t>Fitted BTC market cap</t>
  </si>
  <si>
    <t>Actual BTC price</t>
  </si>
  <si>
    <t>% Over/(under)valuation</t>
  </si>
  <si>
    <r>
      <t>% Over/(under)valuation - extrapolated</t>
    </r>
    <r>
      <rPr>
        <vertAlign val="superscript"/>
        <sz val="10"/>
        <color theme="1"/>
        <rFont val="Calibri"/>
        <family val="2"/>
        <scheme val="minor"/>
      </rPr>
      <t>(1)</t>
    </r>
  </si>
  <si>
    <t>Fitted BTC price (S2F)</t>
  </si>
  <si>
    <t>Note: (1) Assumes extent of past over/(under)valuation is repeated, but with diminishing volatility.</t>
  </si>
  <si>
    <t>Note: (1) Based on the original adjustment applied by PlanB to remove the first million coins (from January to September 2009), to account for lost coins. https://medium.com/@100trillionUSD/modeling-bitcoins-value-with-scarcity-91fa0fc03e25</t>
  </si>
  <si>
    <t xml:space="preserve"> </t>
  </si>
  <si>
    <t>Chart: BTC price and Stock-to-Flow model (logarithmic scale)</t>
  </si>
  <si>
    <t>Chart: BTC price and Stock-to-Flow model adjusted for extent of under/overvaluation and diminishing volatility (logarithmic scale)</t>
  </si>
  <si>
    <t>Bitcoin Stock-to-Flow model adjusted for under/overvaluation and diminishing volatility</t>
  </si>
  <si>
    <t>Monthly transacting users (million)</t>
  </si>
  <si>
    <t>Ending on:</t>
  </si>
  <si>
    <t>Transaction revenue (USD million)</t>
  </si>
  <si>
    <t>Retail % transaction revenue</t>
  </si>
  <si>
    <t>Retail transaction revenue (USD million)</t>
  </si>
  <si>
    <t>Revenue per transacting user (USD)</t>
  </si>
  <si>
    <t>Monthly transacting users</t>
  </si>
  <si>
    <t>Chart: Comparison of Fitted MTUs to actual MTUs</t>
  </si>
  <si>
    <t>Revenues (quarterly)</t>
  </si>
  <si>
    <t>Q4 2021</t>
  </si>
  <si>
    <t>Q1 2022</t>
  </si>
  <si>
    <t>Q4 2022</t>
  </si>
  <si>
    <t>Q1 2023</t>
  </si>
  <si>
    <t>Q4 2023</t>
  </si>
  <si>
    <t>Q1 2024</t>
  </si>
  <si>
    <t>Q4 2024</t>
  </si>
  <si>
    <t>Q1 2025</t>
  </si>
  <si>
    <t>Q4 2025</t>
  </si>
  <si>
    <t>Q1 2026</t>
  </si>
  <si>
    <t>Q4 2026</t>
  </si>
  <si>
    <t>Q2 2022</t>
  </si>
  <si>
    <t>Q3 2022</t>
  </si>
  <si>
    <t>Q2 2023</t>
  </si>
  <si>
    <t>Q3 2023</t>
  </si>
  <si>
    <t>Q2 2024</t>
  </si>
  <si>
    <t>Q3 2024</t>
  </si>
  <si>
    <t>Q2 2025</t>
  </si>
  <si>
    <t>Q3 2025</t>
  </si>
  <si>
    <t>Q2 2026</t>
  </si>
  <si>
    <t>Q3 2026</t>
  </si>
  <si>
    <t>(1) Assumed based on the historical average ETH/BTC ratio of 0.04.</t>
  </si>
  <si>
    <t>Q2 2021</t>
  </si>
  <si>
    <t>Q3 2021</t>
  </si>
  <si>
    <t>Bitcoin price - S2F (USD)</t>
  </si>
  <si>
    <t>Transaction revenues</t>
  </si>
  <si>
    <t>Assets</t>
  </si>
  <si>
    <t>Assets on platform</t>
  </si>
  <si>
    <t>Bitcoin price - Stock-to-Flow model</t>
  </si>
  <si>
    <t>Bitcoin price</t>
  </si>
  <si>
    <t>Bitcoin price - Stock-to-Flow model, adjusted for over/undervaluation and diminishing volatility</t>
  </si>
  <si>
    <t>Subscription and services revenue (USD million)</t>
  </si>
  <si>
    <t>Assets on platform (USD billion)</t>
  </si>
  <si>
    <t>(2) Assumed to increase in proportion to the Bitcoin price as predicted by the S2F model.</t>
  </si>
  <si>
    <t>Chart: Correlation of assets on platform to Bitcoin price</t>
  </si>
  <si>
    <t>Revenues (annual)</t>
  </si>
  <si>
    <t>Retail transaction revenues</t>
  </si>
  <si>
    <t>Total transaction revenues</t>
  </si>
  <si>
    <t>Institutional transaction revenues</t>
  </si>
  <si>
    <t>USD million, unless otherwise stated</t>
  </si>
  <si>
    <t>Cash and cash equivalents</t>
  </si>
  <si>
    <t>Restricted cash</t>
  </si>
  <si>
    <t>Customer custodial funds</t>
  </si>
  <si>
    <t>USDC</t>
  </si>
  <si>
    <t>Accounts receivable, net of allowance</t>
  </si>
  <si>
    <t>Income tax receivable</t>
  </si>
  <si>
    <t>Prepaid expenses and other current assets</t>
  </si>
  <si>
    <t>Total current assets</t>
  </si>
  <si>
    <t>Crypto assets held</t>
  </si>
  <si>
    <t>Lease right-of-use assets</t>
  </si>
  <si>
    <t>Property and equipment, net</t>
  </si>
  <si>
    <t>Goodwill</t>
  </si>
  <si>
    <t>Intangible assets, net</t>
  </si>
  <si>
    <t>Other non-current assets</t>
  </si>
  <si>
    <t>Total non-current assets</t>
  </si>
  <si>
    <t>Total assets</t>
  </si>
  <si>
    <t>Liabilities, convertible preferred stock and equity</t>
  </si>
  <si>
    <t>Custodial funds due to customers</t>
  </si>
  <si>
    <t>Accounts payable and accrued expenses</t>
  </si>
  <si>
    <t>Crypto asset borrowings</t>
  </si>
  <si>
    <t>Lease liabiltiies, current</t>
  </si>
  <si>
    <t>Other current liabilities</t>
  </si>
  <si>
    <t>Total current liabilities</t>
  </si>
  <si>
    <t>Lease liabiltiies, non-current</t>
  </si>
  <si>
    <t>Total liabilities</t>
  </si>
  <si>
    <t>Convertible preferred stock</t>
  </si>
  <si>
    <t>Class A common stock</t>
  </si>
  <si>
    <t>Class B common stock</t>
  </si>
  <si>
    <t>Additional paid-in capital</t>
  </si>
  <si>
    <t>Accumulated other comprehensive income (loss)</t>
  </si>
  <si>
    <t>Total equity</t>
  </si>
  <si>
    <t>Total liabilities, convertible preferred stock and equity</t>
  </si>
  <si>
    <t>Balance sheet, USD million</t>
  </si>
  <si>
    <t>Cash flow from operating activities</t>
  </si>
  <si>
    <t>Net income</t>
  </si>
  <si>
    <t>Adjustments to reconcile to net cash provided by operating activities:</t>
  </si>
  <si>
    <t>Depreciation and amortisation</t>
  </si>
  <si>
    <t>Impairment expense</t>
  </si>
  <si>
    <t>Stock-based compensation expense</t>
  </si>
  <si>
    <t>Provision for transaction losses and doubtful accounts</t>
  </si>
  <si>
    <t>Loss on disposal of property and equipment</t>
  </si>
  <si>
    <t>Deferred income taxes</t>
  </si>
  <si>
    <t>Unrealised loss (gain) on foreign exchange</t>
  </si>
  <si>
    <t>Non-cash lease expense</t>
  </si>
  <si>
    <t>Loss on investments</t>
  </si>
  <si>
    <t>Change in fair value of contingent consideration</t>
  </si>
  <si>
    <t>Realised (gain) loss on crypto assets</t>
  </si>
  <si>
    <t>Crypto assets received as revenue</t>
  </si>
  <si>
    <t>Crypto asset payments for expenses</t>
  </si>
  <si>
    <t>Fair value adjustment on derivatives</t>
  </si>
  <si>
    <t>Accounts receivable</t>
  </si>
  <si>
    <t>Other assets</t>
  </si>
  <si>
    <t>Lease liabilities</t>
  </si>
  <si>
    <t>Other liabilities</t>
  </si>
  <si>
    <t>Changes in operating assets and liabiltiies:</t>
  </si>
  <si>
    <t>Net cash provided by (used in) operating activities</t>
  </si>
  <si>
    <t>Cash flow from investing activities</t>
  </si>
  <si>
    <t>Net cash provided by (used in) investing activities</t>
  </si>
  <si>
    <t>Purchase of property and equipment</t>
  </si>
  <si>
    <t>Proceeds from sale of property and equipment</t>
  </si>
  <si>
    <t>Capitalised internal-use software development costs</t>
  </si>
  <si>
    <t>Business combination, net of cash acquired</t>
  </si>
  <si>
    <t>Purchase of investments</t>
  </si>
  <si>
    <t>Asset acquisition</t>
  </si>
  <si>
    <t>Proceeds from settlement of investments</t>
  </si>
  <si>
    <t>Purchase of crypto assets</t>
  </si>
  <si>
    <t>Disposal of crypto assets</t>
  </si>
  <si>
    <t>Cash flow from financing activities</t>
  </si>
  <si>
    <t>Issuance of common stock upon exercise of stock options</t>
  </si>
  <si>
    <t>Cash paid to repurchase equity awards</t>
  </si>
  <si>
    <t>Net cash provided by (used in) financing activities</t>
  </si>
  <si>
    <t>Net increase (decrease) in cash, cash equivalents and restricted cash</t>
  </si>
  <si>
    <t>Effect pf exchange rates on cash</t>
  </si>
  <si>
    <t>Cash, cash equivalents, and restricted cash at beginning of year</t>
  </si>
  <si>
    <t>Cash, cash equivalents, and restricted cash at end of year</t>
  </si>
  <si>
    <t>Discounted cash flows</t>
  </si>
  <si>
    <t>Retained earnings</t>
  </si>
  <si>
    <t>Foreign currency translation gains / losses arising from Company's net investment in foreign subsidiaries (Form S-1/A (No. 2), page F-11).</t>
  </si>
  <si>
    <t>Operational restricted deposits and a standby letter of credit at financial institutions (Form S-1/A (No. 2), page F-13).</t>
  </si>
  <si>
    <t>Allowance for doubtful accounts of USD 2.2 million and USD 4.3 million in 2020 and 2019 respectively (Form S-1/A (No. 2), page F-14)</t>
  </si>
  <si>
    <t>Borrowings from third parties on unsecured basis, with a fee payable denominated in the crypto asset borrowed, recorded in other operating expense (Form S-1/A (No. 2), page F-16)</t>
  </si>
  <si>
    <t>Terminal</t>
  </si>
  <si>
    <t>Less: Tax</t>
  </si>
  <si>
    <t>Add: Depreciation and amortisation</t>
  </si>
  <si>
    <t>Less: Capex</t>
  </si>
  <si>
    <t>Less: Increase in working capital</t>
  </si>
  <si>
    <t>Working capital</t>
  </si>
  <si>
    <t>Current liabilities</t>
  </si>
  <si>
    <t>Form S-1/A (No. 2), page F-25</t>
  </si>
  <si>
    <t>Form S-1/A (No. 2), page F-5</t>
  </si>
  <si>
    <t>Interest income on cash and cash equivalents (Form S-1/A (No. 2), page F-25 and page 104)</t>
  </si>
  <si>
    <t>Sale of crypto assets where Coinbase is the principal in the transaction (Form S-1/A (No. 2), page F-25 and page 104)</t>
  </si>
  <si>
    <t>US corporate tax rate</t>
  </si>
  <si>
    <t>Form S-1/A (No. 2), page F-45</t>
  </si>
  <si>
    <t>Growth rate of opex over explicit forecast period</t>
  </si>
  <si>
    <t>Assumption</t>
  </si>
  <si>
    <t>FCFF</t>
  </si>
  <si>
    <t>Terminal growth rate</t>
  </si>
  <si>
    <t>Discount factor</t>
  </si>
  <si>
    <t>Present value of cash flows</t>
  </si>
  <si>
    <t>Valuation date</t>
  </si>
  <si>
    <t>Equity value of Coinbase (USD million)</t>
  </si>
  <si>
    <t>Fully diluted outstanding shares (millions)</t>
  </si>
  <si>
    <t>Discount rate (explicit forecast period)</t>
  </si>
  <si>
    <t>Tables</t>
  </si>
  <si>
    <t>Total</t>
  </si>
  <si>
    <t>Table: Distribution of Coinbase's revenues</t>
  </si>
  <si>
    <t>Chart: Correlation of average revenue per transacting user to Bitcoin price</t>
  </si>
  <si>
    <t>Table: Trading activity and revenues attributable to retail and institutional investors</t>
  </si>
  <si>
    <t>Trading volume (USD billion)</t>
  </si>
  <si>
    <t>Transaction revenues (USD million)</t>
  </si>
  <si>
    <t>Transaction revenues as % trading volume</t>
  </si>
  <si>
    <t>'Other current assets' include a warrant to purchase crypto assets, namely 800,000 units of UNI (Form S-1/A (No. 2), page F-17)</t>
  </si>
  <si>
    <t>USD million</t>
  </si>
  <si>
    <t>2020 (A)</t>
  </si>
  <si>
    <t>Q1 2020 (A)</t>
  </si>
  <si>
    <t>Q2 2020 (A)</t>
  </si>
  <si>
    <t>Q3 2020 (A)</t>
  </si>
  <si>
    <t>Q4 2020 (A)</t>
  </si>
  <si>
    <r>
      <t>Institutional transaction revenues</t>
    </r>
    <r>
      <rPr>
        <vertAlign val="superscript"/>
        <sz val="10"/>
        <color theme="1"/>
        <rFont val="Calibri"/>
        <family val="2"/>
        <scheme val="minor"/>
      </rPr>
      <t>(2)</t>
    </r>
  </si>
  <si>
    <t>Total subscription and services (USD million)</t>
  </si>
  <si>
    <t>Comparison of assets on platform to custodial fee, staking revenue and interest income</t>
  </si>
  <si>
    <r>
      <t>Crypto asset sales revenue</t>
    </r>
    <r>
      <rPr>
        <vertAlign val="superscript"/>
        <sz val="10"/>
        <color theme="1"/>
        <rFont val="Calibri"/>
        <family val="2"/>
        <scheme val="minor"/>
      </rPr>
      <t>(3)</t>
    </r>
  </si>
  <si>
    <r>
      <t>Corporate interest income</t>
    </r>
    <r>
      <rPr>
        <vertAlign val="superscript"/>
        <sz val="10"/>
        <color theme="1"/>
        <rFont val="Calibri"/>
        <family val="2"/>
        <scheme val="minor"/>
      </rPr>
      <t>(4)</t>
    </r>
  </si>
  <si>
    <t>Other subscription and services revenue (non-recurring)</t>
  </si>
  <si>
    <t>Custodial fee, staking, Earn and interest income</t>
  </si>
  <si>
    <t>Inflation rate</t>
  </si>
  <si>
    <t>Average revenue per transacting user</t>
  </si>
  <si>
    <t>Prime</t>
  </si>
  <si>
    <t>Acquisitions</t>
  </si>
  <si>
    <t>Company</t>
  </si>
  <si>
    <t>Tagomi</t>
  </si>
  <si>
    <t>Acqusition date</t>
  </si>
  <si>
    <t>Business description</t>
  </si>
  <si>
    <t>Institutional brokerage for crypto assets, offering an advanced trading platform with suite of prime services</t>
  </si>
  <si>
    <t>Bison Trails</t>
  </si>
  <si>
    <t>Infrastructure services to allow customers to stake crypto assets on multiple blockchains through its infrastructure</t>
  </si>
  <si>
    <t>Xapo</t>
  </si>
  <si>
    <t>Customer relationships of Xapo's institutional custody business, which includes high net worth individuals and institutions</t>
  </si>
  <si>
    <t>Neutrino</t>
  </si>
  <si>
    <t>Solutions for analysing crypto asset flows across multiple blockchains</t>
  </si>
  <si>
    <t>Consideration ($mn)</t>
  </si>
  <si>
    <t>Form S-1/A (No. 2), page F-23</t>
  </si>
  <si>
    <t>Form S-1/A (No. 2), page F-24</t>
  </si>
  <si>
    <t>Form S-1/A (No. 2), page F-22</t>
  </si>
  <si>
    <t>https://fortune.com/2021/01/19/coinbase-acquires-bison-trails-crypto-builder-deal/</t>
  </si>
  <si>
    <t>Fee compression factor</t>
  </si>
  <si>
    <t>Regression of assets on platform against subscription and services revenue</t>
  </si>
  <si>
    <t>Relevant to</t>
  </si>
  <si>
    <t>Custody</t>
  </si>
  <si>
    <t>Analytics</t>
  </si>
  <si>
    <t>Price per share (USD)</t>
  </si>
  <si>
    <t>Discount rate</t>
  </si>
  <si>
    <t>Beta</t>
  </si>
  <si>
    <t>Source: Capital IQ</t>
  </si>
  <si>
    <t>Dates</t>
  </si>
  <si>
    <r>
      <rPr>
        <sz val="11"/>
        <color theme="1"/>
        <rFont val="Calibri"/>
        <family val="2"/>
        <scheme val="minor"/>
      </rPr>
      <t>SPDR S&amp;P 500 ETF Trust (ARCA:SPY) - Share Pricing</t>
    </r>
  </si>
  <si>
    <t>Month</t>
  </si>
  <si>
    <t>S&amp;P</t>
  </si>
  <si>
    <t>S&amp;P 500</t>
  </si>
  <si>
    <t>% return</t>
  </si>
  <si>
    <t>Risk free rate</t>
  </si>
  <si>
    <t>Equity risk premium</t>
  </si>
  <si>
    <t>Cost of equity</t>
  </si>
  <si>
    <t>Custody, Staking</t>
  </si>
  <si>
    <t>Prime, Analytics and Commerce</t>
  </si>
  <si>
    <t>?</t>
  </si>
  <si>
    <r>
      <t>Current assets (less surplus cash)</t>
    </r>
    <r>
      <rPr>
        <vertAlign val="superscript"/>
        <sz val="10"/>
        <color theme="1"/>
        <rFont val="Calibri"/>
        <family val="2"/>
        <scheme val="minor"/>
      </rPr>
      <t>(1)</t>
    </r>
  </si>
  <si>
    <t>Chart: Correlation of subscription and services (excl. one-off, early stage) revenue to assets on platform</t>
  </si>
  <si>
    <t>Subscription and services (excl. one-off, early stage) revenue (USD million)</t>
  </si>
  <si>
    <t>% one-off, early stage revenue</t>
  </si>
  <si>
    <t xml:space="preserve">Fitted subscription and services revenue (excl. one-off, early stage) </t>
  </si>
  <si>
    <t xml:space="preserve">Actual subscription and services revenue (excl. one-off, early stage) </t>
  </si>
  <si>
    <t xml:space="preserve">Chart: Comparison of fitted to actual subscription and services revenue (excl. one-off, early stage) </t>
  </si>
  <si>
    <t>Fitted BTC price</t>
  </si>
  <si>
    <t>Capital IQ</t>
  </si>
  <si>
    <t>Average revenue per transacting user (USD)</t>
  </si>
  <si>
    <t>(3) Assume revenues and costs from the sale of Coinbase's own crypto assets remain at historical levels, growing by inflation.</t>
  </si>
  <si>
    <t>(4) Assume interest income remains at the same level (i.e. cash and cash equivalents balance does not increase), growing only by inflation.</t>
  </si>
  <si>
    <t>Transaction volumes</t>
  </si>
  <si>
    <t>Retail trading volume</t>
  </si>
  <si>
    <t>Institutional trading volume</t>
  </si>
  <si>
    <t>Bitcoin historical market data (monthly)</t>
  </si>
  <si>
    <t>Date / month (for indexing)</t>
  </si>
  <si>
    <t>Chart: Correlation of MTUs to Bitcoin price</t>
  </si>
  <si>
    <t>Chart: Correlation of retail and institutiona; trading volumes to Bitcoin prices</t>
  </si>
  <si>
    <t>Regression of MTUs against BTC price</t>
  </si>
  <si>
    <t>Variable operating costs</t>
  </si>
  <si>
    <t>Other operating costs</t>
  </si>
  <si>
    <t>Transaction expenses</t>
  </si>
  <si>
    <t>Cost of crypto asset sales</t>
  </si>
  <si>
    <t>Other income and expenses</t>
  </si>
  <si>
    <t>Taxes</t>
  </si>
  <si>
    <t>Total costs</t>
  </si>
  <si>
    <t>Table: Costs incurred by Coinbase (USD million)</t>
  </si>
  <si>
    <t>Coinbase</t>
  </si>
  <si>
    <t>Copyright © 2021 Open Source Finance.</t>
  </si>
  <si>
    <t>Cash flow statement</t>
  </si>
  <si>
    <t>Income statement (quarterly)</t>
  </si>
  <si>
    <t>Income statement (annual)</t>
  </si>
  <si>
    <t>Monthly Transacting Users (million)</t>
  </si>
  <si>
    <t>Profit before tax</t>
  </si>
  <si>
    <r>
      <t>Other income / (expenses)</t>
    </r>
    <r>
      <rPr>
        <vertAlign val="superscript"/>
        <sz val="10"/>
        <color theme="1"/>
        <rFont val="Calibri"/>
        <family val="2"/>
        <scheme val="minor"/>
      </rPr>
      <t>(2)</t>
    </r>
  </si>
  <si>
    <t>(1) Coinbase Q1 2021 Form 8-K Current Report. Balances recorded under 'impairment' for Q1 2021 represent sum of impairment, unrealised FX gains ,fair value adjustments on derivatives and legal reserve costs.</t>
  </si>
  <si>
    <t>(2) Other income / expenses include: (i) gain and losses on investments as a result of fair value adjustments; and (2) gains and losses on the settlement of foreign currency assets and liabilities.</t>
  </si>
  <si>
    <t>Verified users (million)</t>
  </si>
  <si>
    <t>Trading volume (USD billion), of which:</t>
  </si>
  <si>
    <t>Share of Crypto Market Capitalisation held on Coinbase's platform</t>
  </si>
  <si>
    <t>Share held on Coinbase</t>
  </si>
  <si>
    <t>Note: I assume that the duration to the fourth and fifth halving will be 1402 days, as with the third halving.</t>
  </si>
  <si>
    <r>
      <t>Average time to mine a block in minutes</t>
    </r>
    <r>
      <rPr>
        <vertAlign val="superscript"/>
        <sz val="10"/>
        <color theme="1"/>
        <rFont val="Calibri"/>
        <family val="2"/>
        <scheme val="minor"/>
      </rPr>
      <t>(1)</t>
    </r>
  </si>
  <si>
    <t>Note: (1) Over the forecast period, assumed equal to historical average duration from January 2010 to April 2020.</t>
  </si>
  <si>
    <t>New Bitcoin mined</t>
  </si>
  <si>
    <t>Revenue per MTU (USD)</t>
  </si>
  <si>
    <t>R&amp;D and G&amp;A expenses</t>
  </si>
  <si>
    <t>Notes: (1) I assume that half of the cash balance held by Coinbase as at end-2020 was surplus.</t>
  </si>
  <si>
    <t>Free cash flows</t>
  </si>
  <si>
    <t>Table: Summary of DCF</t>
  </si>
  <si>
    <t>Operating profit (EBIT)</t>
  </si>
  <si>
    <t>Subscription and services revenue (excl. certain subscription revenues)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</si>
</sst>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-F800]dddd\,\ mmmm\ dd\,\ yyyy"/>
    <numFmt numFmtId="165" formatCode="0.0"/>
    <numFmt numFmtId="166" formatCode="#,##0.0;\(#,##0.0\);\-"/>
    <numFmt numFmtId="167" formatCode="#,##0.0"/>
    <numFmt numFmtId="168" formatCode="dd\ mmm\ yyyy"/>
    <numFmt numFmtId="169" formatCode="#,##0;\(#,##0\);\-"/>
    <numFmt numFmtId="170" formatCode="0.0000"/>
    <numFmt numFmtId="171" formatCode="mmm\ yyyy"/>
    <numFmt numFmtId="172" formatCode="0.000"/>
    <numFmt numFmtId="173" formatCode="0%;\(0%\);\-"/>
    <numFmt numFmtId="174" formatCode="0.0%"/>
    <numFmt numFmtId="175" formatCode="[$-409]mmm\-dd\-yyyy;@"/>
    <numFmt numFmtId="176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1440AA"/>
      <name val="Calibri"/>
      <family val="2"/>
      <scheme val="minor"/>
    </font>
    <font>
      <b/>
      <sz val="10"/>
      <color rgb="FF1440AA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1440AA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8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10"/>
      <name val="Arial"/>
      <family val="2"/>
    </font>
    <font>
      <i/>
      <sz val="10"/>
      <color rgb="FF1440A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440A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hair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7" fillId="4" borderId="0" applyAlignment="0"/>
    <xf numFmtId="0" fontId="16" fillId="0" borderId="0" applyAlignment="0"/>
    <xf numFmtId="0" fontId="18" fillId="0" borderId="0">
      <alignment vertical="center"/>
    </xf>
  </cellStyleXfs>
  <cellXfs count="2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4" fillId="0" borderId="1" xfId="0" applyFont="1" applyBorder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1" xfId="0" applyFont="1" applyBorder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4" fillId="0" borderId="0" xfId="0" applyFont="1" applyBorder="1" applyAlignment="1">
      <alignment horizontal="left" indent="2"/>
    </xf>
    <xf numFmtId="0" fontId="8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0" fontId="10" fillId="0" borderId="0" xfId="0" applyFont="1" applyAlignment="1">
      <alignment horizontal="left" indent="1"/>
    </xf>
    <xf numFmtId="0" fontId="10" fillId="0" borderId="0" xfId="0" applyFont="1"/>
    <xf numFmtId="166" fontId="4" fillId="0" borderId="0" xfId="0" applyNumberFormat="1" applyFont="1"/>
    <xf numFmtId="0" fontId="5" fillId="0" borderId="0" xfId="0" applyFont="1" applyBorder="1"/>
    <xf numFmtId="0" fontId="5" fillId="0" borderId="3" xfId="0" applyFont="1" applyBorder="1"/>
    <xf numFmtId="0" fontId="8" fillId="0" borderId="0" xfId="0" applyFont="1"/>
    <xf numFmtId="0" fontId="8" fillId="0" borderId="0" xfId="0" quotePrefix="1" applyFont="1" applyAlignment="1">
      <alignment horizontal="left" indent="1"/>
    </xf>
    <xf numFmtId="0" fontId="5" fillId="0" borderId="1" xfId="0" applyFont="1" applyBorder="1"/>
    <xf numFmtId="0" fontId="4" fillId="0" borderId="4" xfId="0" applyFont="1" applyBorder="1"/>
    <xf numFmtId="0" fontId="4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13" fillId="0" borderId="2" xfId="0" applyFont="1" applyBorder="1"/>
    <xf numFmtId="0" fontId="14" fillId="0" borderId="0" xfId="0" applyFont="1" applyBorder="1"/>
    <xf numFmtId="0" fontId="14" fillId="0" borderId="0" xfId="0" applyFont="1" applyAlignment="1">
      <alignment horizontal="right"/>
    </xf>
    <xf numFmtId="0" fontId="14" fillId="0" borderId="5" xfId="0" applyFont="1" applyBorder="1"/>
    <xf numFmtId="0" fontId="14" fillId="0" borderId="0" xfId="0" applyFont="1"/>
    <xf numFmtId="0" fontId="14" fillId="0" borderId="0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indent="1"/>
    </xf>
    <xf numFmtId="0" fontId="4" fillId="0" borderId="0" xfId="0" applyFont="1" applyFill="1"/>
    <xf numFmtId="0" fontId="10" fillId="0" borderId="0" xfId="0" applyFont="1" applyAlignment="1"/>
    <xf numFmtId="0" fontId="9" fillId="0" borderId="0" xfId="0" applyFont="1"/>
    <xf numFmtId="0" fontId="5" fillId="0" borderId="6" xfId="0" applyFont="1" applyBorder="1"/>
    <xf numFmtId="0" fontId="5" fillId="0" borderId="4" xfId="0" applyFont="1" applyBorder="1"/>
    <xf numFmtId="168" fontId="5" fillId="0" borderId="6" xfId="0" applyNumberFormat="1" applyFont="1" applyBorder="1" applyAlignment="1">
      <alignment horizontal="centerContinuous"/>
    </xf>
    <xf numFmtId="168" fontId="4" fillId="0" borderId="4" xfId="0" applyNumberFormat="1" applyFont="1" applyBorder="1" applyAlignment="1">
      <alignment horizontal="center"/>
    </xf>
    <xf numFmtId="168" fontId="5" fillId="0" borderId="2" xfId="0" applyNumberFormat="1" applyFont="1" applyBorder="1" applyAlignment="1">
      <alignment horizontal="center"/>
    </xf>
    <xf numFmtId="166" fontId="4" fillId="3" borderId="0" xfId="0" applyNumberFormat="1" applyFont="1" applyFill="1" applyBorder="1" applyAlignment="1">
      <alignment horizontal="center"/>
    </xf>
    <xf numFmtId="166" fontId="4" fillId="3" borderId="5" xfId="0" applyNumberFormat="1" applyFont="1" applyFill="1" applyBorder="1" applyAlignment="1">
      <alignment horizontal="center"/>
    </xf>
    <xf numFmtId="9" fontId="4" fillId="3" borderId="0" xfId="1" applyNumberFormat="1" applyFont="1" applyFill="1" applyBorder="1" applyAlignment="1">
      <alignment horizontal="center"/>
    </xf>
    <xf numFmtId="9" fontId="4" fillId="3" borderId="5" xfId="1" applyFont="1" applyFill="1" applyBorder="1" applyAlignment="1">
      <alignment horizontal="center"/>
    </xf>
    <xf numFmtId="168" fontId="5" fillId="0" borderId="4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4" fillId="0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166" fontId="5" fillId="3" borderId="3" xfId="0" applyNumberFormat="1" applyFont="1" applyFill="1" applyBorder="1" applyAlignment="1">
      <alignment horizontal="center"/>
    </xf>
    <xf numFmtId="166" fontId="5" fillId="0" borderId="3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5" fontId="4" fillId="3" borderId="0" xfId="0" applyNumberFormat="1" applyFont="1" applyFill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9" fontId="4" fillId="3" borderId="0" xfId="0" applyNumberFormat="1" applyFont="1" applyFill="1" applyAlignment="1">
      <alignment horizontal="center"/>
    </xf>
    <xf numFmtId="169" fontId="4" fillId="3" borderId="0" xfId="0" applyNumberFormat="1" applyFont="1" applyFill="1" applyBorder="1" applyAlignment="1">
      <alignment horizontal="center"/>
    </xf>
    <xf numFmtId="169" fontId="4" fillId="0" borderId="0" xfId="0" applyNumberFormat="1" applyFont="1" applyFill="1" applyBorder="1" applyAlignment="1">
      <alignment horizontal="center"/>
    </xf>
    <xf numFmtId="169" fontId="4" fillId="3" borderId="5" xfId="0" applyNumberFormat="1" applyFont="1" applyFill="1" applyBorder="1" applyAlignment="1">
      <alignment horizontal="center"/>
    </xf>
    <xf numFmtId="169" fontId="4" fillId="0" borderId="5" xfId="0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9" fontId="14" fillId="3" borderId="0" xfId="0" applyNumberFormat="1" applyFont="1" applyFill="1" applyBorder="1" applyAlignment="1">
      <alignment horizontal="center"/>
    </xf>
    <xf numFmtId="9" fontId="14" fillId="3" borderId="5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5" fillId="0" borderId="2" xfId="0" applyFont="1" applyBorder="1" applyAlignment="1">
      <alignment horizontal="left"/>
    </xf>
    <xf numFmtId="3" fontId="4" fillId="3" borderId="0" xfId="0" applyNumberFormat="1" applyFont="1" applyFill="1" applyAlignment="1">
      <alignment horizontal="center"/>
    </xf>
    <xf numFmtId="3" fontId="4" fillId="3" borderId="0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5" xfId="0" applyNumberFormat="1" applyFont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6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71" fontId="4" fillId="0" borderId="0" xfId="0" applyNumberFormat="1" applyFont="1" applyBorder="1" applyAlignment="1">
      <alignment horizontal="left"/>
    </xf>
    <xf numFmtId="171" fontId="4" fillId="0" borderId="0" xfId="0" applyNumberFormat="1" applyFont="1" applyAlignment="1">
      <alignment horizontal="left"/>
    </xf>
    <xf numFmtId="171" fontId="4" fillId="0" borderId="5" xfId="0" applyNumberFormat="1" applyFont="1" applyBorder="1" applyAlignment="1">
      <alignment horizontal="left"/>
    </xf>
    <xf numFmtId="166" fontId="4" fillId="0" borderId="0" xfId="0" applyNumberFormat="1" applyFont="1" applyAlignment="1">
      <alignment horizontal="right"/>
    </xf>
    <xf numFmtId="0" fontId="4" fillId="0" borderId="6" xfId="0" applyFont="1" applyBorder="1"/>
    <xf numFmtId="170" fontId="4" fillId="0" borderId="6" xfId="0" applyNumberFormat="1" applyFont="1" applyBorder="1" applyAlignment="1">
      <alignment horizontal="right"/>
    </xf>
    <xf numFmtId="170" fontId="4" fillId="0" borderId="0" xfId="0" applyNumberFormat="1" applyFont="1" applyBorder="1" applyAlignment="1">
      <alignment horizontal="right"/>
    </xf>
    <xf numFmtId="170" fontId="4" fillId="0" borderId="5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/>
    <xf numFmtId="164" fontId="4" fillId="0" borderId="0" xfId="0" applyNumberFormat="1" applyFont="1" applyBorder="1" applyAlignment="1">
      <alignment wrapText="1"/>
    </xf>
    <xf numFmtId="0" fontId="4" fillId="0" borderId="0" xfId="0" applyFont="1" applyBorder="1" applyAlignment="1"/>
    <xf numFmtId="164" fontId="5" fillId="0" borderId="1" xfId="0" applyNumberFormat="1" applyFont="1" applyBorder="1" applyAlignment="1">
      <alignment wrapText="1"/>
    </xf>
    <xf numFmtId="167" fontId="5" fillId="0" borderId="1" xfId="0" applyNumberFormat="1" applyFont="1" applyFill="1" applyBorder="1" applyAlignment="1">
      <alignment horizontal="center"/>
    </xf>
    <xf numFmtId="164" fontId="5" fillId="0" borderId="5" xfId="0" applyNumberFormat="1" applyFont="1" applyBorder="1" applyAlignment="1">
      <alignment wrapText="1"/>
    </xf>
    <xf numFmtId="3" fontId="5" fillId="0" borderId="5" xfId="0" applyNumberFormat="1" applyFont="1" applyFill="1" applyBorder="1" applyAlignment="1">
      <alignment horizontal="center"/>
    </xf>
    <xf numFmtId="0" fontId="5" fillId="0" borderId="2" xfId="0" applyFont="1" applyBorder="1" applyAlignment="1"/>
    <xf numFmtId="171" fontId="5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72" fontId="4" fillId="0" borderId="6" xfId="0" applyNumberFormat="1" applyFont="1" applyBorder="1" applyAlignment="1">
      <alignment horizontal="right"/>
    </xf>
    <xf numFmtId="172" fontId="4" fillId="0" borderId="0" xfId="0" applyNumberFormat="1" applyFont="1" applyBorder="1" applyAlignment="1">
      <alignment horizontal="right"/>
    </xf>
    <xf numFmtId="172" fontId="4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167" fontId="4" fillId="3" borderId="0" xfId="0" applyNumberFormat="1" applyFont="1" applyFill="1" applyAlignment="1">
      <alignment horizontal="center"/>
    </xf>
    <xf numFmtId="167" fontId="4" fillId="3" borderId="0" xfId="0" applyNumberFormat="1" applyFont="1" applyFill="1" applyBorder="1" applyAlignment="1">
      <alignment horizontal="center"/>
    </xf>
    <xf numFmtId="167" fontId="4" fillId="3" borderId="5" xfId="0" applyNumberFormat="1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5" xfId="0" applyFont="1" applyBorder="1"/>
    <xf numFmtId="165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173" fontId="4" fillId="0" borderId="0" xfId="0" applyNumberFormat="1" applyFont="1" applyBorder="1" applyAlignment="1">
      <alignment horizontal="center"/>
    </xf>
    <xf numFmtId="0" fontId="8" fillId="0" borderId="0" xfId="0" quotePrefix="1" applyFont="1" applyAlignment="1">
      <alignment horizontal="left"/>
    </xf>
    <xf numFmtId="9" fontId="4" fillId="0" borderId="0" xfId="1" applyFont="1" applyAlignment="1">
      <alignment horizontal="center"/>
    </xf>
    <xf numFmtId="9" fontId="4" fillId="0" borderId="0" xfId="0" applyNumberFormat="1" applyFont="1" applyAlignment="1">
      <alignment horizontal="center"/>
    </xf>
    <xf numFmtId="1" fontId="5" fillId="0" borderId="3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73" fontId="4" fillId="0" borderId="5" xfId="1" applyNumberFormat="1" applyFont="1" applyBorder="1" applyAlignment="1">
      <alignment horizontal="center"/>
    </xf>
    <xf numFmtId="173" fontId="5" fillId="0" borderId="5" xfId="1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167" fontId="4" fillId="0" borderId="15" xfId="0" applyNumberFormat="1" applyFont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3" fontId="4" fillId="0" borderId="16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8" fontId="5" fillId="0" borderId="6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" fontId="4" fillId="0" borderId="0" xfId="0" applyNumberFormat="1" applyFont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3" fontId="4" fillId="0" borderId="20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3" fontId="4" fillId="0" borderId="21" xfId="0" applyNumberFormat="1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4" fillId="0" borderId="4" xfId="0" applyFont="1" applyBorder="1" applyAlignment="1">
      <alignment horizontal="left" indent="1"/>
    </xf>
    <xf numFmtId="166" fontId="4" fillId="3" borderId="4" xfId="0" applyNumberFormat="1" applyFont="1" applyFill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69" fontId="5" fillId="0" borderId="22" xfId="0" applyNumberFormat="1" applyFont="1" applyBorder="1" applyAlignment="1">
      <alignment horizontal="center"/>
    </xf>
    <xf numFmtId="169" fontId="4" fillId="0" borderId="0" xfId="0" applyNumberFormat="1" applyFont="1" applyAlignment="1">
      <alignment horizontal="center"/>
    </xf>
    <xf numFmtId="169" fontId="4" fillId="3" borderId="4" xfId="0" applyNumberFormat="1" applyFont="1" applyFill="1" applyBorder="1" applyAlignment="1">
      <alignment horizontal="center"/>
    </xf>
    <xf numFmtId="169" fontId="5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left" indent="3"/>
    </xf>
    <xf numFmtId="169" fontId="5" fillId="0" borderId="1" xfId="0" applyNumberFormat="1" applyFont="1" applyBorder="1" applyAlignment="1">
      <alignment horizontal="center"/>
    </xf>
    <xf numFmtId="0" fontId="9" fillId="0" borderId="0" xfId="0" quotePrefix="1" applyFont="1" applyAlignment="1">
      <alignment horizontal="left" indent="2"/>
    </xf>
    <xf numFmtId="3" fontId="5" fillId="0" borderId="23" xfId="0" applyNumberFormat="1" applyFont="1" applyBorder="1" applyAlignment="1">
      <alignment horizontal="center"/>
    </xf>
    <xf numFmtId="169" fontId="4" fillId="0" borderId="20" xfId="0" applyNumberFormat="1" applyFont="1" applyBorder="1" applyAlignment="1">
      <alignment horizontal="center"/>
    </xf>
    <xf numFmtId="169" fontId="4" fillId="0" borderId="19" xfId="0" applyNumberFormat="1" applyFont="1" applyBorder="1" applyAlignment="1">
      <alignment horizontal="center"/>
    </xf>
    <xf numFmtId="169" fontId="4" fillId="0" borderId="21" xfId="0" applyNumberFormat="1" applyFont="1" applyBorder="1" applyAlignment="1">
      <alignment horizontal="center"/>
    </xf>
    <xf numFmtId="169" fontId="5" fillId="0" borderId="20" xfId="0" applyNumberFormat="1" applyFont="1" applyBorder="1" applyAlignment="1">
      <alignment horizontal="center"/>
    </xf>
    <xf numFmtId="0" fontId="5" fillId="0" borderId="20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5" fillId="0" borderId="24" xfId="0" applyFont="1" applyBorder="1" applyAlignment="1">
      <alignment horizontal="right"/>
    </xf>
    <xf numFmtId="2" fontId="4" fillId="0" borderId="0" xfId="0" applyNumberFormat="1" applyFont="1" applyAlignment="1">
      <alignment horizontal="center"/>
    </xf>
    <xf numFmtId="0" fontId="4" fillId="0" borderId="7" xfId="0" applyFont="1" applyBorder="1"/>
    <xf numFmtId="0" fontId="4" fillId="0" borderId="9" xfId="0" applyFont="1" applyBorder="1"/>
    <xf numFmtId="0" fontId="4" fillId="0" borderId="11" xfId="0" applyFont="1" applyBorder="1"/>
    <xf numFmtId="0" fontId="5" fillId="0" borderId="11" xfId="0" applyFont="1" applyBorder="1"/>
    <xf numFmtId="0" fontId="5" fillId="0" borderId="2" xfId="0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9" fontId="10" fillId="0" borderId="0" xfId="1" applyNumberFormat="1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4" fillId="0" borderId="22" xfId="0" applyFont="1" applyBorder="1"/>
    <xf numFmtId="3" fontId="4" fillId="0" borderId="22" xfId="0" applyNumberFormat="1" applyFont="1" applyBorder="1" applyAlignment="1">
      <alignment horizontal="center"/>
    </xf>
    <xf numFmtId="10" fontId="4" fillId="0" borderId="4" xfId="1" applyNumberFormat="1" applyFont="1" applyBorder="1" applyAlignment="1">
      <alignment horizontal="center"/>
    </xf>
    <xf numFmtId="10" fontId="4" fillId="0" borderId="5" xfId="1" applyNumberFormat="1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65" fontId="4" fillId="3" borderId="10" xfId="0" applyNumberFormat="1" applyFont="1" applyFill="1" applyBorder="1" applyAlignment="1">
      <alignment horizontal="center"/>
    </xf>
    <xf numFmtId="14" fontId="4" fillId="3" borderId="8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9" fontId="4" fillId="3" borderId="10" xfId="0" applyNumberFormat="1" applyFont="1" applyFill="1" applyBorder="1" applyAlignment="1">
      <alignment horizontal="center"/>
    </xf>
    <xf numFmtId="168" fontId="4" fillId="0" borderId="0" xfId="0" applyNumberFormat="1" applyFont="1" applyBorder="1" applyAlignment="1">
      <alignment horizontal="right"/>
    </xf>
    <xf numFmtId="168" fontId="4" fillId="0" borderId="5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9" fontId="4" fillId="0" borderId="10" xfId="0" applyNumberFormat="1" applyFont="1" applyFill="1" applyBorder="1" applyAlignment="1">
      <alignment horizontal="center"/>
    </xf>
    <xf numFmtId="3" fontId="5" fillId="0" borderId="3" xfId="0" applyNumberFormat="1" applyFont="1" applyBorder="1" applyAlignment="1">
      <alignment horizontal="left"/>
    </xf>
    <xf numFmtId="0" fontId="4" fillId="0" borderId="25" xfId="0" applyFont="1" applyBorder="1" applyAlignment="1">
      <alignment vertical="center"/>
    </xf>
    <xf numFmtId="164" fontId="4" fillId="0" borderId="25" xfId="0" applyNumberFormat="1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4" fillId="0" borderId="26" xfId="0" applyFont="1" applyBorder="1" applyAlignment="1">
      <alignment vertical="center"/>
    </xf>
    <xf numFmtId="164" fontId="4" fillId="0" borderId="26" xfId="0" applyNumberFormat="1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 wrapText="1"/>
    </xf>
    <xf numFmtId="0" fontId="4" fillId="0" borderId="28" xfId="0" applyFont="1" applyBorder="1" applyAlignment="1">
      <alignment vertical="center"/>
    </xf>
    <xf numFmtId="164" fontId="4" fillId="0" borderId="28" xfId="0" applyNumberFormat="1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27" xfId="0" applyFont="1" applyBorder="1" applyAlignment="1">
      <alignment vertical="center"/>
    </xf>
    <xf numFmtId="164" fontId="4" fillId="0" borderId="27" xfId="0" applyNumberFormat="1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 wrapText="1"/>
    </xf>
    <xf numFmtId="2" fontId="4" fillId="3" borderId="25" xfId="0" applyNumberFormat="1" applyFont="1" applyFill="1" applyBorder="1" applyAlignment="1">
      <alignment horizontal="center" vertical="center"/>
    </xf>
    <xf numFmtId="2" fontId="4" fillId="3" borderId="26" xfId="0" applyNumberFormat="1" applyFont="1" applyFill="1" applyBorder="1" applyAlignment="1">
      <alignment horizontal="center" vertical="center"/>
    </xf>
    <xf numFmtId="2" fontId="4" fillId="3" borderId="2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9" fontId="4" fillId="0" borderId="15" xfId="1" applyFont="1" applyBorder="1" applyAlignment="1">
      <alignment horizontal="center"/>
    </xf>
    <xf numFmtId="3" fontId="4" fillId="0" borderId="0" xfId="0" applyNumberFormat="1" applyFont="1" applyAlignment="1">
      <alignment horizontal="right"/>
    </xf>
    <xf numFmtId="0" fontId="14" fillId="0" borderId="0" xfId="4" applyFont="1">
      <alignment vertical="center"/>
    </xf>
    <xf numFmtId="175" fontId="14" fillId="0" borderId="0" xfId="4" applyNumberFormat="1" applyFont="1">
      <alignment vertical="center"/>
    </xf>
    <xf numFmtId="2" fontId="14" fillId="0" borderId="0" xfId="4" applyNumberFormat="1" applyFont="1">
      <alignment vertical="center"/>
    </xf>
    <xf numFmtId="0" fontId="14" fillId="0" borderId="0" xfId="4" applyFont="1" applyBorder="1">
      <alignment vertical="center"/>
    </xf>
    <xf numFmtId="0" fontId="14" fillId="5" borderId="0" xfId="4" applyFont="1" applyFill="1" applyBorder="1">
      <alignment vertical="center"/>
    </xf>
    <xf numFmtId="0" fontId="14" fillId="5" borderId="0" xfId="4" applyFont="1" applyFill="1">
      <alignment vertical="center"/>
    </xf>
    <xf numFmtId="171" fontId="4" fillId="5" borderId="0" xfId="0" applyNumberFormat="1" applyFont="1" applyFill="1" applyBorder="1" applyAlignment="1">
      <alignment horizontal="center"/>
    </xf>
    <xf numFmtId="9" fontId="4" fillId="0" borderId="5" xfId="1" applyFont="1" applyBorder="1" applyAlignment="1">
      <alignment horizontal="center"/>
    </xf>
    <xf numFmtId="9" fontId="4" fillId="0" borderId="0" xfId="1" applyFont="1" applyBorder="1" applyAlignment="1">
      <alignment horizontal="center"/>
    </xf>
    <xf numFmtId="0" fontId="5" fillId="0" borderId="29" xfId="0" applyFont="1" applyBorder="1"/>
    <xf numFmtId="4" fontId="5" fillId="0" borderId="0" xfId="0" applyNumberFormat="1" applyFont="1" applyBorder="1" applyAlignment="1">
      <alignment horizontal="center"/>
    </xf>
    <xf numFmtId="174" fontId="4" fillId="3" borderId="8" xfId="0" applyNumberFormat="1" applyFont="1" applyFill="1" applyBorder="1" applyAlignment="1">
      <alignment horizontal="center"/>
    </xf>
    <xf numFmtId="174" fontId="4" fillId="3" borderId="10" xfId="0" applyNumberFormat="1" applyFont="1" applyFill="1" applyBorder="1" applyAlignment="1">
      <alignment horizontal="center"/>
    </xf>
    <xf numFmtId="174" fontId="5" fillId="0" borderId="12" xfId="0" applyNumberFormat="1" applyFont="1" applyBorder="1" applyAlignment="1">
      <alignment horizontal="center"/>
    </xf>
    <xf numFmtId="165" fontId="4" fillId="0" borderId="10" xfId="1" applyNumberFormat="1" applyFont="1" applyBorder="1" applyAlignment="1">
      <alignment horizontal="center"/>
    </xf>
    <xf numFmtId="9" fontId="4" fillId="0" borderId="0" xfId="1" applyFont="1" applyAlignment="1">
      <alignment horizontal="right"/>
    </xf>
    <xf numFmtId="174" fontId="4" fillId="0" borderId="0" xfId="1" applyNumberFormat="1" applyFont="1" applyAlignment="1">
      <alignment horizontal="right"/>
    </xf>
    <xf numFmtId="9" fontId="4" fillId="0" borderId="12" xfId="0" applyNumberFormat="1" applyFont="1" applyFill="1" applyBorder="1" applyAlignment="1">
      <alignment horizontal="center"/>
    </xf>
    <xf numFmtId="169" fontId="4" fillId="0" borderId="0" xfId="0" applyNumberFormat="1" applyFont="1"/>
    <xf numFmtId="4" fontId="4" fillId="0" borderId="30" xfId="0" applyNumberFormat="1" applyFont="1" applyBorder="1" applyAlignment="1">
      <alignment horizontal="center"/>
    </xf>
    <xf numFmtId="0" fontId="4" fillId="0" borderId="29" xfId="0" applyFont="1" applyBorder="1"/>
    <xf numFmtId="9" fontId="4" fillId="0" borderId="0" xfId="1" applyFont="1"/>
    <xf numFmtId="176" fontId="4" fillId="0" borderId="0" xfId="0" applyNumberFormat="1" applyFont="1"/>
    <xf numFmtId="1" fontId="4" fillId="0" borderId="30" xfId="0" applyNumberFormat="1" applyFont="1" applyBorder="1" applyAlignment="1">
      <alignment horizontal="right"/>
    </xf>
    <xf numFmtId="165" fontId="4" fillId="0" borderId="0" xfId="0" applyNumberFormat="1" applyFont="1" applyFill="1" applyAlignment="1">
      <alignment horizontal="center"/>
    </xf>
    <xf numFmtId="9" fontId="5" fillId="0" borderId="3" xfId="1" applyFont="1" applyBorder="1" applyAlignment="1">
      <alignment horizontal="center"/>
    </xf>
    <xf numFmtId="0" fontId="19" fillId="0" borderId="0" xfId="0" applyFont="1"/>
    <xf numFmtId="0" fontId="13" fillId="0" borderId="0" xfId="0" applyFont="1"/>
    <xf numFmtId="0" fontId="14" fillId="0" borderId="3" xfId="0" applyFont="1" applyBorder="1" applyAlignment="1">
      <alignment horizontal="left"/>
    </xf>
    <xf numFmtId="174" fontId="14" fillId="3" borderId="3" xfId="0" applyNumberFormat="1" applyFont="1" applyFill="1" applyBorder="1" applyAlignment="1">
      <alignment horizontal="center"/>
    </xf>
    <xf numFmtId="0" fontId="5" fillId="6" borderId="11" xfId="0" applyFont="1" applyFill="1" applyBorder="1"/>
    <xf numFmtId="3" fontId="5" fillId="6" borderId="12" xfId="0" applyNumberFormat="1" applyFont="1" applyFill="1" applyBorder="1" applyAlignment="1">
      <alignment horizontal="center"/>
    </xf>
    <xf numFmtId="0" fontId="5" fillId="6" borderId="7" xfId="0" applyFont="1" applyFill="1" applyBorder="1"/>
    <xf numFmtId="3" fontId="5" fillId="6" borderId="8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169" fontId="4" fillId="0" borderId="0" xfId="1" applyNumberFormat="1" applyFont="1" applyBorder="1" applyAlignment="1">
      <alignment horizontal="center"/>
    </xf>
    <xf numFmtId="169" fontId="4" fillId="0" borderId="4" xfId="1" applyNumberFormat="1" applyFont="1" applyBorder="1" applyAlignment="1">
      <alignment horizontal="center"/>
    </xf>
    <xf numFmtId="169" fontId="5" fillId="0" borderId="3" xfId="1" applyNumberFormat="1" applyFont="1" applyBorder="1" applyAlignment="1">
      <alignment horizontal="center"/>
    </xf>
    <xf numFmtId="169" fontId="5" fillId="0" borderId="0" xfId="1" applyNumberFormat="1" applyFont="1" applyBorder="1" applyAlignment="1">
      <alignment horizontal="center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</cellXfs>
  <cellStyles count="5">
    <cellStyle name="ColumnHeaderNormal" xfId="2" xr:uid="{6D58AD96-48AC-4F60-820C-D99C32B43D3F}"/>
    <cellStyle name="Normal" xfId="0" builtinId="0"/>
    <cellStyle name="Normal 2" xfId="4" xr:uid="{123C7B6A-6DD9-4602-A728-656E931FDAAD}"/>
    <cellStyle name="Percent" xfId="1" builtinId="5"/>
    <cellStyle name="TextNormal" xfId="3" xr:uid="{E40A3EDA-F98E-4ED8-9148-88BBF9AE7243}"/>
  </cellStyles>
  <dxfs count="0"/>
  <tableStyles count="0" defaultTableStyle="TableStyleMedium2" defaultPivotStyle="PivotStyleLight16"/>
  <colors>
    <mruColors>
      <color rgb="FF1440AA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2EF-48BE-A09B-D971CF8FCE67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2EF-48BE-A09B-D971CF8F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070449267574"/>
          <c:y val="4.7016072266345937E-2"/>
          <c:w val="0.70761634344782187"/>
          <c:h val="0.65117736911794766"/>
        </c:manualLayout>
      </c:layout>
      <c:lineChart>
        <c:grouping val="standard"/>
        <c:varyColors val="0"/>
        <c:ser>
          <c:idx val="0"/>
          <c:order val="0"/>
          <c:tx>
            <c:v>RevPTA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767-4FB2-B443-FA49AB052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1"/>
          <c:order val="1"/>
          <c:tx>
            <c:v>Price Index (BTC, ETH)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767-4FB2-B443-FA49AB052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537407"/>
        <c:axId val="184554364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Revenue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per transacting user (USD)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8431356403405612E-3"/>
              <c:y val="5.180674288206075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8455436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37407"/>
        <c:crosses val="max"/>
        <c:crossBetween val="between"/>
      </c:valAx>
      <c:catAx>
        <c:axId val="18455374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554364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F91-4F51-83CF-FF85A87BD9F3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F91-4F51-83CF-FF85A87BD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070449267574"/>
          <c:y val="4.7016072266345937E-2"/>
          <c:w val="0.70761634344782187"/>
          <c:h val="0.65117736911794766"/>
        </c:manualLayout>
      </c:layout>
      <c:lineChart>
        <c:grouping val="standard"/>
        <c:varyColors val="0"/>
        <c:ser>
          <c:idx val="0"/>
          <c:order val="0"/>
          <c:tx>
            <c:v>RevPTA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C1D-42C5-B032-16742C84E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1"/>
          <c:order val="1"/>
          <c:tx>
            <c:v>Price Index (BTC, ETH)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C1D-42C5-B032-16742C84E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537407"/>
        <c:axId val="184554364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Revenue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per transacting user (USD)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8431356403405612E-3"/>
              <c:y val="5.180674288206075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8455436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37407"/>
        <c:crosses val="max"/>
        <c:crossBetween val="between"/>
      </c:valAx>
      <c:catAx>
        <c:axId val="18455374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554364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49254047809366"/>
          <c:y val="4.7016072266345937E-2"/>
          <c:w val="0.74274573769490027"/>
          <c:h val="0.67631194931377792"/>
        </c:manualLayout>
      </c:layout>
      <c:lineChart>
        <c:grouping val="standard"/>
        <c:varyColors val="0"/>
        <c:ser>
          <c:idx val="0"/>
          <c:order val="0"/>
          <c:tx>
            <c:v>MTUs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'Transaction revenues'!$C$8:$O$8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revenues'!$C$10:$O$10</c:f>
              <c:numCache>
                <c:formatCode>#,##0.0;\(#,##0.0\);\-</c:formatCode>
                <c:ptCount val="13"/>
                <c:pt idx="0">
                  <c:v>2.7</c:v>
                </c:pt>
                <c:pt idx="1">
                  <c:v>1.2</c:v>
                </c:pt>
                <c:pt idx="2">
                  <c:v>0.9</c:v>
                </c:pt>
                <c:pt idx="3">
                  <c:v>0.9</c:v>
                </c:pt>
                <c:pt idx="4">
                  <c:v>0.8</c:v>
                </c:pt>
                <c:pt idx="5">
                  <c:v>1.3</c:v>
                </c:pt>
                <c:pt idx="6">
                  <c:v>1.2</c:v>
                </c:pt>
                <c:pt idx="7">
                  <c:v>1</c:v>
                </c:pt>
                <c:pt idx="8">
                  <c:v>1.3</c:v>
                </c:pt>
                <c:pt idx="9">
                  <c:v>1.5</c:v>
                </c:pt>
                <c:pt idx="10">
                  <c:v>2.1</c:v>
                </c:pt>
                <c:pt idx="11">
                  <c:v>2.8</c:v>
                </c:pt>
                <c:pt idx="12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40-497D-B15D-98E94107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2"/>
          <c:order val="1"/>
          <c:tx>
            <c:v>Bitcoin price</c:v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'Transaction revenues'!$C$8:$O$8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revenues'!$C$11:$O$11</c:f>
              <c:numCache>
                <c:formatCode>#,##0</c:formatCode>
                <c:ptCount val="13"/>
                <c:pt idx="0">
                  <c:v>6973.5297849999997</c:v>
                </c:pt>
                <c:pt idx="1">
                  <c:v>6404</c:v>
                </c:pt>
                <c:pt idx="2">
                  <c:v>6625.5600590000004</c:v>
                </c:pt>
                <c:pt idx="3">
                  <c:v>3742.7004390000002</c:v>
                </c:pt>
                <c:pt idx="4">
                  <c:v>4105.404297</c:v>
                </c:pt>
                <c:pt idx="5">
                  <c:v>10817.155273</c:v>
                </c:pt>
                <c:pt idx="6">
                  <c:v>8293.8681639999995</c:v>
                </c:pt>
                <c:pt idx="7">
                  <c:v>7193.5991210000002</c:v>
                </c:pt>
                <c:pt idx="8">
                  <c:v>6438.6445309999999</c:v>
                </c:pt>
                <c:pt idx="9">
                  <c:v>9137.9931639999995</c:v>
                </c:pt>
                <c:pt idx="10">
                  <c:v>10787.618164</c:v>
                </c:pt>
                <c:pt idx="11">
                  <c:v>29001.720702999999</c:v>
                </c:pt>
                <c:pt idx="12">
                  <c:v>58918.832030999998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0-497D-B15D-98E94107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811919"/>
        <c:axId val="1176384303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17638430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Bitcoin 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price (USD)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9600416241650489"/>
              <c:y val="0.220165006797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811919"/>
        <c:crosses val="max"/>
        <c:crossBetween val="between"/>
      </c:valAx>
      <c:catAx>
        <c:axId val="1172811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638430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3667104386371388"/>
          <c:y val="0.92424873139310582"/>
          <c:w val="0.50574267804175221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'Transaction revenues'!$C$40:$O$40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revenues'!$C$42:$O$42</c:f>
              <c:numCache>
                <c:formatCode>#,##0.0;\(#,##0.0\);\-</c:formatCode>
                <c:ptCount val="13"/>
                <c:pt idx="0">
                  <c:v>2.7</c:v>
                </c:pt>
                <c:pt idx="1">
                  <c:v>1.2</c:v>
                </c:pt>
                <c:pt idx="2">
                  <c:v>0.9</c:v>
                </c:pt>
                <c:pt idx="3">
                  <c:v>0.9</c:v>
                </c:pt>
                <c:pt idx="4">
                  <c:v>0.8</c:v>
                </c:pt>
                <c:pt idx="5">
                  <c:v>1.3</c:v>
                </c:pt>
                <c:pt idx="6">
                  <c:v>1.2</c:v>
                </c:pt>
                <c:pt idx="7">
                  <c:v>1</c:v>
                </c:pt>
                <c:pt idx="8">
                  <c:v>1.3</c:v>
                </c:pt>
                <c:pt idx="9">
                  <c:v>1.5</c:v>
                </c:pt>
                <c:pt idx="10">
                  <c:v>2.1</c:v>
                </c:pt>
                <c:pt idx="11">
                  <c:v>2.8</c:v>
                </c:pt>
                <c:pt idx="12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98-4230-9268-CEE7B2D5816F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'Transaction revenues'!$C$40:$O$40</c:f>
              <c:strCache>
                <c:ptCount val="13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</c:strCache>
            </c:strRef>
          </c:cat>
          <c:val>
            <c:numRef>
              <c:f>'Transaction revenues'!$C$41:$O$41</c:f>
              <c:numCache>
                <c:formatCode>0.0</c:formatCode>
                <c:ptCount val="13"/>
                <c:pt idx="0">
                  <c:v>1.2972151154262752</c:v>
                </c:pt>
                <c:pt idx="1">
                  <c:v>1.2464291314065132</c:v>
                </c:pt>
                <c:pt idx="2">
                  <c:v>1.2661860359831394</c:v>
                </c:pt>
                <c:pt idx="3">
                  <c:v>1.0091163155776699</c:v>
                </c:pt>
                <c:pt idx="4">
                  <c:v>1.041459263780623</c:v>
                </c:pt>
                <c:pt idx="5">
                  <c:v>1.6399580373114193</c:v>
                </c:pt>
                <c:pt idx="6">
                  <c:v>1.4149520373268083</c:v>
                </c:pt>
                <c:pt idx="7">
                  <c:v>1.3168390895812627</c:v>
                </c:pt>
                <c:pt idx="8">
                  <c:v>1.2495184458621884</c:v>
                </c:pt>
                <c:pt idx="9">
                  <c:v>1.4902241651237444</c:v>
                </c:pt>
                <c:pt idx="10">
                  <c:v>1.6373241607606714</c:v>
                </c:pt>
                <c:pt idx="11">
                  <c:v>3.2615080837840487</c:v>
                </c:pt>
                <c:pt idx="12">
                  <c:v>5.9292701180756335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8-4230-9268-CEE7B2D58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A70-4438-8CB2-004452FF38C8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A70-4438-8CB2-004452FF3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11604083317626"/>
          <c:y val="5.5394185122928867E-2"/>
          <c:w val="0.71349404958224927"/>
          <c:h val="0.67631194931377792"/>
        </c:manualLayout>
      </c:layout>
      <c:lineChart>
        <c:grouping val="standard"/>
        <c:varyColors val="0"/>
        <c:ser>
          <c:idx val="0"/>
          <c:order val="0"/>
          <c:tx>
            <c:v>ARPTU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'Transaction revenues'!$G$106:$O$106</c:f>
              <c:numCache>
                <c:formatCode>0</c:formatCode>
                <c:ptCount val="9"/>
                <c:pt idx="0">
                  <c:v>66.233320404207291</c:v>
                </c:pt>
                <c:pt idx="1">
                  <c:v>128.51132580392471</c:v>
                </c:pt>
                <c:pt idx="2">
                  <c:v>108.01976006018654</c:v>
                </c:pt>
                <c:pt idx="3">
                  <c:v>83.243908059308211</c:v>
                </c:pt>
                <c:pt idx="4">
                  <c:v>125.55063884860505</c:v>
                </c:pt>
                <c:pt idx="5">
                  <c:v>108.73020678833836</c:v>
                </c:pt>
                <c:pt idx="6">
                  <c:v>124.67955964238212</c:v>
                </c:pt>
                <c:pt idx="7">
                  <c:v>161.46706573760844</c:v>
                </c:pt>
                <c:pt idx="8">
                  <c:v>277.96707194099798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C-462F-89B2-6C599857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2"/>
          <c:order val="1"/>
          <c:tx>
            <c:v>Bitcoin price</c:v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'Transaction revenues'!$G$101:$O$101</c:f>
              <c:numCache>
                <c:formatCode>#,##0</c:formatCode>
                <c:ptCount val="9"/>
                <c:pt idx="0">
                  <c:v>4105.404297</c:v>
                </c:pt>
                <c:pt idx="1">
                  <c:v>10817.155273</c:v>
                </c:pt>
                <c:pt idx="2">
                  <c:v>8293.8681639999995</c:v>
                </c:pt>
                <c:pt idx="3">
                  <c:v>7193.5991210000002</c:v>
                </c:pt>
                <c:pt idx="4">
                  <c:v>6438.6445309999999</c:v>
                </c:pt>
                <c:pt idx="5">
                  <c:v>9137.9931639999995</c:v>
                </c:pt>
                <c:pt idx="6">
                  <c:v>10787.618164</c:v>
                </c:pt>
                <c:pt idx="7">
                  <c:v>29001.720702999999</c:v>
                </c:pt>
                <c:pt idx="8">
                  <c:v>58918.832030999998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C-462F-89B2-6C599857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775279"/>
        <c:axId val="74776660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Average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revenue per transacting user </a:t>
                </a: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(USD)</a:t>
                </a:r>
              </a:p>
            </c:rich>
          </c:tx>
          <c:layout>
            <c:manualLayout>
              <c:xMode val="edge"/>
              <c:yMode val="edge"/>
              <c:x val="2.6144499757298871E-3"/>
              <c:y val="2.248330294306245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between"/>
      </c:valAx>
      <c:valAx>
        <c:axId val="74776660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.95367383929607374"/>
              <c:y val="0.219862504914779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775279"/>
        <c:crosses val="max"/>
        <c:crossBetween val="between"/>
      </c:valAx>
      <c:catAx>
        <c:axId val="8317752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776660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5623155438903472"/>
          <c:y val="0.92424873139310582"/>
          <c:w val="0.69000602702439973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71610642661475"/>
          <c:y val="4.296165528605201E-2"/>
          <c:w val="0.73572313275192125"/>
          <c:h val="0.68384392395635918"/>
        </c:manualLayout>
      </c:layout>
      <c:lineChart>
        <c:grouping val="standard"/>
        <c:varyColors val="0"/>
        <c:ser>
          <c:idx val="0"/>
          <c:order val="0"/>
          <c:tx>
            <c:v>Retail volume</c:v>
          </c:tx>
          <c:spPr>
            <a:ln w="12700" cap="rnd">
              <a:solidFill>
                <a:srgbClr val="1440AA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12700">
                <a:solidFill>
                  <a:srgbClr val="1440AA"/>
                </a:solidFill>
              </a:ln>
              <a:effectLst/>
            </c:spPr>
          </c:marker>
          <c:cat>
            <c:strRef>
              <c:f>'Transaction revenues'!$C$68:$N$68</c:f>
              <c:strCache>
                <c:ptCount val="12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</c:strCache>
            </c:strRef>
          </c:cat>
          <c:val>
            <c:numRef>
              <c:f>'Transaction revenues'!$C$71:$N$71</c:f>
              <c:numCache>
                <c:formatCode>#,##0.0;\(#,##0.0\);\-</c:formatCode>
                <c:ptCount val="12"/>
                <c:pt idx="0">
                  <c:v>45</c:v>
                </c:pt>
                <c:pt idx="1">
                  <c:v>14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14</c:v>
                </c:pt>
                <c:pt idx="6">
                  <c:v>11</c:v>
                </c:pt>
                <c:pt idx="7">
                  <c:v>5</c:v>
                </c:pt>
                <c:pt idx="8">
                  <c:v>12</c:v>
                </c:pt>
                <c:pt idx="9">
                  <c:v>11</c:v>
                </c:pt>
                <c:pt idx="10">
                  <c:v>18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B-4846-A921-4D8EC7D11EA9}"/>
            </c:ext>
          </c:extLst>
        </c:ser>
        <c:ser>
          <c:idx val="1"/>
          <c:order val="1"/>
          <c:tx>
            <c:v>Institutional volume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cat>
            <c:strRef>
              <c:f>'Transaction revenues'!$C$68:$N$68</c:f>
              <c:strCache>
                <c:ptCount val="12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</c:strCache>
            </c:strRef>
          </c:cat>
          <c:val>
            <c:numRef>
              <c:f>'Transaction revenues'!$C$72:$N$72</c:f>
              <c:numCache>
                <c:formatCode>0.0</c:formatCode>
                <c:ptCount val="12"/>
                <c:pt idx="0">
                  <c:v>11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17</c:v>
                </c:pt>
                <c:pt idx="6">
                  <c:v>16</c:v>
                </c:pt>
                <c:pt idx="7">
                  <c:v>9</c:v>
                </c:pt>
                <c:pt idx="8">
                  <c:v>18</c:v>
                </c:pt>
                <c:pt idx="9">
                  <c:v>17</c:v>
                </c:pt>
                <c:pt idx="10">
                  <c:v>27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B-4846-A921-4D8EC7D1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349120"/>
        <c:axId val="1006352864"/>
      </c:lineChart>
      <c:lineChart>
        <c:grouping val="standard"/>
        <c:varyColors val="0"/>
        <c:ser>
          <c:idx val="2"/>
          <c:order val="2"/>
          <c:tx>
            <c:v>Bitcoin price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'Transaction revenues'!$C$68:$N$68</c:f>
              <c:strCache>
                <c:ptCount val="12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</c:strCache>
            </c:strRef>
          </c:cat>
          <c:val>
            <c:numRef>
              <c:f>'Transaction revenues'!$C$73:$N$73</c:f>
              <c:numCache>
                <c:formatCode>#,##0</c:formatCode>
                <c:ptCount val="12"/>
                <c:pt idx="0">
                  <c:v>6973.5297849999997</c:v>
                </c:pt>
                <c:pt idx="1">
                  <c:v>6404</c:v>
                </c:pt>
                <c:pt idx="2">
                  <c:v>6625.5600590000004</c:v>
                </c:pt>
                <c:pt idx="3">
                  <c:v>3742.7004390000002</c:v>
                </c:pt>
                <c:pt idx="4">
                  <c:v>4105.404297</c:v>
                </c:pt>
                <c:pt idx="5">
                  <c:v>10817.155273</c:v>
                </c:pt>
                <c:pt idx="6">
                  <c:v>8293.8681639999995</c:v>
                </c:pt>
                <c:pt idx="7">
                  <c:v>7193.5991210000002</c:v>
                </c:pt>
                <c:pt idx="8">
                  <c:v>6438.6445309999999</c:v>
                </c:pt>
                <c:pt idx="9">
                  <c:v>9137.9931639999995</c:v>
                </c:pt>
                <c:pt idx="10">
                  <c:v>10787.618164</c:v>
                </c:pt>
                <c:pt idx="11">
                  <c:v>29001.720702999999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B-4846-A921-4D8EC7D1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187312"/>
        <c:axId val="1771188560"/>
      </c:lineChart>
      <c:catAx>
        <c:axId val="100634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352864"/>
        <c:crosses val="autoZero"/>
        <c:auto val="1"/>
        <c:lblAlgn val="ctr"/>
        <c:lblOffset val="100"/>
        <c:noMultiLvlLbl val="0"/>
      </c:catAx>
      <c:valAx>
        <c:axId val="10063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Trading</a:t>
                </a:r>
                <a:r>
                  <a:rPr lang="en-GB" baseline="0"/>
                  <a:t> volume (USD billion)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457433669124552E-3"/>
              <c:y val="0.127484923262736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349120"/>
        <c:crosses val="autoZero"/>
        <c:crossBetween val="midCat"/>
      </c:valAx>
      <c:valAx>
        <c:axId val="1771188560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.96263462431160418"/>
              <c:y val="0.18552803848090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7312"/>
        <c:crosses val="max"/>
        <c:crossBetween val="between"/>
      </c:valAx>
      <c:catAx>
        <c:axId val="1771187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1188560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1649125685735255"/>
          <c:y val="0.93002742499108026"/>
          <c:w val="0.79204284609039821"/>
          <c:h val="6.9972496907255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A00-47D9-8CF5-385CCDDC2E58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A00-47D9-8CF5-385CCDDC2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7650838050494"/>
          <c:y val="4.7015970065363274E-2"/>
          <c:w val="0.7515175605356792"/>
          <c:h val="0.67631194931377792"/>
        </c:manualLayout>
      </c:layout>
      <c:lineChart>
        <c:grouping val="standard"/>
        <c:varyColors val="0"/>
        <c:ser>
          <c:idx val="2"/>
          <c:order val="0"/>
          <c:tx>
            <c:v>Subscription, services and other revenue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'Asset-based revenues'!$C$36:$J$36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revenues'!$C$40:$J$40</c:f>
              <c:numCache>
                <c:formatCode>0.0</c:formatCode>
                <c:ptCount val="8"/>
                <c:pt idx="0">
                  <c:v>4.1306666666666665</c:v>
                </c:pt>
                <c:pt idx="1">
                  <c:v>4.6506666666666669</c:v>
                </c:pt>
                <c:pt idx="2">
                  <c:v>4.253333333333333</c:v>
                </c:pt>
                <c:pt idx="3">
                  <c:v>4.6933333333333334</c:v>
                </c:pt>
                <c:pt idx="4">
                  <c:v>6.6553872602404818</c:v>
                </c:pt>
                <c:pt idx="5">
                  <c:v>6.0697206898850924</c:v>
                </c:pt>
                <c:pt idx="6">
                  <c:v>10.098055497521838</c:v>
                </c:pt>
                <c:pt idx="7">
                  <c:v>19.405836552352586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14-4408-B2D9-D2CCB4D6A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0"/>
          <c:order val="1"/>
          <c:tx>
            <c:v>Assets on platform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4472C4"/>
              </a:solidFill>
              <a:ln w="9525">
                <a:noFill/>
              </a:ln>
              <a:effectLst/>
            </c:spPr>
          </c:marker>
          <c:cat>
            <c:strRef>
              <c:f>'Asset-based revenues'!$C$36:$J$36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revenues'!$C$41:$J$41</c:f>
              <c:numCache>
                <c:formatCode>0.0</c:formatCode>
                <c:ptCount val="8"/>
                <c:pt idx="0">
                  <c:v>8</c:v>
                </c:pt>
                <c:pt idx="1">
                  <c:v>21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26</c:v>
                </c:pt>
                <c:pt idx="6">
                  <c:v>36</c:v>
                </c:pt>
                <c:pt idx="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14-4408-B2D9-D2CCB4D6A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494143"/>
        <c:axId val="179084540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Revenues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(USD million)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4907632542142505E-3"/>
              <c:y val="0.13558892109335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79084540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Assets on platform (USD billion)</a:t>
                </a:r>
              </a:p>
            </c:rich>
          </c:tx>
          <c:layout>
            <c:manualLayout>
              <c:xMode val="edge"/>
              <c:yMode val="edge"/>
              <c:x val="0.96149314668999708"/>
              <c:y val="9.594540570351937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94143"/>
        <c:crosses val="max"/>
        <c:crossBetween val="between"/>
      </c:valAx>
      <c:catAx>
        <c:axId val="16744941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9084540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8.4626616117429762E-2"/>
          <c:y val="0.92424873139310582"/>
          <c:w val="0.78136405171575773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9116180226519"/>
          <c:y val="5.5394185122928867E-2"/>
          <c:w val="0.70912843322441799"/>
          <c:h val="0.67631194931377792"/>
        </c:manualLayout>
      </c:layout>
      <c:lineChart>
        <c:grouping val="stacked"/>
        <c:varyColors val="0"/>
        <c:ser>
          <c:idx val="0"/>
          <c:order val="1"/>
          <c:tx>
            <c:v>Assets on platform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'Asset-based revenues'!$C$10:$K$10</c:f>
              <c:numCache>
                <c:formatCode>General</c:formatCode>
                <c:ptCount val="9"/>
                <c:pt idx="0">
                  <c:v>8</c:v>
                </c:pt>
                <c:pt idx="1">
                  <c:v>21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26</c:v>
                </c:pt>
                <c:pt idx="6">
                  <c:v>36</c:v>
                </c:pt>
                <c:pt idx="7">
                  <c:v>90</c:v>
                </c:pt>
                <c:pt idx="8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74-40E3-9325-88C38BB26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cked"/>
        <c:varyColors val="0"/>
        <c:ser>
          <c:idx val="2"/>
          <c:order val="0"/>
          <c:tx>
            <c:v>Bitcoin price</c:v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CF2A-4FA7-8D3F-D105A9AB86EE}"/>
              </c:ext>
            </c:extLst>
          </c:dPt>
          <c:cat>
            <c:strRef>
              <c:f>'Asset-based revenues'!$C$8:$K$8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'Asset-based revenues'!$C$11:$K$11</c:f>
              <c:numCache>
                <c:formatCode>#,##0</c:formatCode>
                <c:ptCount val="9"/>
                <c:pt idx="0">
                  <c:v>4105.404297</c:v>
                </c:pt>
                <c:pt idx="1">
                  <c:v>10817.155273</c:v>
                </c:pt>
                <c:pt idx="2">
                  <c:v>8293.8681639999995</c:v>
                </c:pt>
                <c:pt idx="3">
                  <c:v>7193.5991210000002</c:v>
                </c:pt>
                <c:pt idx="4">
                  <c:v>6438.6445309999999</c:v>
                </c:pt>
                <c:pt idx="5">
                  <c:v>9137.9931639999995</c:v>
                </c:pt>
                <c:pt idx="6">
                  <c:v>10787.618164</c:v>
                </c:pt>
                <c:pt idx="7">
                  <c:v>29001.720702999999</c:v>
                </c:pt>
                <c:pt idx="8">
                  <c:v>58918.832030999998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4-40E3-9325-88C38BB26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321439"/>
        <c:axId val="583321023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Assets on Platform (USD billion)</a:t>
                </a:r>
              </a:p>
            </c:rich>
          </c:tx>
          <c:layout>
            <c:manualLayout>
              <c:xMode val="edge"/>
              <c:yMode val="edge"/>
              <c:x val="2.6144499757298871E-3"/>
              <c:y val="8.950902340358719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between"/>
      </c:valAx>
      <c:valAx>
        <c:axId val="5833210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.96067680407770017"/>
              <c:y val="0.22154540464799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321439"/>
        <c:crosses val="max"/>
        <c:crossBetween val="between"/>
      </c:valAx>
      <c:catAx>
        <c:axId val="583321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332102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1433099650155704"/>
          <c:y val="0.92424873139310582"/>
          <c:w val="0.7528568418005166"/>
          <c:h val="7.5751268606894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51281507802152"/>
          <c:y val="4.7016072266345937E-2"/>
          <c:w val="0.81677252183667814"/>
          <c:h val="0.68463031528276019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cat>
            <c:strRef>
              <c:f>'Asset-based revenues'!$C$71:$J$71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revenues'!$C$73:$J$73</c:f>
              <c:numCache>
                <c:formatCode>#,##0.0;\(#,##0.0\);\-</c:formatCode>
                <c:ptCount val="8"/>
                <c:pt idx="0">
                  <c:v>4.1306666666666665</c:v>
                </c:pt>
                <c:pt idx="1">
                  <c:v>4.6506666666666669</c:v>
                </c:pt>
                <c:pt idx="2">
                  <c:v>4.253333333333333</c:v>
                </c:pt>
                <c:pt idx="3">
                  <c:v>4.6933333333333334</c:v>
                </c:pt>
                <c:pt idx="4">
                  <c:v>6.6553872602404818</c:v>
                </c:pt>
                <c:pt idx="5">
                  <c:v>6.0697206898850924</c:v>
                </c:pt>
                <c:pt idx="6">
                  <c:v>10.098055497521838</c:v>
                </c:pt>
                <c:pt idx="7">
                  <c:v>19.405836552352586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8-41F9-AEB0-76537A533B58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'Asset-based revenues'!$C$71:$J$71</c:f>
              <c:strCache>
                <c:ptCount val="8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</c:v>
                </c:pt>
                <c:pt idx="7">
                  <c:v>Q4 2020</c:v>
                </c:pt>
              </c:strCache>
            </c:strRef>
          </c:cat>
          <c:val>
            <c:numRef>
              <c:f>'Asset-based revenues'!$C$72:$J$72</c:f>
              <c:numCache>
                <c:formatCode>#,##0.0</c:formatCode>
                <c:ptCount val="8"/>
                <c:pt idx="0">
                  <c:v>3.3450567903941684</c:v>
                </c:pt>
                <c:pt idx="1">
                  <c:v>5.8986372270746799</c:v>
                </c:pt>
                <c:pt idx="2">
                  <c:v>5.3093494339945622</c:v>
                </c:pt>
                <c:pt idx="3">
                  <c:v>5.1129201696345223</c:v>
                </c:pt>
                <c:pt idx="4">
                  <c:v>5.1129201696345223</c:v>
                </c:pt>
                <c:pt idx="5">
                  <c:v>6.8807835488748763</c:v>
                </c:pt>
                <c:pt idx="6">
                  <c:v>8.8450761924752701</c:v>
                </c:pt>
                <c:pt idx="7">
                  <c:v>19.452256467917394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8-41F9-AEB0-76537A533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Assets on platform (USD billion)</a:t>
                </a:r>
              </a:p>
            </c:rich>
          </c:tx>
          <c:layout>
            <c:manualLayout>
              <c:xMode val="edge"/>
              <c:yMode val="edge"/>
              <c:x val="2.6144124335838481E-3"/>
              <c:y val="0.10646814493359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38320661811870355"/>
          <c:y val="0.92438448988596089"/>
          <c:w val="0.23358676376259291"/>
          <c:h val="7.5615510114039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48746506524619"/>
          <c:y val="4.4632781773481865E-2"/>
          <c:w val="0.6823857179568753"/>
          <c:h val="0.791500373520434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xVal>
            <c:numRef>
              <c:f>'Bitcoin price'!$C$25:$EL$25</c:f>
              <c:numCache>
                <c:formatCode>#,##0.0</c:formatCode>
                <c:ptCount val="140"/>
                <c:pt idx="8">
                  <c:v>4.9578977932636471E-2</c:v>
                </c:pt>
                <c:pt idx="9">
                  <c:v>0.13291231126596981</c:v>
                </c:pt>
                <c:pt idx="10">
                  <c:v>0.22476233589859665</c:v>
                </c:pt>
                <c:pt idx="11">
                  <c:v>0.1702309488077372</c:v>
                </c:pt>
                <c:pt idx="12">
                  <c:v>0.20525410002024702</c:v>
                </c:pt>
                <c:pt idx="13">
                  <c:v>0.26626813624758705</c:v>
                </c:pt>
                <c:pt idx="14">
                  <c:v>0.34855963245793753</c:v>
                </c:pt>
                <c:pt idx="15">
                  <c:v>0.42885765365883732</c:v>
                </c:pt>
                <c:pt idx="16">
                  <c:v>0.55655479635584137</c:v>
                </c:pt>
                <c:pt idx="17">
                  <c:v>0.63860475999465172</c:v>
                </c:pt>
                <c:pt idx="18">
                  <c:v>0.4828414934048737</c:v>
                </c:pt>
                <c:pt idx="19">
                  <c:v>0.67695803261160115</c:v>
                </c:pt>
                <c:pt idx="20">
                  <c:v>0.8199994233984893</c:v>
                </c:pt>
                <c:pt idx="21">
                  <c:v>0.8992882153722519</c:v>
                </c:pt>
                <c:pt idx="22">
                  <c:v>0.98211417096959264</c:v>
                </c:pt>
                <c:pt idx="23">
                  <c:v>1.1486825013917239</c:v>
                </c:pt>
                <c:pt idx="24">
                  <c:v>1.2405331340308918</c:v>
                </c:pt>
                <c:pt idx="25">
                  <c:v>1.2268975468975469</c:v>
                </c:pt>
                <c:pt idx="26">
                  <c:v>1.7038016963146438</c:v>
                </c:pt>
                <c:pt idx="27">
                  <c:v>1.4843214263449909</c:v>
                </c:pt>
                <c:pt idx="28">
                  <c:v>1.2610576199789378</c:v>
                </c:pt>
                <c:pt idx="29">
                  <c:v>1.4434124804824207</c:v>
                </c:pt>
                <c:pt idx="30">
                  <c:v>1.9448731138545954</c:v>
                </c:pt>
                <c:pt idx="31">
                  <c:v>2.1870608682789734</c:v>
                </c:pt>
                <c:pt idx="32">
                  <c:v>2.5178805774278215</c:v>
                </c:pt>
                <c:pt idx="33">
                  <c:v>2.6153719280884049</c:v>
                </c:pt>
                <c:pt idx="34">
                  <c:v>2.6670334148329258</c:v>
                </c:pt>
                <c:pt idx="35">
                  <c:v>2.3934042553191488</c:v>
                </c:pt>
                <c:pt idx="36">
                  <c:v>2.4756841060541612</c:v>
                </c:pt>
                <c:pt idx="37">
                  <c:v>2.9226378430896283</c:v>
                </c:pt>
                <c:pt idx="38">
                  <c:v>2.6359069932552361</c:v>
                </c:pt>
                <c:pt idx="39">
                  <c:v>3.0046677649643052</c:v>
                </c:pt>
                <c:pt idx="40">
                  <c:v>2.8511335651166161</c:v>
                </c:pt>
                <c:pt idx="41">
                  <c:v>3.1970683396464645</c:v>
                </c:pt>
                <c:pt idx="42">
                  <c:v>2.9425391095066185</c:v>
                </c:pt>
                <c:pt idx="43">
                  <c:v>2.7078740656277716</c:v>
                </c:pt>
                <c:pt idx="44">
                  <c:v>3.3441105039465695</c:v>
                </c:pt>
                <c:pt idx="45">
                  <c:v>3.0435368648065779</c:v>
                </c:pt>
                <c:pt idx="46">
                  <c:v>3.582879647862852</c:v>
                </c:pt>
                <c:pt idx="47">
                  <c:v>8.3334430401965953</c:v>
                </c:pt>
                <c:pt idx="48">
                  <c:v>6.9252419121894855</c:v>
                </c:pt>
                <c:pt idx="49">
                  <c:v>7.0131331743623093</c:v>
                </c:pt>
                <c:pt idx="50">
                  <c:v>6.0331736085514187</c:v>
                </c:pt>
                <c:pt idx="51">
                  <c:v>6.727785661193324</c:v>
                </c:pt>
                <c:pt idx="52">
                  <c:v>6.8305041675137224</c:v>
                </c:pt>
                <c:pt idx="53">
                  <c:v>6.3249333581303082</c:v>
                </c:pt>
                <c:pt idx="54">
                  <c:v>6.3916249304396215</c:v>
                </c:pt>
                <c:pt idx="55">
                  <c:v>5.9415319148936172</c:v>
                </c:pt>
                <c:pt idx="56">
                  <c:v>6.5078292578292576</c:v>
                </c:pt>
                <c:pt idx="57">
                  <c:v>5.9589982269503547</c:v>
                </c:pt>
                <c:pt idx="58">
                  <c:v>6.5591242632022135</c:v>
                </c:pt>
                <c:pt idx="59">
                  <c:v>6.5456081081081079</c:v>
                </c:pt>
                <c:pt idx="60">
                  <c:v>7.1805020544427327</c:v>
                </c:pt>
                <c:pt idx="61">
                  <c:v>7.8718082515828289</c:v>
                </c:pt>
                <c:pt idx="62">
                  <c:v>7.0987303656795184</c:v>
                </c:pt>
                <c:pt idx="63">
                  <c:v>7.8359073359073363</c:v>
                </c:pt>
                <c:pt idx="64">
                  <c:v>7.2733451536643026</c:v>
                </c:pt>
                <c:pt idx="65">
                  <c:v>8.227318583455089</c:v>
                </c:pt>
                <c:pt idx="66">
                  <c:v>8.3630189736049854</c:v>
                </c:pt>
                <c:pt idx="67">
                  <c:v>7.5716594489424462</c:v>
                </c:pt>
                <c:pt idx="68">
                  <c:v>8.443544479058497</c:v>
                </c:pt>
                <c:pt idx="69">
                  <c:v>9.6855193835023989</c:v>
                </c:pt>
                <c:pt idx="70">
                  <c:v>8.8219358045732132</c:v>
                </c:pt>
                <c:pt idx="71">
                  <c:v>9.794126835363949</c:v>
                </c:pt>
                <c:pt idx="72">
                  <c:v>8.8379454926624739</c:v>
                </c:pt>
                <c:pt idx="73">
                  <c:v>9.9822894675111424</c:v>
                </c:pt>
                <c:pt idx="74">
                  <c:v>9.1433518005540169</c:v>
                </c:pt>
                <c:pt idx="75">
                  <c:v>10.251144255050505</c:v>
                </c:pt>
                <c:pt idx="76">
                  <c:v>10.356544088572559</c:v>
                </c:pt>
                <c:pt idx="77">
                  <c:v>9.3885392219614534</c:v>
                </c:pt>
                <c:pt idx="78">
                  <c:v>10.582757250695272</c:v>
                </c:pt>
                <c:pt idx="79">
                  <c:v>9.6224193548387102</c:v>
                </c:pt>
                <c:pt idx="80">
                  <c:v>9.6291337742692562</c:v>
                </c:pt>
                <c:pt idx="81">
                  <c:v>9.7624562155979699</c:v>
                </c:pt>
                <c:pt idx="82">
                  <c:v>9.9245388384493438</c:v>
                </c:pt>
                <c:pt idx="83">
                  <c:v>9.1603515367365791</c:v>
                </c:pt>
                <c:pt idx="84">
                  <c:v>10.36096325866785</c:v>
                </c:pt>
                <c:pt idx="85">
                  <c:v>9.4755197853789408</c:v>
                </c:pt>
                <c:pt idx="86">
                  <c:v>10.678242301640818</c:v>
                </c:pt>
                <c:pt idx="87">
                  <c:v>10.735033632286996</c:v>
                </c:pt>
                <c:pt idx="88">
                  <c:v>10.825648792162141</c:v>
                </c:pt>
                <c:pt idx="89">
                  <c:v>10.933513229892812</c:v>
                </c:pt>
                <c:pt idx="90">
                  <c:v>15.821707303945315</c:v>
                </c:pt>
                <c:pt idx="91">
                  <c:v>22.184665915915915</c:v>
                </c:pt>
                <c:pt idx="92">
                  <c:v>20.231208648796127</c:v>
                </c:pt>
                <c:pt idx="93">
                  <c:v>22.415255512907354</c:v>
                </c:pt>
                <c:pt idx="94">
                  <c:v>22.488433762130445</c:v>
                </c:pt>
                <c:pt idx="95">
                  <c:v>20.444705641864267</c:v>
                </c:pt>
                <c:pt idx="96">
                  <c:v>20.570087395876008</c:v>
                </c:pt>
                <c:pt idx="97">
                  <c:v>25.182317682317681</c:v>
                </c:pt>
                <c:pt idx="98">
                  <c:v>20.717523380435523</c:v>
                </c:pt>
                <c:pt idx="99">
                  <c:v>22.758365075808499</c:v>
                </c:pt>
                <c:pt idx="100">
                  <c:v>20.842874667757105</c:v>
                </c:pt>
                <c:pt idx="101">
                  <c:v>23.072606702735197</c:v>
                </c:pt>
                <c:pt idx="102">
                  <c:v>21.036197010034815</c:v>
                </c:pt>
                <c:pt idx="103">
                  <c:v>23.221496659911431</c:v>
                </c:pt>
                <c:pt idx="104">
                  <c:v>21.212697274031562</c:v>
                </c:pt>
                <c:pt idx="105">
                  <c:v>23.428034573468622</c:v>
                </c:pt>
                <c:pt idx="106">
                  <c:v>23.511367906801954</c:v>
                </c:pt>
                <c:pt idx="107">
                  <c:v>19.662251033446072</c:v>
                </c:pt>
                <c:pt idx="108">
                  <c:v>21.560525235945835</c:v>
                </c:pt>
                <c:pt idx="109">
                  <c:v>23.802384175691937</c:v>
                </c:pt>
                <c:pt idx="110">
                  <c:v>23.880329348071285</c:v>
                </c:pt>
                <c:pt idx="111">
                  <c:v>21.799900814009167</c:v>
                </c:pt>
                <c:pt idx="112">
                  <c:v>24.038999098286745</c:v>
                </c:pt>
                <c:pt idx="113">
                  <c:v>21.936586032526993</c:v>
                </c:pt>
                <c:pt idx="114">
                  <c:v>24.186707198078512</c:v>
                </c:pt>
                <c:pt idx="115">
                  <c:v>22.127540546089097</c:v>
                </c:pt>
                <c:pt idx="116">
                  <c:v>24.438483547925607</c:v>
                </c:pt>
                <c:pt idx="117">
                  <c:v>24.516278982234265</c:v>
                </c:pt>
                <c:pt idx="118">
                  <c:v>27.33427436219155</c:v>
                </c:pt>
                <c:pt idx="119">
                  <c:v>24.680182215194638</c:v>
                </c:pt>
                <c:pt idx="120">
                  <c:v>24.657688559004349</c:v>
                </c:pt>
                <c:pt idx="121">
                  <c:v>27.596232647599933</c:v>
                </c:pt>
                <c:pt idx="122">
                  <c:v>24.860466426318162</c:v>
                </c:pt>
                <c:pt idx="123">
                  <c:v>24.988844996237773</c:v>
                </c:pt>
                <c:pt idx="124">
                  <c:v>22.760194672131149</c:v>
                </c:pt>
                <c:pt idx="125">
                  <c:v>25.198105033152501</c:v>
                </c:pt>
                <c:pt idx="126">
                  <c:v>22.970853015677417</c:v>
                </c:pt>
                <c:pt idx="127">
                  <c:v>25.30451608055305</c:v>
                </c:pt>
                <c:pt idx="128">
                  <c:v>23.096903199343725</c:v>
                </c:pt>
                <c:pt idx="129">
                  <c:v>25.490941211847844</c:v>
                </c:pt>
                <c:pt idx="130">
                  <c:v>25.603145932114096</c:v>
                </c:pt>
                <c:pt idx="131">
                  <c:v>25.692280186690756</c:v>
                </c:pt>
                <c:pt idx="132">
                  <c:v>25.161908436213992</c:v>
                </c:pt>
                <c:pt idx="133">
                  <c:v>25.872665311040819</c:v>
                </c:pt>
                <c:pt idx="134">
                  <c:v>28.835655120481928</c:v>
                </c:pt>
                <c:pt idx="135">
                  <c:v>23.672334086706389</c:v>
                </c:pt>
                <c:pt idx="136">
                  <c:v>39.649805669867398</c:v>
                </c:pt>
                <c:pt idx="137">
                  <c:v>52.319635734176259</c:v>
                </c:pt>
                <c:pt idx="138">
                  <c:v>47.696824907521581</c:v>
                </c:pt>
                <c:pt idx="139">
                  <c:v>52.601414027149325</c:v>
                </c:pt>
              </c:numCache>
            </c:numRef>
          </c:xVal>
          <c:yVal>
            <c:numRef>
              <c:f>'Bitcoin price'!$C$26:$EL$26</c:f>
              <c:numCache>
                <c:formatCode>#,##0</c:formatCode>
                <c:ptCount val="140"/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231207</c:v>
                </c:pt>
                <c:pt idx="20">
                  <c:v>248550</c:v>
                </c:pt>
                <c:pt idx="21">
                  <c:v>842241.5</c:v>
                </c:pt>
                <c:pt idx="22">
                  <c:v>1322538.0000000002</c:v>
                </c:pt>
                <c:pt idx="23">
                  <c:v>1497840</c:v>
                </c:pt>
                <c:pt idx="24">
                  <c:v>2367180</c:v>
                </c:pt>
                <c:pt idx="25">
                  <c:v>5327184</c:v>
                </c:pt>
                <c:pt idx="26">
                  <c:v>4616960</c:v>
                </c:pt>
                <c:pt idx="27">
                  <c:v>16062543</c:v>
                </c:pt>
                <c:pt idx="28">
                  <c:v>55299412</c:v>
                </c:pt>
                <c:pt idx="29">
                  <c:v>119513250.5</c:v>
                </c:pt>
                <c:pt idx="30">
                  <c:v>97343707</c:v>
                </c:pt>
                <c:pt idx="31">
                  <c:v>67198720</c:v>
                </c:pt>
                <c:pt idx="32">
                  <c:v>36392400</c:v>
                </c:pt>
                <c:pt idx="33">
                  <c:v>25608399</c:v>
                </c:pt>
                <c:pt idx="34">
                  <c:v>19474086</c:v>
                </c:pt>
                <c:pt idx="35">
                  <c:v>35731392</c:v>
                </c:pt>
                <c:pt idx="36">
                  <c:v>47068164</c:v>
                </c:pt>
                <c:pt idx="37">
                  <c:v>42004059</c:v>
                </c:pt>
                <c:pt idx="38">
                  <c:v>42046105</c:v>
                </c:pt>
                <c:pt idx="39">
                  <c:v>45208107.5</c:v>
                </c:pt>
                <c:pt idx="40">
                  <c:v>47017146</c:v>
                </c:pt>
                <c:pt idx="41">
                  <c:v>61345669</c:v>
                </c:pt>
                <c:pt idx="42">
                  <c:v>88129370</c:v>
                </c:pt>
                <c:pt idx="43">
                  <c:v>109412624</c:v>
                </c:pt>
                <c:pt idx="44">
                  <c:v>125113352.00000001</c:v>
                </c:pt>
                <c:pt idx="45">
                  <c:v>109984065</c:v>
                </c:pt>
                <c:pt idx="46">
                  <c:v>131304062.5</c:v>
                </c:pt>
                <c:pt idx="47">
                  <c:v>143832161.75</c:v>
                </c:pt>
                <c:pt idx="48">
                  <c:v>211936271.5</c:v>
                </c:pt>
                <c:pt idx="49">
                  <c:v>329232000</c:v>
                </c:pt>
                <c:pt idx="50">
                  <c:v>1014322625</c:v>
                </c:pt>
                <c:pt idx="51">
                  <c:v>1602800446.5</c:v>
                </c:pt>
                <c:pt idx="52">
                  <c:v>1483340985.0000002</c:v>
                </c:pt>
                <c:pt idx="53">
                  <c:v>1073934393.75</c:v>
                </c:pt>
                <c:pt idx="54">
                  <c:v>1133189505</c:v>
                </c:pt>
                <c:pt idx="55">
                  <c:v>1451642641</c:v>
                </c:pt>
                <c:pt idx="56">
                  <c:v>1494145640</c:v>
                </c:pt>
                <c:pt idx="57">
                  <c:v>2573510400</c:v>
                </c:pt>
                <c:pt idx="58">
                  <c:v>12222896595</c:v>
                </c:pt>
                <c:pt idx="59">
                  <c:v>8718388250</c:v>
                </c:pt>
                <c:pt idx="60">
                  <c:v>9858680000</c:v>
                </c:pt>
                <c:pt idx="61">
                  <c:v>7281841181.25</c:v>
                </c:pt>
                <c:pt idx="62">
                  <c:v>6283644060</c:v>
                </c:pt>
                <c:pt idx="63">
                  <c:v>5572924550</c:v>
                </c:pt>
                <c:pt idx="64">
                  <c:v>7973966122.499999</c:v>
                </c:pt>
                <c:pt idx="65">
                  <c:v>7772330459</c:v>
                </c:pt>
                <c:pt idx="66">
                  <c:v>7654314687.5</c:v>
                </c:pt>
                <c:pt idx="67">
                  <c:v>6690240999</c:v>
                </c:pt>
                <c:pt idx="68">
                  <c:v>5335707247.25</c:v>
                </c:pt>
                <c:pt idx="69">
                  <c:v>4638155925</c:v>
                </c:pt>
                <c:pt idx="70">
                  <c:v>5089094264</c:v>
                </c:pt>
                <c:pt idx="71">
                  <c:v>4279884419.9999995</c:v>
                </c:pt>
                <c:pt idx="72">
                  <c:v>3253784910</c:v>
                </c:pt>
                <c:pt idx="73">
                  <c:v>3499822533.75</c:v>
                </c:pt>
                <c:pt idx="74">
                  <c:v>3392626713</c:v>
                </c:pt>
                <c:pt idx="75">
                  <c:v>3176457260</c:v>
                </c:pt>
                <c:pt idx="76">
                  <c:v>3359912887</c:v>
                </c:pt>
                <c:pt idx="77">
                  <c:v>3599236396</c:v>
                </c:pt>
                <c:pt idx="78">
                  <c:v>4163047413.75</c:v>
                </c:pt>
                <c:pt idx="79">
                  <c:v>3340823721.75</c:v>
                </c:pt>
                <c:pt idx="80">
                  <c:v>3507203326</c:v>
                </c:pt>
                <c:pt idx="81">
                  <c:v>4505550555.25</c:v>
                </c:pt>
                <c:pt idx="82">
                  <c:v>5333528750</c:v>
                </c:pt>
                <c:pt idx="83">
                  <c:v>6433930929.25</c:v>
                </c:pt>
                <c:pt idx="84">
                  <c:v>5724586296</c:v>
                </c:pt>
                <c:pt idx="85">
                  <c:v>6591267640.5</c:v>
                </c:pt>
                <c:pt idx="86">
                  <c:v>6392419445.25</c:v>
                </c:pt>
                <c:pt idx="87">
                  <c:v>6967569066.5</c:v>
                </c:pt>
                <c:pt idx="88">
                  <c:v>8213266784</c:v>
                </c:pt>
                <c:pt idx="89">
                  <c:v>10238461283.75</c:v>
                </c:pt>
                <c:pt idx="90">
                  <c:v>10333591872.5</c:v>
                </c:pt>
                <c:pt idx="91">
                  <c:v>9052381406.25</c:v>
                </c:pt>
                <c:pt idx="92">
                  <c:v>9601682983.75</c:v>
                </c:pt>
                <c:pt idx="93">
                  <c:v>10944474272.625</c:v>
                </c:pt>
                <c:pt idx="94">
                  <c:v>11645342247.75</c:v>
                </c:pt>
                <c:pt idx="95">
                  <c:v>15399551371</c:v>
                </c:pt>
                <c:pt idx="96">
                  <c:v>14716999803</c:v>
                </c:pt>
                <c:pt idx="97">
                  <c:v>18617300487.5</c:v>
                </c:pt>
                <c:pt idx="98">
                  <c:v>16809131417.75</c:v>
                </c:pt>
                <c:pt idx="99">
                  <c:v>21728666475</c:v>
                </c:pt>
                <c:pt idx="100">
                  <c:v>37468648859.25</c:v>
                </c:pt>
                <c:pt idx="101">
                  <c:v>42000026823.75</c:v>
                </c:pt>
                <c:pt idx="102">
                  <c:v>45888491360</c:v>
                </c:pt>
                <c:pt idx="103">
                  <c:v>75766068205.5</c:v>
                </c:pt>
                <c:pt idx="104">
                  <c:v>69104811369</c:v>
                </c:pt>
                <c:pt idx="105">
                  <c:v>102173402267.375</c:v>
                </c:pt>
                <c:pt idx="106">
                  <c:v>165702598425</c:v>
                </c:pt>
                <c:pt idx="107">
                  <c:v>238398797121</c:v>
                </c:pt>
                <c:pt idx="108">
                  <c:v>169719311223</c:v>
                </c:pt>
                <c:pt idx="109">
                  <c:v>174279426250.5</c:v>
                </c:pt>
                <c:pt idx="110">
                  <c:v>134713843865.875</c:v>
                </c:pt>
                <c:pt idx="111">
                  <c:v>151827760612.5</c:v>
                </c:pt>
                <c:pt idx="112">
                  <c:v>126018920544</c:v>
                </c:pt>
                <c:pt idx="113">
                  <c:v>106549865954</c:v>
                </c:pt>
                <c:pt idx="114">
                  <c:v>141208002035.625</c:v>
                </c:pt>
                <c:pt idx="115">
                  <c:v>122010830989.25</c:v>
                </c:pt>
                <c:pt idx="116">
                  <c:v>115621796408</c:v>
                </c:pt>
                <c:pt idx="117">
                  <c:v>109321984452.625</c:v>
                </c:pt>
                <c:pt idx="118">
                  <c:v>74442361367.75</c:v>
                </c:pt>
                <c:pt idx="119">
                  <c:v>65805648353.5</c:v>
                </c:pt>
                <c:pt idx="120">
                  <c:v>60381144112.75</c:v>
                </c:pt>
                <c:pt idx="121">
                  <c:v>67306966839.375</c:v>
                </c:pt>
                <c:pt idx="122">
                  <c:v>72492480920.625</c:v>
                </c:pt>
                <c:pt idx="123">
                  <c:v>93672005114.625</c:v>
                </c:pt>
                <c:pt idx="124">
                  <c:v>154609249320.5</c:v>
                </c:pt>
                <c:pt idx="125">
                  <c:v>198008452618.125</c:v>
                </c:pt>
                <c:pt idx="126">
                  <c:v>171135525012.25</c:v>
                </c:pt>
                <c:pt idx="127">
                  <c:v>169795022351.25</c:v>
                </c:pt>
                <c:pt idx="128">
                  <c:v>147747525625</c:v>
                </c:pt>
                <c:pt idx="129">
                  <c:v>166109609874</c:v>
                </c:pt>
                <c:pt idx="130">
                  <c:v>135985797467.875</c:v>
                </c:pt>
                <c:pt idx="131">
                  <c:v>130886745505</c:v>
                </c:pt>
                <c:pt idx="132">
                  <c:v>168763204648.125</c:v>
                </c:pt>
                <c:pt idx="133">
                  <c:v>158925352385.625</c:v>
                </c:pt>
                <c:pt idx="134">
                  <c:v>107651137824.375</c:v>
                </c:pt>
                <c:pt idx="135">
                  <c:v>142509530293.25</c:v>
                </c:pt>
                <c:pt idx="136">
                  <c:v>175963178854.74997</c:v>
                </c:pt>
                <c:pt idx="137">
                  <c:v>165823306590.9375</c:v>
                </c:pt>
                <c:pt idx="138">
                  <c:v>205032320396.4375</c:v>
                </c:pt>
                <c:pt idx="139">
                  <c:v>212114041927.75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1-4DDA-ABE9-EF597B53E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667407"/>
        <c:axId val="1279652431"/>
      </c:scatterChart>
      <c:valAx>
        <c:axId val="1279667407"/>
        <c:scaling>
          <c:logBase val="10"/>
          <c:orientation val="minMax"/>
          <c:max val="300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Stock-to-flow</a:t>
                </a:r>
              </a:p>
            </c:rich>
          </c:tx>
          <c:layout>
            <c:manualLayout>
              <c:xMode val="edge"/>
              <c:yMode val="edge"/>
              <c:x val="0.54634125655830013"/>
              <c:y val="0.93305959167543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52431"/>
        <c:crossesAt val="1.0000000000000002E-2"/>
        <c:crossBetween val="midCat"/>
      </c:valAx>
      <c:valAx>
        <c:axId val="1279652431"/>
        <c:scaling>
          <c:logBase val="10"/>
          <c:orientation val="minMax"/>
          <c:max val="10000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Market cap (USD)</a:t>
                </a:r>
              </a:p>
            </c:rich>
          </c:tx>
          <c:layout>
            <c:manualLayout>
              <c:xMode val="edge"/>
              <c:yMode val="edge"/>
              <c:x val="2.3113753884748635E-3"/>
              <c:y val="0.307644949327749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67407"/>
        <c:crossesAt val="0.1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3471916611328"/>
          <c:y val="4.5109252078818156E-2"/>
          <c:w val="0.76002230087170031"/>
          <c:h val="0.79208644444547571"/>
        </c:manualLayout>
      </c:layout>
      <c:barChart>
        <c:barDir val="col"/>
        <c:grouping val="clustered"/>
        <c:varyColors val="0"/>
        <c:ser>
          <c:idx val="2"/>
          <c:order val="0"/>
          <c:tx>
            <c:v>Over/(under)-valuation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'Bitcoin price'!$C$50:$HJ$50</c:f>
              <c:numCache>
                <c:formatCode>mmm\ yyyy</c:formatCode>
                <c:ptCount val="216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45688</c:v>
                </c:pt>
                <c:pt idx="181">
                  <c:v>45716</c:v>
                </c:pt>
                <c:pt idx="182">
                  <c:v>45747</c:v>
                </c:pt>
                <c:pt idx="183">
                  <c:v>45777</c:v>
                </c:pt>
                <c:pt idx="184">
                  <c:v>45808</c:v>
                </c:pt>
                <c:pt idx="185">
                  <c:v>45838</c:v>
                </c:pt>
                <c:pt idx="186">
                  <c:v>45869</c:v>
                </c:pt>
                <c:pt idx="187">
                  <c:v>45900</c:v>
                </c:pt>
                <c:pt idx="188">
                  <c:v>45930</c:v>
                </c:pt>
                <c:pt idx="189">
                  <c:v>45961</c:v>
                </c:pt>
                <c:pt idx="190">
                  <c:v>45991</c:v>
                </c:pt>
                <c:pt idx="191">
                  <c:v>46022</c:v>
                </c:pt>
                <c:pt idx="192">
                  <c:v>46053</c:v>
                </c:pt>
                <c:pt idx="193">
                  <c:v>46081</c:v>
                </c:pt>
                <c:pt idx="194">
                  <c:v>46112</c:v>
                </c:pt>
                <c:pt idx="195">
                  <c:v>46142</c:v>
                </c:pt>
                <c:pt idx="196">
                  <c:v>46173</c:v>
                </c:pt>
                <c:pt idx="197">
                  <c:v>46203</c:v>
                </c:pt>
                <c:pt idx="198">
                  <c:v>46234</c:v>
                </c:pt>
                <c:pt idx="199">
                  <c:v>46265</c:v>
                </c:pt>
                <c:pt idx="200">
                  <c:v>46295</c:v>
                </c:pt>
                <c:pt idx="201">
                  <c:v>46326</c:v>
                </c:pt>
                <c:pt idx="202">
                  <c:v>46356</c:v>
                </c:pt>
                <c:pt idx="203">
                  <c:v>46387</c:v>
                </c:pt>
                <c:pt idx="204">
                  <c:v>46418</c:v>
                </c:pt>
                <c:pt idx="205">
                  <c:v>46446</c:v>
                </c:pt>
                <c:pt idx="206">
                  <c:v>46477</c:v>
                </c:pt>
                <c:pt idx="207">
                  <c:v>46507</c:v>
                </c:pt>
                <c:pt idx="208">
                  <c:v>46538</c:v>
                </c:pt>
                <c:pt idx="209">
                  <c:v>46568</c:v>
                </c:pt>
                <c:pt idx="210">
                  <c:v>46599</c:v>
                </c:pt>
                <c:pt idx="211">
                  <c:v>46630</c:v>
                </c:pt>
                <c:pt idx="212">
                  <c:v>46660</c:v>
                </c:pt>
                <c:pt idx="213">
                  <c:v>46691</c:v>
                </c:pt>
                <c:pt idx="214">
                  <c:v>46721</c:v>
                </c:pt>
                <c:pt idx="215">
                  <c:v>46752</c:v>
                </c:pt>
              </c:numCache>
            </c:numRef>
          </c:cat>
          <c:val>
            <c:numRef>
              <c:f>'Bitcoin price'!$C$61:$HJ$61</c:f>
              <c:numCache>
                <c:formatCode>0%;\(0%\);\-</c:formatCode>
                <c:ptCount val="21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-0.85902828743019632</c:v>
                </c:pt>
                <c:pt idx="8">
                  <c:v>-0.9137743887657821</c:v>
                </c:pt>
                <c:pt idx="9">
                  <c:v>-0.77525525185946798</c:v>
                </c:pt>
                <c:pt idx="10">
                  <c:v>-0.72582942928635308</c:v>
                </c:pt>
                <c:pt idx="11">
                  <c:v>-0.80520983992810635</c:v>
                </c:pt>
                <c:pt idx="12">
                  <c:v>-0.75376389680158928</c:v>
                </c:pt>
                <c:pt idx="13">
                  <c:v>-0.41965915871872894</c:v>
                </c:pt>
                <c:pt idx="14">
                  <c:v>-0.81485319833875192</c:v>
                </c:pt>
                <c:pt idx="15">
                  <c:v>-7.2091608819728759E-3</c:v>
                </c:pt>
                <c:pt idx="16">
                  <c:v>4.6960778478899909</c:v>
                </c:pt>
                <c:pt idx="17">
                  <c:v>7.2036623818325314</c:v>
                </c:pt>
                <c:pt idx="18">
                  <c:v>1.6922710047368406</c:v>
                </c:pt>
                <c:pt idx="19">
                  <c:v>0.30333952424147892</c:v>
                </c:pt>
                <c:pt idx="20">
                  <c:v>-0.53983888601937435</c:v>
                </c:pt>
                <c:pt idx="21">
                  <c:v>-0.710607636467121</c:v>
                </c:pt>
                <c:pt idx="22">
                  <c:v>-0.79191105143748275</c:v>
                </c:pt>
                <c:pt idx="23">
                  <c:v>-0.46538047325649146</c:v>
                </c:pt>
                <c:pt idx="24">
                  <c:v>-0.36253601122032408</c:v>
                </c:pt>
                <c:pt idx="25">
                  <c:v>-0.65702705369940362</c:v>
                </c:pt>
                <c:pt idx="26">
                  <c:v>-0.52691948409602807</c:v>
                </c:pt>
                <c:pt idx="27">
                  <c:v>-0.65861171957641806</c:v>
                </c:pt>
                <c:pt idx="28">
                  <c:v>-0.58158345283209512</c:v>
                </c:pt>
                <c:pt idx="29">
                  <c:v>-0.61478125803568906</c:v>
                </c:pt>
                <c:pt idx="30">
                  <c:v>-0.28397378525161665</c:v>
                </c:pt>
                <c:pt idx="31">
                  <c:v>0.15088442583928874</c:v>
                </c:pt>
                <c:pt idx="32">
                  <c:v>-0.30969558148386178</c:v>
                </c:pt>
                <c:pt idx="33">
                  <c:v>-0.18759084804666093</c:v>
                </c:pt>
                <c:pt idx="34">
                  <c:v>-0.41086193836133256</c:v>
                </c:pt>
                <c:pt idx="35">
                  <c:v>-0.95158232319060776</c:v>
                </c:pt>
                <c:pt idx="36">
                  <c:v>-0.87393639697336067</c:v>
                </c:pt>
                <c:pt idx="37">
                  <c:v>-0.81139388588792849</c:v>
                </c:pt>
                <c:pt idx="38">
                  <c:v>-7.6548088757276256E-2</c:v>
                </c:pt>
                <c:pt idx="39">
                  <c:v>4.5551204131797363E-2</c:v>
                </c:pt>
                <c:pt idx="40">
                  <c:v>-7.5333289487567678E-2</c:v>
                </c:pt>
                <c:pt idx="41">
                  <c:v>-0.15133262739013409</c:v>
                </c:pt>
                <c:pt idx="42">
                  <c:v>-0.13188395888502047</c:v>
                </c:pt>
                <c:pt idx="43">
                  <c:v>0.39316161045805864</c:v>
                </c:pt>
                <c:pt idx="44">
                  <c:v>8.5565346703504686E-2</c:v>
                </c:pt>
                <c:pt idx="45">
                  <c:v>1.4532723905227676</c:v>
                </c:pt>
                <c:pt idx="46">
                  <c:v>7.6885526392404238</c:v>
                </c:pt>
                <c:pt idx="47">
                  <c:v>5.2433343364388172</c:v>
                </c:pt>
                <c:pt idx="48">
                  <c:v>4.3187381119423094</c:v>
                </c:pt>
                <c:pt idx="49">
                  <c:v>1.9653487147601458</c:v>
                </c:pt>
                <c:pt idx="50">
                  <c:v>2.5176322524999777</c:v>
                </c:pt>
                <c:pt idx="51">
                  <c:v>1.3056151544988035</c:v>
                </c:pt>
                <c:pt idx="52">
                  <c:v>3.1502917299438424</c:v>
                </c:pt>
                <c:pt idx="53">
                  <c:v>1.7734042415576186</c:v>
                </c:pt>
                <c:pt idx="54">
                  <c:v>1.5995314175159296</c:v>
                </c:pt>
                <c:pt idx="55">
                  <c:v>2.0853622651894259</c:v>
                </c:pt>
                <c:pt idx="56">
                  <c:v>0.76236778719753273</c:v>
                </c:pt>
                <c:pt idx="57">
                  <c:v>6.0101301412436303E-3</c:v>
                </c:pt>
                <c:pt idx="58">
                  <c:v>0.47127300746090128</c:v>
                </c:pt>
                <c:pt idx="59">
                  <c:v>-0.10173774130667401</c:v>
                </c:pt>
                <c:pt idx="60">
                  <c:v>-6.3306291500310419E-2</c:v>
                </c:pt>
                <c:pt idx="61">
                  <c:v>-0.30623246029240037</c:v>
                </c:pt>
                <c:pt idx="62">
                  <c:v>-0.11893516315306474</c:v>
                </c:pt>
                <c:pt idx="63">
                  <c:v>-0.41893917241845768</c:v>
                </c:pt>
                <c:pt idx="64">
                  <c:v>-0.40403737718861799</c:v>
                </c:pt>
                <c:pt idx="65">
                  <c:v>-0.13666509281545569</c:v>
                </c:pt>
                <c:pt idx="66">
                  <c:v>-0.30815301674742801</c:v>
                </c:pt>
                <c:pt idx="67">
                  <c:v>-0.25608657938846324</c:v>
                </c:pt>
                <c:pt idx="68">
                  <c:v>-0.22024440397855416</c:v>
                </c:pt>
                <c:pt idx="69">
                  <c:v>-3.9121266738095795E-2</c:v>
                </c:pt>
                <c:pt idx="70">
                  <c:v>8.20132403531173E-2</c:v>
                </c:pt>
                <c:pt idx="71">
                  <c:v>0.67019770510625465</c:v>
                </c:pt>
                <c:pt idx="72">
                  <c:v>1.8812830704796335E-2</c:v>
                </c:pt>
                <c:pt idx="73">
                  <c:v>0.54402402781550263</c:v>
                </c:pt>
                <c:pt idx="74">
                  <c:v>3.8204661455419231E-2</c:v>
                </c:pt>
                <c:pt idx="75">
                  <c:v>0.11390452469008761</c:v>
                </c:pt>
                <c:pt idx="76">
                  <c:v>0.28024802870151233</c:v>
                </c:pt>
                <c:pt idx="77">
                  <c:v>0.5488503108866869</c:v>
                </c:pt>
                <c:pt idx="78">
                  <c:v>-0.49701004257087134</c:v>
                </c:pt>
                <c:pt idx="79">
                  <c:v>-0.84383135408175802</c:v>
                </c:pt>
                <c:pt idx="80">
                  <c:v>-0.7801321606695355</c:v>
                </c:pt>
                <c:pt idx="81">
                  <c:v>-0.81699723860714679</c:v>
                </c:pt>
                <c:pt idx="82">
                  <c:v>-0.80717129333372073</c:v>
                </c:pt>
                <c:pt idx="83">
                  <c:v>-0.65830095931050669</c:v>
                </c:pt>
                <c:pt idx="84">
                  <c:v>-0.679435802225693</c:v>
                </c:pt>
                <c:pt idx="85">
                  <c:v>-0.78201366896597779</c:v>
                </c:pt>
                <c:pt idx="86">
                  <c:v>-0.64164053054473014</c:v>
                </c:pt>
                <c:pt idx="87">
                  <c:v>-0.65273159344659715</c:v>
                </c:pt>
                <c:pt idx="88">
                  <c:v>-0.21547619660518169</c:v>
                </c:pt>
                <c:pt idx="89">
                  <c:v>-0.35611935892411783</c:v>
                </c:pt>
                <c:pt idx="90">
                  <c:v>-6.5591698026775669E-2</c:v>
                </c:pt>
                <c:pt idx="91">
                  <c:v>0.13934860987710396</c:v>
                </c:pt>
                <c:pt idx="92">
                  <c:v>0.37215247423179965</c:v>
                </c:pt>
                <c:pt idx="93">
                  <c:v>0.49593736236664587</c:v>
                </c:pt>
                <c:pt idx="94">
                  <c:v>1.4002958349705863</c:v>
                </c:pt>
                <c:pt idx="95">
                  <c:v>4.9795680903292308</c:v>
                </c:pt>
                <c:pt idx="96">
                  <c:v>2.20880300886432</c:v>
                </c:pt>
                <c:pt idx="97">
                  <c:v>1.4326830560693149</c:v>
                </c:pt>
                <c:pt idx="98">
                  <c:v>0.86201791905522107</c:v>
                </c:pt>
                <c:pt idx="99">
                  <c:v>1.7766712220423231</c:v>
                </c:pt>
                <c:pt idx="100">
                  <c:v>0.70752571352825777</c:v>
                </c:pt>
                <c:pt idx="101">
                  <c:v>0.91240828527559326</c:v>
                </c:pt>
                <c:pt idx="102">
                  <c:v>0.87849620643629911</c:v>
                </c:pt>
                <c:pt idx="103">
                  <c:v>1.1333216694957104</c:v>
                </c:pt>
                <c:pt idx="104">
                  <c:v>0.49062504670758433</c:v>
                </c:pt>
                <c:pt idx="105">
                  <c:v>0.39600004314319781</c:v>
                </c:pt>
                <c:pt idx="106">
                  <c:v>-0.3191705703399963</c:v>
                </c:pt>
                <c:pt idx="107">
                  <c:v>-0.1763920414164285</c:v>
                </c:pt>
                <c:pt idx="108">
                  <c:v>-0.24201823972973979</c:v>
                </c:pt>
                <c:pt idx="109">
                  <c:v>-0.4018516843597536</c:v>
                </c:pt>
                <c:pt idx="110">
                  <c:v>-0.11224790306202737</c:v>
                </c:pt>
                <c:pt idx="111">
                  <c:v>0.12934174973177459</c:v>
                </c:pt>
                <c:pt idx="112">
                  <c:v>1.4835116089948772</c:v>
                </c:pt>
                <c:pt idx="113">
                  <c:v>1.3278499230249046</c:v>
                </c:pt>
                <c:pt idx="114">
                  <c:v>1.6733787220462255</c:v>
                </c:pt>
                <c:pt idx="115">
                  <c:v>0.97128082693035833</c:v>
                </c:pt>
                <c:pt idx="116">
                  <c:v>1.2704630165020521</c:v>
                </c:pt>
                <c:pt idx="117">
                  <c:v>0.88625853390542453</c:v>
                </c:pt>
                <c:pt idx="118">
                  <c:v>0.5237869407433402</c:v>
                </c:pt>
                <c:pt idx="119">
                  <c:v>0.45134990243997342</c:v>
                </c:pt>
                <c:pt idx="120">
                  <c:v>0.99544426926316287</c:v>
                </c:pt>
                <c:pt idx="121">
                  <c:v>0.72544259181199533</c:v>
                </c:pt>
                <c:pt idx="122">
                  <c:v>-0.16196321152015436</c:v>
                </c:pt>
                <c:pt idx="123">
                  <c:v>1.0332097786444892</c:v>
                </c:pt>
                <c:pt idx="124">
                  <c:v>-0.48444718288172062</c:v>
                </c:pt>
                <c:pt idx="125">
                  <c:v>-0.79255112524639826</c:v>
                </c:pt>
                <c:pt idx="126">
                  <c:v>-0.65924541687889882</c:v>
                </c:pt>
                <c:pt idx="127">
                  <c:v>-0.73893172294912168</c:v>
                </c:pt>
                <c:pt idx="128">
                  <c:v>-0.75666307838094671</c:v>
                </c:pt>
                <c:pt idx="129">
                  <c:v>-0.69813895671507542</c:v>
                </c:pt>
                <c:pt idx="130">
                  <c:v>-0.61169202799861566</c:v>
                </c:pt>
                <c:pt idx="131">
                  <c:v>-0.34879445608504445</c:v>
                </c:pt>
                <c:pt idx="132">
                  <c:v>-0.22708337314075389</c:v>
                </c:pt>
                <c:pt idx="133">
                  <c:v>5.2918857804157726E-2</c:v>
                </c:pt>
                <c:pt idx="134">
                  <c:v>0.30791558212915682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1D-4A48-BA2B-B5B85265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6421375"/>
        <c:axId val="1086410559"/>
      </c:barChart>
      <c:lineChart>
        <c:grouping val="standard"/>
        <c:varyColors val="0"/>
        <c:ser>
          <c:idx val="0"/>
          <c:order val="1"/>
          <c:tx>
            <c:v>S2F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price'!$C$50:$HJ$50</c:f>
              <c:numCache>
                <c:formatCode>mmm\ yyyy</c:formatCode>
                <c:ptCount val="216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45688</c:v>
                </c:pt>
                <c:pt idx="181">
                  <c:v>45716</c:v>
                </c:pt>
                <c:pt idx="182">
                  <c:v>45747</c:v>
                </c:pt>
                <c:pt idx="183">
                  <c:v>45777</c:v>
                </c:pt>
                <c:pt idx="184">
                  <c:v>45808</c:v>
                </c:pt>
                <c:pt idx="185">
                  <c:v>45838</c:v>
                </c:pt>
                <c:pt idx="186">
                  <c:v>45869</c:v>
                </c:pt>
                <c:pt idx="187">
                  <c:v>45900</c:v>
                </c:pt>
                <c:pt idx="188">
                  <c:v>45930</c:v>
                </c:pt>
                <c:pt idx="189">
                  <c:v>45961</c:v>
                </c:pt>
                <c:pt idx="190">
                  <c:v>45991</c:v>
                </c:pt>
                <c:pt idx="191">
                  <c:v>46022</c:v>
                </c:pt>
                <c:pt idx="192">
                  <c:v>46053</c:v>
                </c:pt>
                <c:pt idx="193">
                  <c:v>46081</c:v>
                </c:pt>
                <c:pt idx="194">
                  <c:v>46112</c:v>
                </c:pt>
                <c:pt idx="195">
                  <c:v>46142</c:v>
                </c:pt>
                <c:pt idx="196">
                  <c:v>46173</c:v>
                </c:pt>
                <c:pt idx="197">
                  <c:v>46203</c:v>
                </c:pt>
                <c:pt idx="198">
                  <c:v>46234</c:v>
                </c:pt>
                <c:pt idx="199">
                  <c:v>46265</c:v>
                </c:pt>
                <c:pt idx="200">
                  <c:v>46295</c:v>
                </c:pt>
                <c:pt idx="201">
                  <c:v>46326</c:v>
                </c:pt>
                <c:pt idx="202">
                  <c:v>46356</c:v>
                </c:pt>
                <c:pt idx="203">
                  <c:v>46387</c:v>
                </c:pt>
                <c:pt idx="204">
                  <c:v>46418</c:v>
                </c:pt>
                <c:pt idx="205">
                  <c:v>46446</c:v>
                </c:pt>
                <c:pt idx="206">
                  <c:v>46477</c:v>
                </c:pt>
                <c:pt idx="207">
                  <c:v>46507</c:v>
                </c:pt>
                <c:pt idx="208">
                  <c:v>46538</c:v>
                </c:pt>
                <c:pt idx="209">
                  <c:v>46568</c:v>
                </c:pt>
                <c:pt idx="210">
                  <c:v>46599</c:v>
                </c:pt>
                <c:pt idx="211">
                  <c:v>46630</c:v>
                </c:pt>
                <c:pt idx="212">
                  <c:v>46660</c:v>
                </c:pt>
                <c:pt idx="213">
                  <c:v>46691</c:v>
                </c:pt>
                <c:pt idx="214">
                  <c:v>46721</c:v>
                </c:pt>
                <c:pt idx="215">
                  <c:v>46752</c:v>
                </c:pt>
              </c:numCache>
            </c:numRef>
          </c:cat>
          <c:val>
            <c:numRef>
              <c:f>'Bitcoin price'!$C$59:$HJ$59</c:f>
              <c:numCache>
                <c:formatCode>#,##0</c:formatCode>
                <c:ptCount val="216"/>
                <c:pt idx="0">
                  <c:v>3.6321305778191398E-2</c:v>
                </c:pt>
                <c:pt idx="1">
                  <c:v>6.149350757163978E-2</c:v>
                </c:pt>
                <c:pt idx="2">
                  <c:v>0.11342696620058393</c:v>
                </c:pt>
                <c:pt idx="3">
                  <c:v>0.17945305277128543</c:v>
                </c:pt>
                <c:pt idx="4">
                  <c:v>0.34736849244579021</c:v>
                </c:pt>
                <c:pt idx="5">
                  <c:v>0.46863839463632789</c:v>
                </c:pt>
                <c:pt idx="6">
                  <c:v>0.16942861040141649</c:v>
                </c:pt>
                <c:pt idx="7">
                  <c:v>0.42561730226757605</c:v>
                </c:pt>
                <c:pt idx="8">
                  <c:v>0.69584893793353042</c:v>
                </c:pt>
                <c:pt idx="9">
                  <c:v>0.84540351475173847</c:v>
                </c:pt>
                <c:pt idx="10">
                  <c:v>1.0212620532947045</c:v>
                </c:pt>
                <c:pt idx="11">
                  <c:v>1.5401188637520256</c:v>
                </c:pt>
                <c:pt idx="12">
                  <c:v>1.827514300928494</c:v>
                </c:pt>
                <c:pt idx="13">
                  <c:v>1.6542003107699967</c:v>
                </c:pt>
                <c:pt idx="14">
                  <c:v>4.3208955964776097</c:v>
                </c:pt>
                <c:pt idx="15">
                  <c:v>2.6793156173389794</c:v>
                </c:pt>
                <c:pt idx="16">
                  <c:v>1.5238555777841676</c:v>
                </c:pt>
                <c:pt idx="17">
                  <c:v>2.1807333319345767</c:v>
                </c:pt>
                <c:pt idx="18">
                  <c:v>5.2223568783612526</c:v>
                </c:pt>
                <c:pt idx="19">
                  <c:v>7.2122419562704794</c:v>
                </c:pt>
                <c:pt idx="20">
                  <c:v>10.757101914110047</c:v>
                </c:pt>
                <c:pt idx="21">
                  <c:v>11.71419991396853</c:v>
                </c:pt>
                <c:pt idx="22">
                  <c:v>12.062149467038649</c:v>
                </c:pt>
                <c:pt idx="23">
                  <c:v>8.3610862985641514</c:v>
                </c:pt>
                <c:pt idx="24">
                  <c:v>8.9730558912826375</c:v>
                </c:pt>
                <c:pt idx="25">
                  <c:v>14.52009569184886</c:v>
                </c:pt>
                <c:pt idx="26">
                  <c:v>10.251954660894288</c:v>
                </c:pt>
                <c:pt idx="27">
                  <c:v>14.909709242755831</c:v>
                </c:pt>
                <c:pt idx="28">
                  <c:v>12.332208262139696</c:v>
                </c:pt>
                <c:pt idx="29">
                  <c:v>17.081204217757431</c:v>
                </c:pt>
                <c:pt idx="30">
                  <c:v>12.876623523120552</c:v>
                </c:pt>
                <c:pt idx="31">
                  <c:v>9.6795123384140815</c:v>
                </c:pt>
                <c:pt idx="32">
                  <c:v>18.050007599232405</c:v>
                </c:pt>
                <c:pt idx="33">
                  <c:v>13.158394356214714</c:v>
                </c:pt>
                <c:pt idx="34">
                  <c:v>21.217437497132124</c:v>
                </c:pt>
                <c:pt idx="35">
                  <c:v>280.26953985052893</c:v>
                </c:pt>
                <c:pt idx="36">
                  <c:v>156.90492358702585</c:v>
                </c:pt>
                <c:pt idx="37">
                  <c:v>161.18247355404415</c:v>
                </c:pt>
                <c:pt idx="38">
                  <c:v>100.1676415131561</c:v>
                </c:pt>
                <c:pt idx="39">
                  <c:v>138.24287077362493</c:v>
                </c:pt>
                <c:pt idx="40">
                  <c:v>143.07858009366632</c:v>
                </c:pt>
                <c:pt idx="41">
                  <c:v>111.52779410963734</c:v>
                </c:pt>
                <c:pt idx="42">
                  <c:v>113.69447784104183</c:v>
                </c:pt>
                <c:pt idx="43">
                  <c:v>89.609130098663698</c:v>
                </c:pt>
                <c:pt idx="44">
                  <c:v>116.99894473021499</c:v>
                </c:pt>
                <c:pt idx="45">
                  <c:v>88.045665387353338</c:v>
                </c:pt>
                <c:pt idx="46">
                  <c:v>116.71679301567255</c:v>
                </c:pt>
                <c:pt idx="47">
                  <c:v>114.52213856735955</c:v>
                </c:pt>
                <c:pt idx="48">
                  <c:v>150.41161703444993</c:v>
                </c:pt>
                <c:pt idx="49">
                  <c:v>197.3494709364511</c:v>
                </c:pt>
                <c:pt idx="50">
                  <c:v>142.02735366806317</c:v>
                </c:pt>
                <c:pt idx="51">
                  <c:v>190.31797181927647</c:v>
                </c:pt>
                <c:pt idx="52">
                  <c:v>149.70031998411031</c:v>
                </c:pt>
                <c:pt idx="53">
                  <c:v>216.33701680034551</c:v>
                </c:pt>
                <c:pt idx="54">
                  <c:v>225.23290007377344</c:v>
                </c:pt>
                <c:pt idx="55">
                  <c:v>164.19789848207554</c:v>
                </c:pt>
                <c:pt idx="56">
                  <c:v>227.18867361771791</c:v>
                </c:pt>
                <c:pt idx="57">
                  <c:v>343.23710035754806</c:v>
                </c:pt>
                <c:pt idx="58">
                  <c:v>255.28232904115259</c:v>
                </c:pt>
                <c:pt idx="59">
                  <c:v>348.89587864449874</c:v>
                </c:pt>
                <c:pt idx="60">
                  <c:v>252.1635384722756</c:v>
                </c:pt>
                <c:pt idx="61">
                  <c:v>363.39261434205491</c:v>
                </c:pt>
                <c:pt idx="62">
                  <c:v>275.05353733927416</c:v>
                </c:pt>
                <c:pt idx="63">
                  <c:v>387.5669969653855</c:v>
                </c:pt>
                <c:pt idx="64">
                  <c:v>396.73629007910381</c:v>
                </c:pt>
                <c:pt idx="65">
                  <c:v>290.97630352887143</c:v>
                </c:pt>
                <c:pt idx="66">
                  <c:v>416.92745214254376</c:v>
                </c:pt>
                <c:pt idx="67">
                  <c:v>308.6783940679976</c:v>
                </c:pt>
                <c:pt idx="68">
                  <c:v>306.68584005060842</c:v>
                </c:pt>
                <c:pt idx="69">
                  <c:v>317.19923591744663</c:v>
                </c:pt>
                <c:pt idx="70">
                  <c:v>330.86471278592296</c:v>
                </c:pt>
                <c:pt idx="71">
                  <c:v>256.3947960716165</c:v>
                </c:pt>
                <c:pt idx="72">
                  <c:v>371.19673859857249</c:v>
                </c:pt>
                <c:pt idx="73">
                  <c:v>279.7171496165389</c:v>
                </c:pt>
                <c:pt idx="74">
                  <c:v>400.5279647050167</c:v>
                </c:pt>
                <c:pt idx="75">
                  <c:v>403.96639929727746</c:v>
                </c:pt>
                <c:pt idx="76">
                  <c:v>411.35779020424894</c:v>
                </c:pt>
                <c:pt idx="77">
                  <c:v>420.86055406272828</c:v>
                </c:pt>
                <c:pt idx="78">
                  <c:v>1301.5766822586004</c:v>
                </c:pt>
                <c:pt idx="79">
                  <c:v>3659.5053804794716</c:v>
                </c:pt>
                <c:pt idx="80">
                  <c:v>2746.4225865812282</c:v>
                </c:pt>
                <c:pt idx="81">
                  <c:v>3748.0855194723126</c:v>
                </c:pt>
                <c:pt idx="82">
                  <c:v>3771.7931763071238</c:v>
                </c:pt>
                <c:pt idx="83">
                  <c:v>2803.9879715982488</c:v>
                </c:pt>
                <c:pt idx="84">
                  <c:v>2845.5766624388502</c:v>
                </c:pt>
                <c:pt idx="85">
                  <c:v>5277.2574984091834</c:v>
                </c:pt>
                <c:pt idx="86">
                  <c:v>2887.4359077852005</c:v>
                </c:pt>
                <c:pt idx="87">
                  <c:v>3838.5294338458957</c:v>
                </c:pt>
                <c:pt idx="88">
                  <c:v>2918.9936495113939</c:v>
                </c:pt>
                <c:pt idx="89">
                  <c:v>3973.2519302416817</c:v>
                </c:pt>
                <c:pt idx="90">
                  <c:v>2980.2817399195146</c:v>
                </c:pt>
                <c:pt idx="91">
                  <c:v>4022.0525660660569</c:v>
                </c:pt>
                <c:pt idx="92">
                  <c:v>3034.844944860351</c:v>
                </c:pt>
                <c:pt idx="93">
                  <c:v>4102.1035735692658</c:v>
                </c:pt>
                <c:pt idx="94">
                  <c:v>4132.407287254885</c:v>
                </c:pt>
                <c:pt idx="95">
                  <c:v>2377.0964366119269</c:v>
                </c:pt>
                <c:pt idx="96">
                  <c:v>3142.1436504974076</c:v>
                </c:pt>
                <c:pt idx="97">
                  <c:v>4242.0075949696447</c:v>
                </c:pt>
                <c:pt idx="98">
                  <c:v>4269.8890910964492</c:v>
                </c:pt>
                <c:pt idx="99">
                  <c:v>3215.5589502716816</c:v>
                </c:pt>
                <c:pt idx="100">
                  <c:v>4325.9787782269068</c:v>
                </c:pt>
                <c:pt idx="101">
                  <c:v>3254.1586688969901</c:v>
                </c:pt>
                <c:pt idx="102">
                  <c:v>4376.3250475740451</c:v>
                </c:pt>
                <c:pt idx="103">
                  <c:v>3317.9197029734351</c:v>
                </c:pt>
                <c:pt idx="104">
                  <c:v>4485.4204045261877</c:v>
                </c:pt>
                <c:pt idx="105">
                  <c:v>4514.0471384309249</c:v>
                </c:pt>
                <c:pt idx="106">
                  <c:v>6284.6431332099664</c:v>
                </c:pt>
                <c:pt idx="107">
                  <c:v>4577.8576575245925</c:v>
                </c:pt>
                <c:pt idx="108">
                  <c:v>4549.6873153918641</c:v>
                </c:pt>
                <c:pt idx="109">
                  <c:v>6408.494180740081</c:v>
                </c:pt>
                <c:pt idx="110">
                  <c:v>4635.9225894203146</c:v>
                </c:pt>
                <c:pt idx="111">
                  <c:v>4694.1415220495373</c:v>
                </c:pt>
                <c:pt idx="112">
                  <c:v>3511.1090153224991</c:v>
                </c:pt>
                <c:pt idx="113">
                  <c:v>4782.4603682068619</c:v>
                </c:pt>
                <c:pt idx="114">
                  <c:v>3586.8954596378335</c:v>
                </c:pt>
                <c:pt idx="115">
                  <c:v>4811.3642005888951</c:v>
                </c:pt>
                <c:pt idx="116">
                  <c:v>3622.6091066974072</c:v>
                </c:pt>
                <c:pt idx="117">
                  <c:v>4887.3258009404035</c:v>
                </c:pt>
                <c:pt idx="118">
                  <c:v>4937.5866132109604</c:v>
                </c:pt>
                <c:pt idx="119">
                  <c:v>4974.4034762827268</c:v>
                </c:pt>
                <c:pt idx="120">
                  <c:v>4650.498208815754</c:v>
                </c:pt>
                <c:pt idx="121">
                  <c:v>5049.3421463826371</c:v>
                </c:pt>
                <c:pt idx="122">
                  <c:v>7022.8539855342415</c:v>
                </c:pt>
                <c:pt idx="123">
                  <c:v>3819.2468291083223</c:v>
                </c:pt>
                <c:pt idx="124">
                  <c:v>18561.066261819316</c:v>
                </c:pt>
                <c:pt idx="125">
                  <c:v>43404.573829069021</c:v>
                </c:pt>
                <c:pt idx="126">
                  <c:v>32618.578151448815</c:v>
                </c:pt>
                <c:pt idx="127">
                  <c:v>43979.452922050739</c:v>
                </c:pt>
                <c:pt idx="128">
                  <c:v>43940.43422945476</c:v>
                </c:pt>
                <c:pt idx="129">
                  <c:v>44023.567451387236</c:v>
                </c:pt>
                <c:pt idx="130">
                  <c:v>44137.311710764719</c:v>
                </c:pt>
                <c:pt idx="131">
                  <c:v>44312.568081835212</c:v>
                </c:pt>
                <c:pt idx="132">
                  <c:v>44395.810372764674</c:v>
                </c:pt>
                <c:pt idx="133">
                  <c:v>44448.268404653121</c:v>
                </c:pt>
                <c:pt idx="134">
                  <c:v>44903.609072684318</c:v>
                </c:pt>
                <c:pt idx="135">
                  <c:v>37625.219740887318</c:v>
                </c:pt>
                <c:pt idx="136">
                  <c:v>34137.981837089363</c:v>
                </c:pt>
                <c:pt idx="137">
                  <c:v>37888.707855090885</c:v>
                </c:pt>
                <c:pt idx="138">
                  <c:v>34376.658079783709</c:v>
                </c:pt>
                <c:pt idx="139">
                  <c:v>34498.281907460463</c:v>
                </c:pt>
                <c:pt idx="140">
                  <c:v>38287.897281423429</c:v>
                </c:pt>
                <c:pt idx="141">
                  <c:v>34738.254403137827</c:v>
                </c:pt>
                <c:pt idx="142">
                  <c:v>38553.769383341831</c:v>
                </c:pt>
                <c:pt idx="143">
                  <c:v>34979.08662152099</c:v>
                </c:pt>
                <c:pt idx="144">
                  <c:v>35101.806300913799</c:v>
                </c:pt>
                <c:pt idx="145">
                  <c:v>48149.935717443121</c:v>
                </c:pt>
                <c:pt idx="146">
                  <c:v>35335.983224991891</c:v>
                </c:pt>
                <c:pt idx="147">
                  <c:v>39216.002445706428</c:v>
                </c:pt>
                <c:pt idx="148">
                  <c:v>35578.944464607506</c:v>
                </c:pt>
                <c:pt idx="149">
                  <c:v>39485.180141588724</c:v>
                </c:pt>
                <c:pt idx="150">
                  <c:v>35822.766116286359</c:v>
                </c:pt>
                <c:pt idx="151">
                  <c:v>35947.005279379526</c:v>
                </c:pt>
                <c:pt idx="152">
                  <c:v>39892.953063343804</c:v>
                </c:pt>
                <c:pt idx="153">
                  <c:v>36192.124974104983</c:v>
                </c:pt>
                <c:pt idx="154">
                  <c:v>40164.518038948663</c:v>
                </c:pt>
                <c:pt idx="155">
                  <c:v>36438.105573837092</c:v>
                </c:pt>
                <c:pt idx="156">
                  <c:v>36563.44209568073</c:v>
                </c:pt>
                <c:pt idx="157">
                  <c:v>50151.315176677555</c:v>
                </c:pt>
                <c:pt idx="158">
                  <c:v>36802.6003011391</c:v>
                </c:pt>
                <c:pt idx="159">
                  <c:v>40840.84890363225</c:v>
                </c:pt>
                <c:pt idx="160">
                  <c:v>37050.712833209851</c:v>
                </c:pt>
                <c:pt idx="161">
                  <c:v>41115.723992869782</c:v>
                </c:pt>
                <c:pt idx="162">
                  <c:v>37299.686947121605</c:v>
                </c:pt>
                <c:pt idx="163">
                  <c:v>37426.54502178332</c:v>
                </c:pt>
                <c:pt idx="164">
                  <c:v>41532.092146325733</c:v>
                </c:pt>
                <c:pt idx="165">
                  <c:v>37676.818936284144</c:v>
                </c:pt>
                <c:pt idx="166">
                  <c:v>41809.35774748843</c:v>
                </c:pt>
                <c:pt idx="167">
                  <c:v>37927.954916701216</c:v>
                </c:pt>
                <c:pt idx="168">
                  <c:v>38055.911829880097</c:v>
                </c:pt>
                <c:pt idx="169">
                  <c:v>46862.765161307165</c:v>
                </c:pt>
                <c:pt idx="170">
                  <c:v>321786.44881337677</c:v>
                </c:pt>
                <c:pt idx="171">
                  <c:v>356464.2879667416</c:v>
                </c:pt>
                <c:pt idx="172">
                  <c:v>322849.02748668264</c:v>
                </c:pt>
                <c:pt idx="173">
                  <c:v>357640.40856131015</c:v>
                </c:pt>
                <c:pt idx="174">
                  <c:v>323913.41646063747</c:v>
                </c:pt>
                <c:pt idx="175">
                  <c:v>324455.02927349566</c:v>
                </c:pt>
                <c:pt idx="176">
                  <c:v>359418.01667172997</c:v>
                </c:pt>
                <c:pt idx="177">
                  <c:v>325522.14891463966</c:v>
                </c:pt>
                <c:pt idx="178">
                  <c:v>360599.15932975727</c:v>
                </c:pt>
                <c:pt idx="179">
                  <c:v>326591.07935683866</c:v>
                </c:pt>
                <c:pt idx="180">
                  <c:v>327135.00032050331</c:v>
                </c:pt>
                <c:pt idx="181">
                  <c:v>447878.15423941507</c:v>
                </c:pt>
                <c:pt idx="182">
                  <c:v>328171.49700989341</c:v>
                </c:pt>
                <c:pt idx="183">
                  <c:v>363531.58639891644</c:v>
                </c:pt>
                <c:pt idx="184">
                  <c:v>329244.91078219243</c:v>
                </c:pt>
                <c:pt idx="185">
                  <c:v>364719.69002181303</c:v>
                </c:pt>
                <c:pt idx="186">
                  <c:v>330320.13604587124</c:v>
                </c:pt>
                <c:pt idx="187">
                  <c:v>330867.25628139917</c:v>
                </c:pt>
                <c:pt idx="188">
                  <c:v>366515.37338439922</c:v>
                </c:pt>
                <c:pt idx="189">
                  <c:v>331945.21400480589</c:v>
                </c:pt>
                <c:pt idx="190">
                  <c:v>367708.50236739503</c:v>
                </c:pt>
                <c:pt idx="191">
                  <c:v>333024.98371560971</c:v>
                </c:pt>
                <c:pt idx="192">
                  <c:v>333574.41361412482</c:v>
                </c:pt>
                <c:pt idx="193">
                  <c:v>456686.85991010553</c:v>
                </c:pt>
                <c:pt idx="194">
                  <c:v>334621.39589490654</c:v>
                </c:pt>
                <c:pt idx="195">
                  <c:v>370670.60613835661</c:v>
                </c:pt>
                <c:pt idx="196">
                  <c:v>335705.65186502034</c:v>
                </c:pt>
                <c:pt idx="197">
                  <c:v>371870.70063409966</c:v>
                </c:pt>
                <c:pt idx="198">
                  <c:v>336791.7205068341</c:v>
                </c:pt>
                <c:pt idx="199">
                  <c:v>337344.35176336067</c:v>
                </c:pt>
                <c:pt idx="200">
                  <c:v>373684.47105819848</c:v>
                </c:pt>
                <c:pt idx="201">
                  <c:v>338433.15464179969</c:v>
                </c:pt>
                <c:pt idx="202">
                  <c:v>374889.59418191772</c:v>
                </c:pt>
                <c:pt idx="203">
                  <c:v>339523.77068364929</c:v>
                </c:pt>
                <c:pt idx="204">
                  <c:v>340078.71310217521</c:v>
                </c:pt>
                <c:pt idx="205">
                  <c:v>465584.25145276013</c:v>
                </c:pt>
                <c:pt idx="206">
                  <c:v>341136.1877903805</c:v>
                </c:pt>
                <c:pt idx="207">
                  <c:v>377881.39395288663</c:v>
                </c:pt>
                <c:pt idx="208">
                  <c:v>342231.29299531429</c:v>
                </c:pt>
                <c:pt idx="209">
                  <c:v>379093.48709773697</c:v>
                </c:pt>
                <c:pt idx="210">
                  <c:v>343328.21204204112</c:v>
                </c:pt>
                <c:pt idx="211">
                  <c:v>343886.35788664536</c:v>
                </c:pt>
                <c:pt idx="212">
                  <c:v>380925.35629013774</c:v>
                </c:pt>
                <c:pt idx="213">
                  <c:v>344986.01293153624</c:v>
                </c:pt>
                <c:pt idx="214">
                  <c:v>382142.48130258918</c:v>
                </c:pt>
                <c:pt idx="215">
                  <c:v>346087.48230570444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D-4A48-BA2B-B5B85265E33A}"/>
            </c:ext>
          </c:extLst>
        </c:ser>
        <c:ser>
          <c:idx val="1"/>
          <c:order val="2"/>
          <c:tx>
            <c:v>Bitcoin price</c:v>
          </c:tx>
          <c:spPr>
            <a:ln w="28575" cap="rnd">
              <a:solidFill>
                <a:srgbClr val="1440AA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price'!$C$50:$HJ$50</c:f>
              <c:numCache>
                <c:formatCode>mmm\ yyyy</c:formatCode>
                <c:ptCount val="216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45688</c:v>
                </c:pt>
                <c:pt idx="181">
                  <c:v>45716</c:v>
                </c:pt>
                <c:pt idx="182">
                  <c:v>45747</c:v>
                </c:pt>
                <c:pt idx="183">
                  <c:v>45777</c:v>
                </c:pt>
                <c:pt idx="184">
                  <c:v>45808</c:v>
                </c:pt>
                <c:pt idx="185">
                  <c:v>45838</c:v>
                </c:pt>
                <c:pt idx="186">
                  <c:v>45869</c:v>
                </c:pt>
                <c:pt idx="187">
                  <c:v>45900</c:v>
                </c:pt>
                <c:pt idx="188">
                  <c:v>45930</c:v>
                </c:pt>
                <c:pt idx="189">
                  <c:v>45961</c:v>
                </c:pt>
                <c:pt idx="190">
                  <c:v>45991</c:v>
                </c:pt>
                <c:pt idx="191">
                  <c:v>46022</c:v>
                </c:pt>
                <c:pt idx="192">
                  <c:v>46053</c:v>
                </c:pt>
                <c:pt idx="193">
                  <c:v>46081</c:v>
                </c:pt>
                <c:pt idx="194">
                  <c:v>46112</c:v>
                </c:pt>
                <c:pt idx="195">
                  <c:v>46142</c:v>
                </c:pt>
                <c:pt idx="196">
                  <c:v>46173</c:v>
                </c:pt>
                <c:pt idx="197">
                  <c:v>46203</c:v>
                </c:pt>
                <c:pt idx="198">
                  <c:v>46234</c:v>
                </c:pt>
                <c:pt idx="199">
                  <c:v>46265</c:v>
                </c:pt>
                <c:pt idx="200">
                  <c:v>46295</c:v>
                </c:pt>
                <c:pt idx="201">
                  <c:v>46326</c:v>
                </c:pt>
                <c:pt idx="202">
                  <c:v>46356</c:v>
                </c:pt>
                <c:pt idx="203">
                  <c:v>46387</c:v>
                </c:pt>
                <c:pt idx="204">
                  <c:v>46418</c:v>
                </c:pt>
                <c:pt idx="205">
                  <c:v>46446</c:v>
                </c:pt>
                <c:pt idx="206">
                  <c:v>46477</c:v>
                </c:pt>
                <c:pt idx="207">
                  <c:v>46507</c:v>
                </c:pt>
                <c:pt idx="208">
                  <c:v>46538</c:v>
                </c:pt>
                <c:pt idx="209">
                  <c:v>46568</c:v>
                </c:pt>
                <c:pt idx="210">
                  <c:v>46599</c:v>
                </c:pt>
                <c:pt idx="211">
                  <c:v>46630</c:v>
                </c:pt>
                <c:pt idx="212">
                  <c:v>46660</c:v>
                </c:pt>
                <c:pt idx="213">
                  <c:v>46691</c:v>
                </c:pt>
                <c:pt idx="214">
                  <c:v>46721</c:v>
                </c:pt>
                <c:pt idx="215">
                  <c:v>46752</c:v>
                </c:pt>
              </c:numCache>
            </c:numRef>
          </c:cat>
          <c:val>
            <c:numRef>
              <c:f>'Bitcoin price'!$C$60:$HJ$60</c:f>
              <c:numCache>
                <c:formatCode>#,##0</c:formatCode>
                <c:ptCount val="2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0.06</c:v>
                </c:pt>
                <c:pt idx="8">
                  <c:v>0.06</c:v>
                </c:pt>
                <c:pt idx="9">
                  <c:v>0.19</c:v>
                </c:pt>
                <c:pt idx="10">
                  <c:v>0.28000000000000003</c:v>
                </c:pt>
                <c:pt idx="11">
                  <c:v>0.3</c:v>
                </c:pt>
                <c:pt idx="12">
                  <c:v>0.45</c:v>
                </c:pt>
                <c:pt idx="13">
                  <c:v>0.96</c:v>
                </c:pt>
                <c:pt idx="14">
                  <c:v>0.8</c:v>
                </c:pt>
                <c:pt idx="15">
                  <c:v>2.66</c:v>
                </c:pt>
                <c:pt idx="16">
                  <c:v>8.68</c:v>
                </c:pt>
                <c:pt idx="17">
                  <c:v>17.89</c:v>
                </c:pt>
                <c:pt idx="18">
                  <c:v>14.06</c:v>
                </c:pt>
                <c:pt idx="19">
                  <c:v>9.4</c:v>
                </c:pt>
                <c:pt idx="20">
                  <c:v>4.95</c:v>
                </c:pt>
                <c:pt idx="21">
                  <c:v>3.39</c:v>
                </c:pt>
                <c:pt idx="22">
                  <c:v>2.5099999999999998</c:v>
                </c:pt>
                <c:pt idx="23">
                  <c:v>4.47</c:v>
                </c:pt>
                <c:pt idx="24">
                  <c:v>5.72</c:v>
                </c:pt>
                <c:pt idx="25">
                  <c:v>4.9800000000000004</c:v>
                </c:pt>
                <c:pt idx="26">
                  <c:v>4.8499999999999996</c:v>
                </c:pt>
                <c:pt idx="27">
                  <c:v>5.09</c:v>
                </c:pt>
                <c:pt idx="28">
                  <c:v>5.16</c:v>
                </c:pt>
                <c:pt idx="29">
                  <c:v>6.58</c:v>
                </c:pt>
                <c:pt idx="30">
                  <c:v>9.2200000000000006</c:v>
                </c:pt>
                <c:pt idx="31">
                  <c:v>11.14</c:v>
                </c:pt>
                <c:pt idx="32">
                  <c:v>12.46</c:v>
                </c:pt>
                <c:pt idx="33">
                  <c:v>10.69</c:v>
                </c:pt>
                <c:pt idx="34">
                  <c:v>12.5</c:v>
                </c:pt>
                <c:pt idx="35">
                  <c:v>13.57</c:v>
                </c:pt>
                <c:pt idx="36">
                  <c:v>19.78</c:v>
                </c:pt>
                <c:pt idx="37">
                  <c:v>30.4</c:v>
                </c:pt>
                <c:pt idx="38">
                  <c:v>92.5</c:v>
                </c:pt>
                <c:pt idx="39">
                  <c:v>144.54</c:v>
                </c:pt>
                <c:pt idx="40">
                  <c:v>132.30000000000001</c:v>
                </c:pt>
                <c:pt idx="41">
                  <c:v>94.65</c:v>
                </c:pt>
                <c:pt idx="42">
                  <c:v>98.7</c:v>
                </c:pt>
                <c:pt idx="43">
                  <c:v>124.84</c:v>
                </c:pt>
                <c:pt idx="44">
                  <c:v>127.01</c:v>
                </c:pt>
                <c:pt idx="45">
                  <c:v>216</c:v>
                </c:pt>
                <c:pt idx="46">
                  <c:v>1014.1</c:v>
                </c:pt>
                <c:pt idx="47">
                  <c:v>715</c:v>
                </c:pt>
                <c:pt idx="48">
                  <c:v>800</c:v>
                </c:pt>
                <c:pt idx="49">
                  <c:v>585.21</c:v>
                </c:pt>
                <c:pt idx="50">
                  <c:v>499.6</c:v>
                </c:pt>
                <c:pt idx="51">
                  <c:v>438.8</c:v>
                </c:pt>
                <c:pt idx="52">
                  <c:v>621.29999999999995</c:v>
                </c:pt>
                <c:pt idx="53">
                  <c:v>599.99</c:v>
                </c:pt>
                <c:pt idx="54">
                  <c:v>585.5</c:v>
                </c:pt>
                <c:pt idx="55">
                  <c:v>506.61</c:v>
                </c:pt>
                <c:pt idx="56">
                  <c:v>400.39</c:v>
                </c:pt>
                <c:pt idx="57">
                  <c:v>345.3</c:v>
                </c:pt>
                <c:pt idx="58">
                  <c:v>375.59</c:v>
                </c:pt>
                <c:pt idx="59">
                  <c:v>313.39999999999998</c:v>
                </c:pt>
                <c:pt idx="60">
                  <c:v>236.2</c:v>
                </c:pt>
                <c:pt idx="61">
                  <c:v>252.11</c:v>
                </c:pt>
                <c:pt idx="62">
                  <c:v>242.34</c:v>
                </c:pt>
                <c:pt idx="63">
                  <c:v>225.2</c:v>
                </c:pt>
                <c:pt idx="64">
                  <c:v>236.44</c:v>
                </c:pt>
                <c:pt idx="65">
                  <c:v>251.21</c:v>
                </c:pt>
                <c:pt idx="66">
                  <c:v>288.45</c:v>
                </c:pt>
                <c:pt idx="67">
                  <c:v>229.63</c:v>
                </c:pt>
                <c:pt idx="68">
                  <c:v>239.14</c:v>
                </c:pt>
                <c:pt idx="69">
                  <c:v>304.79000000000002</c:v>
                </c:pt>
                <c:pt idx="70">
                  <c:v>358</c:v>
                </c:pt>
                <c:pt idx="71">
                  <c:v>428.23</c:v>
                </c:pt>
                <c:pt idx="72">
                  <c:v>378.18</c:v>
                </c:pt>
                <c:pt idx="73">
                  <c:v>431.89</c:v>
                </c:pt>
                <c:pt idx="74">
                  <c:v>415.83</c:v>
                </c:pt>
                <c:pt idx="75">
                  <c:v>449.98</c:v>
                </c:pt>
                <c:pt idx="76">
                  <c:v>526.64</c:v>
                </c:pt>
                <c:pt idx="77">
                  <c:v>651.85</c:v>
                </c:pt>
                <c:pt idx="78">
                  <c:v>654.67999999999995</c:v>
                </c:pt>
                <c:pt idx="79">
                  <c:v>571.5</c:v>
                </c:pt>
                <c:pt idx="80">
                  <c:v>603.85</c:v>
                </c:pt>
                <c:pt idx="81">
                  <c:v>685.91</c:v>
                </c:pt>
                <c:pt idx="82">
                  <c:v>727.31</c:v>
                </c:pt>
                <c:pt idx="83">
                  <c:v>958.12</c:v>
                </c:pt>
                <c:pt idx="84">
                  <c:v>912.19</c:v>
                </c:pt>
                <c:pt idx="85">
                  <c:v>1150.3699999999999</c:v>
                </c:pt>
                <c:pt idx="86">
                  <c:v>1034.74</c:v>
                </c:pt>
                <c:pt idx="87">
                  <c:v>1333</c:v>
                </c:pt>
                <c:pt idx="88">
                  <c:v>2290.02</c:v>
                </c:pt>
                <c:pt idx="89">
                  <c:v>2558.3000000000002</c:v>
                </c:pt>
                <c:pt idx="90">
                  <c:v>2784.8</c:v>
                </c:pt>
                <c:pt idx="91">
                  <c:v>4582.5200000000004</c:v>
                </c:pt>
                <c:pt idx="92">
                  <c:v>4164.2700000000004</c:v>
                </c:pt>
                <c:pt idx="93">
                  <c:v>6136.49</c:v>
                </c:pt>
                <c:pt idx="94">
                  <c:v>9919</c:v>
                </c:pt>
                <c:pt idx="95">
                  <c:v>14214.01</c:v>
                </c:pt>
                <c:pt idx="96">
                  <c:v>10082.52</c:v>
                </c:pt>
                <c:pt idx="97">
                  <c:v>10319.459999999999</c:v>
                </c:pt>
                <c:pt idx="98">
                  <c:v>7950.61</c:v>
                </c:pt>
                <c:pt idx="99">
                  <c:v>8928.5499999999993</c:v>
                </c:pt>
                <c:pt idx="100">
                  <c:v>7386.72</c:v>
                </c:pt>
                <c:pt idx="101">
                  <c:v>6223.28</c:v>
                </c:pt>
                <c:pt idx="102">
                  <c:v>8220.91</c:v>
                </c:pt>
                <c:pt idx="103">
                  <c:v>7078.19</c:v>
                </c:pt>
                <c:pt idx="104">
                  <c:v>6686.08</c:v>
                </c:pt>
                <c:pt idx="105">
                  <c:v>6301.61</c:v>
                </c:pt>
                <c:pt idx="106">
                  <c:v>4278.7700000000004</c:v>
                </c:pt>
                <c:pt idx="107">
                  <c:v>3770.36</c:v>
                </c:pt>
                <c:pt idx="108">
                  <c:v>3448.58</c:v>
                </c:pt>
                <c:pt idx="109">
                  <c:v>3833.23</c:v>
                </c:pt>
                <c:pt idx="110">
                  <c:v>4115.55</c:v>
                </c:pt>
                <c:pt idx="111">
                  <c:v>5301.29</c:v>
                </c:pt>
                <c:pt idx="112">
                  <c:v>8719.8799999999992</c:v>
                </c:pt>
                <c:pt idx="113">
                  <c:v>11132.85</c:v>
                </c:pt>
                <c:pt idx="114">
                  <c:v>9589.1299999999992</c:v>
                </c:pt>
                <c:pt idx="115">
                  <c:v>9484.5499999999993</c:v>
                </c:pt>
                <c:pt idx="116">
                  <c:v>8225</c:v>
                </c:pt>
                <c:pt idx="117">
                  <c:v>9218.76</c:v>
                </c:pt>
                <c:pt idx="118">
                  <c:v>7523.83</c:v>
                </c:pt>
                <c:pt idx="119">
                  <c:v>7219.6</c:v>
                </c:pt>
                <c:pt idx="120">
                  <c:v>9279.81</c:v>
                </c:pt>
                <c:pt idx="121">
                  <c:v>8712.35</c:v>
                </c:pt>
                <c:pt idx="122">
                  <c:v>5885.41</c:v>
                </c:pt>
                <c:pt idx="123">
                  <c:v>7765.33</c:v>
                </c:pt>
                <c:pt idx="124">
                  <c:v>9569.2099999999991</c:v>
                </c:pt>
                <c:pt idx="125">
                  <c:v>9004.23</c:v>
                </c:pt>
                <c:pt idx="126">
                  <c:v>11114.93</c:v>
                </c:pt>
                <c:pt idx="127">
                  <c:v>11481.64</c:v>
                </c:pt>
                <c:pt idx="128">
                  <c:v>10692.33</c:v>
                </c:pt>
                <c:pt idx="129">
                  <c:v>13289</c:v>
                </c:pt>
                <c:pt idx="130">
                  <c:v>17138.87</c:v>
                </c:pt>
                <c:pt idx="131">
                  <c:v>28856.59</c:v>
                </c:pt>
                <c:pt idx="132">
                  <c:v>34314.26</c:v>
                </c:pt>
                <c:pt idx="133">
                  <c:v>46800.42</c:v>
                </c:pt>
                <c:pt idx="134">
                  <c:v>58730.13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1D-4A48-BA2B-B5B85265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549391"/>
        <c:axId val="1375375487"/>
      </c:lineChart>
      <c:dateAx>
        <c:axId val="1162549391"/>
        <c:scaling>
          <c:orientation val="minMax"/>
          <c:max val="46357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75487"/>
        <c:crossesAt val="1.0000000000000002E-2"/>
        <c:auto val="1"/>
        <c:lblOffset val="100"/>
        <c:baseTimeUnit val="months"/>
        <c:majorUnit val="12"/>
        <c:majorTimeUnit val="months"/>
      </c:dateAx>
      <c:valAx>
        <c:axId val="13753754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layout>
            <c:manualLayout>
              <c:xMode val="edge"/>
              <c:yMode val="edge"/>
              <c:x val="0"/>
              <c:y val="0.29485480700331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49391"/>
        <c:crosses val="autoZero"/>
        <c:crossBetween val="between"/>
      </c:valAx>
      <c:valAx>
        <c:axId val="1086410559"/>
        <c:scaling>
          <c:orientation val="minMax"/>
          <c:max val="15"/>
          <c:min val="-2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Over/(undervaluation)</a:t>
                </a:r>
                <a:r>
                  <a:rPr lang="en-GB" baseline="0"/>
                  <a:t> relative to S2F model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96890263020968792"/>
              <c:y val="9.96106957000614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;\(0%\);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421375"/>
        <c:crosses val="max"/>
        <c:crossBetween val="between"/>
      </c:valAx>
      <c:dateAx>
        <c:axId val="1086421375"/>
        <c:scaling>
          <c:orientation val="minMax"/>
        </c:scaling>
        <c:delete val="1"/>
        <c:axPos val="b"/>
        <c:numFmt formatCode="mmm\ yyyy" sourceLinked="1"/>
        <c:majorTickMark val="out"/>
        <c:minorTickMark val="none"/>
        <c:tickLblPos val="nextTo"/>
        <c:crossAx val="1086410559"/>
        <c:crosses val="autoZero"/>
        <c:auto val="1"/>
        <c:lblOffset val="100"/>
        <c:baseTimeUnit val="months"/>
      </c:dateAx>
      <c:spPr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3680115269905741"/>
          <c:y val="0.94215879740228003"/>
          <c:w val="0.52707024637588495"/>
          <c:h val="5.78412025977198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S2F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price'!$DS$92:$HJ$92</c:f>
              <c:numCache>
                <c:formatCode>mmm\ yyyy</c:formatCode>
                <c:ptCount val="96"/>
                <c:pt idx="0">
                  <c:v>43861</c:v>
                </c:pt>
                <c:pt idx="1">
                  <c:v>43890</c:v>
                </c:pt>
                <c:pt idx="2">
                  <c:v>43921</c:v>
                </c:pt>
                <c:pt idx="3">
                  <c:v>43951</c:v>
                </c:pt>
                <c:pt idx="4">
                  <c:v>43982</c:v>
                </c:pt>
                <c:pt idx="5">
                  <c:v>44012</c:v>
                </c:pt>
                <c:pt idx="6">
                  <c:v>44043</c:v>
                </c:pt>
                <c:pt idx="7">
                  <c:v>44074</c:v>
                </c:pt>
                <c:pt idx="8">
                  <c:v>44104</c:v>
                </c:pt>
                <c:pt idx="9">
                  <c:v>44135</c:v>
                </c:pt>
                <c:pt idx="10">
                  <c:v>44165</c:v>
                </c:pt>
                <c:pt idx="11">
                  <c:v>44196</c:v>
                </c:pt>
                <c:pt idx="12">
                  <c:v>44227</c:v>
                </c:pt>
                <c:pt idx="13">
                  <c:v>44255</c:v>
                </c:pt>
                <c:pt idx="14">
                  <c:v>44286</c:v>
                </c:pt>
                <c:pt idx="15">
                  <c:v>44316</c:v>
                </c:pt>
                <c:pt idx="16">
                  <c:v>44347</c:v>
                </c:pt>
                <c:pt idx="17">
                  <c:v>44377</c:v>
                </c:pt>
                <c:pt idx="18">
                  <c:v>44408</c:v>
                </c:pt>
                <c:pt idx="19">
                  <c:v>44439</c:v>
                </c:pt>
                <c:pt idx="20">
                  <c:v>44469</c:v>
                </c:pt>
                <c:pt idx="21">
                  <c:v>44500</c:v>
                </c:pt>
                <c:pt idx="22">
                  <c:v>44530</c:v>
                </c:pt>
                <c:pt idx="23">
                  <c:v>44561</c:v>
                </c:pt>
                <c:pt idx="24">
                  <c:v>44592</c:v>
                </c:pt>
                <c:pt idx="25">
                  <c:v>44620</c:v>
                </c:pt>
                <c:pt idx="26">
                  <c:v>44651</c:v>
                </c:pt>
                <c:pt idx="27">
                  <c:v>44681</c:v>
                </c:pt>
                <c:pt idx="28">
                  <c:v>44712</c:v>
                </c:pt>
                <c:pt idx="29">
                  <c:v>44742</c:v>
                </c:pt>
                <c:pt idx="30">
                  <c:v>44773</c:v>
                </c:pt>
                <c:pt idx="31">
                  <c:v>44804</c:v>
                </c:pt>
                <c:pt idx="32">
                  <c:v>44834</c:v>
                </c:pt>
                <c:pt idx="33">
                  <c:v>44865</c:v>
                </c:pt>
                <c:pt idx="34">
                  <c:v>44895</c:v>
                </c:pt>
                <c:pt idx="35">
                  <c:v>44926</c:v>
                </c:pt>
                <c:pt idx="36">
                  <c:v>44957</c:v>
                </c:pt>
                <c:pt idx="37">
                  <c:v>44985</c:v>
                </c:pt>
                <c:pt idx="38">
                  <c:v>45016</c:v>
                </c:pt>
                <c:pt idx="39">
                  <c:v>45046</c:v>
                </c:pt>
                <c:pt idx="40">
                  <c:v>45077</c:v>
                </c:pt>
                <c:pt idx="41">
                  <c:v>45107</c:v>
                </c:pt>
                <c:pt idx="42">
                  <c:v>45138</c:v>
                </c:pt>
                <c:pt idx="43">
                  <c:v>45169</c:v>
                </c:pt>
                <c:pt idx="44">
                  <c:v>45199</c:v>
                </c:pt>
                <c:pt idx="45">
                  <c:v>45230</c:v>
                </c:pt>
                <c:pt idx="46">
                  <c:v>45260</c:v>
                </c:pt>
                <c:pt idx="47">
                  <c:v>45291</c:v>
                </c:pt>
                <c:pt idx="48">
                  <c:v>45322</c:v>
                </c:pt>
                <c:pt idx="49">
                  <c:v>45351</c:v>
                </c:pt>
                <c:pt idx="50">
                  <c:v>45382</c:v>
                </c:pt>
                <c:pt idx="51">
                  <c:v>45412</c:v>
                </c:pt>
                <c:pt idx="52">
                  <c:v>45443</c:v>
                </c:pt>
                <c:pt idx="53">
                  <c:v>45473</c:v>
                </c:pt>
                <c:pt idx="54">
                  <c:v>45504</c:v>
                </c:pt>
                <c:pt idx="55">
                  <c:v>45535</c:v>
                </c:pt>
                <c:pt idx="56">
                  <c:v>45565</c:v>
                </c:pt>
                <c:pt idx="57">
                  <c:v>45596</c:v>
                </c:pt>
                <c:pt idx="58">
                  <c:v>45626</c:v>
                </c:pt>
                <c:pt idx="59">
                  <c:v>45657</c:v>
                </c:pt>
                <c:pt idx="60">
                  <c:v>45688</c:v>
                </c:pt>
                <c:pt idx="61">
                  <c:v>45716</c:v>
                </c:pt>
                <c:pt idx="62">
                  <c:v>45747</c:v>
                </c:pt>
                <c:pt idx="63">
                  <c:v>45777</c:v>
                </c:pt>
                <c:pt idx="64">
                  <c:v>45808</c:v>
                </c:pt>
                <c:pt idx="65">
                  <c:v>45838</c:v>
                </c:pt>
                <c:pt idx="66">
                  <c:v>45869</c:v>
                </c:pt>
                <c:pt idx="67">
                  <c:v>45900</c:v>
                </c:pt>
                <c:pt idx="68">
                  <c:v>45930</c:v>
                </c:pt>
                <c:pt idx="69">
                  <c:v>45961</c:v>
                </c:pt>
                <c:pt idx="70">
                  <c:v>45991</c:v>
                </c:pt>
                <c:pt idx="71">
                  <c:v>46022</c:v>
                </c:pt>
                <c:pt idx="72">
                  <c:v>46053</c:v>
                </c:pt>
                <c:pt idx="73">
                  <c:v>46081</c:v>
                </c:pt>
                <c:pt idx="74">
                  <c:v>46112</c:v>
                </c:pt>
                <c:pt idx="75">
                  <c:v>46142</c:v>
                </c:pt>
                <c:pt idx="76">
                  <c:v>46173</c:v>
                </c:pt>
                <c:pt idx="77">
                  <c:v>46203</c:v>
                </c:pt>
                <c:pt idx="78">
                  <c:v>46234</c:v>
                </c:pt>
                <c:pt idx="79">
                  <c:v>46265</c:v>
                </c:pt>
                <c:pt idx="80">
                  <c:v>46295</c:v>
                </c:pt>
                <c:pt idx="81">
                  <c:v>46326</c:v>
                </c:pt>
                <c:pt idx="82">
                  <c:v>46356</c:v>
                </c:pt>
                <c:pt idx="83">
                  <c:v>46387</c:v>
                </c:pt>
                <c:pt idx="84">
                  <c:v>46418</c:v>
                </c:pt>
                <c:pt idx="85">
                  <c:v>46446</c:v>
                </c:pt>
                <c:pt idx="86">
                  <c:v>46477</c:v>
                </c:pt>
                <c:pt idx="87">
                  <c:v>46507</c:v>
                </c:pt>
                <c:pt idx="88">
                  <c:v>46538</c:v>
                </c:pt>
                <c:pt idx="89">
                  <c:v>46568</c:v>
                </c:pt>
                <c:pt idx="90">
                  <c:v>46599</c:v>
                </c:pt>
                <c:pt idx="91">
                  <c:v>46630</c:v>
                </c:pt>
                <c:pt idx="92">
                  <c:v>46660</c:v>
                </c:pt>
                <c:pt idx="93">
                  <c:v>46691</c:v>
                </c:pt>
                <c:pt idx="94">
                  <c:v>46721</c:v>
                </c:pt>
                <c:pt idx="95">
                  <c:v>46752</c:v>
                </c:pt>
              </c:numCache>
            </c:numRef>
          </c:cat>
          <c:val>
            <c:numRef>
              <c:f>'Bitcoin price'!$DS$59:$HJ$59</c:f>
              <c:numCache>
                <c:formatCode>#,##0</c:formatCode>
                <c:ptCount val="96"/>
                <c:pt idx="0">
                  <c:v>4650.498208815754</c:v>
                </c:pt>
                <c:pt idx="1">
                  <c:v>5049.3421463826371</c:v>
                </c:pt>
                <c:pt idx="2">
                  <c:v>7022.8539855342415</c:v>
                </c:pt>
                <c:pt idx="3">
                  <c:v>3819.2468291083223</c:v>
                </c:pt>
                <c:pt idx="4">
                  <c:v>18561.066261819316</c:v>
                </c:pt>
                <c:pt idx="5">
                  <c:v>43404.573829069021</c:v>
                </c:pt>
                <c:pt idx="6">
                  <c:v>32618.578151448815</c:v>
                </c:pt>
                <c:pt idx="7">
                  <c:v>43979.452922050739</c:v>
                </c:pt>
                <c:pt idx="8">
                  <c:v>43940.43422945476</c:v>
                </c:pt>
                <c:pt idx="9">
                  <c:v>44023.567451387236</c:v>
                </c:pt>
                <c:pt idx="10">
                  <c:v>44137.311710764719</c:v>
                </c:pt>
                <c:pt idx="11">
                  <c:v>44312.568081835212</c:v>
                </c:pt>
                <c:pt idx="12">
                  <c:v>44395.810372764674</c:v>
                </c:pt>
                <c:pt idx="13">
                  <c:v>44448.268404653121</c:v>
                </c:pt>
                <c:pt idx="14">
                  <c:v>44903.609072684318</c:v>
                </c:pt>
                <c:pt idx="15">
                  <c:v>37625.219740887318</c:v>
                </c:pt>
                <c:pt idx="16">
                  <c:v>34137.981837089363</c:v>
                </c:pt>
                <c:pt idx="17">
                  <c:v>37888.707855090885</c:v>
                </c:pt>
                <c:pt idx="18">
                  <c:v>34376.658079783709</c:v>
                </c:pt>
                <c:pt idx="19">
                  <c:v>34498.281907460463</c:v>
                </c:pt>
                <c:pt idx="20">
                  <c:v>38287.897281423429</c:v>
                </c:pt>
                <c:pt idx="21">
                  <c:v>34738.254403137827</c:v>
                </c:pt>
                <c:pt idx="22">
                  <c:v>38553.769383341831</c:v>
                </c:pt>
                <c:pt idx="23">
                  <c:v>34979.08662152099</c:v>
                </c:pt>
                <c:pt idx="24">
                  <c:v>35101.806300913799</c:v>
                </c:pt>
                <c:pt idx="25">
                  <c:v>48149.935717443121</c:v>
                </c:pt>
                <c:pt idx="26">
                  <c:v>35335.983224991891</c:v>
                </c:pt>
                <c:pt idx="27">
                  <c:v>39216.002445706428</c:v>
                </c:pt>
                <c:pt idx="28">
                  <c:v>35578.944464607506</c:v>
                </c:pt>
                <c:pt idx="29">
                  <c:v>39485.180141588724</c:v>
                </c:pt>
                <c:pt idx="30">
                  <c:v>35822.766116286359</c:v>
                </c:pt>
                <c:pt idx="31">
                  <c:v>35947.005279379526</c:v>
                </c:pt>
                <c:pt idx="32">
                  <c:v>39892.953063343804</c:v>
                </c:pt>
                <c:pt idx="33">
                  <c:v>36192.124974104983</c:v>
                </c:pt>
                <c:pt idx="34">
                  <c:v>40164.518038948663</c:v>
                </c:pt>
                <c:pt idx="35">
                  <c:v>36438.105573837092</c:v>
                </c:pt>
                <c:pt idx="36">
                  <c:v>36563.44209568073</c:v>
                </c:pt>
                <c:pt idx="37">
                  <c:v>50151.315176677555</c:v>
                </c:pt>
                <c:pt idx="38">
                  <c:v>36802.6003011391</c:v>
                </c:pt>
                <c:pt idx="39">
                  <c:v>40840.84890363225</c:v>
                </c:pt>
                <c:pt idx="40">
                  <c:v>37050.712833209851</c:v>
                </c:pt>
                <c:pt idx="41">
                  <c:v>41115.723992869782</c:v>
                </c:pt>
                <c:pt idx="42">
                  <c:v>37299.686947121605</c:v>
                </c:pt>
                <c:pt idx="43">
                  <c:v>37426.54502178332</c:v>
                </c:pt>
                <c:pt idx="44">
                  <c:v>41532.092146325733</c:v>
                </c:pt>
                <c:pt idx="45">
                  <c:v>37676.818936284144</c:v>
                </c:pt>
                <c:pt idx="46">
                  <c:v>41809.35774748843</c:v>
                </c:pt>
                <c:pt idx="47">
                  <c:v>37927.954916701216</c:v>
                </c:pt>
                <c:pt idx="48">
                  <c:v>38055.911829880097</c:v>
                </c:pt>
                <c:pt idx="49">
                  <c:v>46862.765161307165</c:v>
                </c:pt>
                <c:pt idx="50">
                  <c:v>321786.44881337677</c:v>
                </c:pt>
                <c:pt idx="51">
                  <c:v>356464.2879667416</c:v>
                </c:pt>
                <c:pt idx="52">
                  <c:v>322849.02748668264</c:v>
                </c:pt>
                <c:pt idx="53">
                  <c:v>357640.40856131015</c:v>
                </c:pt>
                <c:pt idx="54">
                  <c:v>323913.41646063747</c:v>
                </c:pt>
                <c:pt idx="55">
                  <c:v>324455.02927349566</c:v>
                </c:pt>
                <c:pt idx="56">
                  <c:v>359418.01667172997</c:v>
                </c:pt>
                <c:pt idx="57">
                  <c:v>325522.14891463966</c:v>
                </c:pt>
                <c:pt idx="58">
                  <c:v>360599.15932975727</c:v>
                </c:pt>
                <c:pt idx="59">
                  <c:v>326591.07935683866</c:v>
                </c:pt>
                <c:pt idx="60">
                  <c:v>327135.00032050331</c:v>
                </c:pt>
                <c:pt idx="61">
                  <c:v>447878.15423941507</c:v>
                </c:pt>
                <c:pt idx="62">
                  <c:v>328171.49700989341</c:v>
                </c:pt>
                <c:pt idx="63">
                  <c:v>363531.58639891644</c:v>
                </c:pt>
                <c:pt idx="64">
                  <c:v>329244.91078219243</c:v>
                </c:pt>
                <c:pt idx="65">
                  <c:v>364719.69002181303</c:v>
                </c:pt>
                <c:pt idx="66">
                  <c:v>330320.13604587124</c:v>
                </c:pt>
                <c:pt idx="67">
                  <c:v>330867.25628139917</c:v>
                </c:pt>
                <c:pt idx="68">
                  <c:v>366515.37338439922</c:v>
                </c:pt>
                <c:pt idx="69">
                  <c:v>331945.21400480589</c:v>
                </c:pt>
                <c:pt idx="70">
                  <c:v>367708.50236739503</c:v>
                </c:pt>
                <c:pt idx="71">
                  <c:v>333024.98371560971</c:v>
                </c:pt>
                <c:pt idx="72">
                  <c:v>333574.41361412482</c:v>
                </c:pt>
                <c:pt idx="73">
                  <c:v>456686.85991010553</c:v>
                </c:pt>
                <c:pt idx="74">
                  <c:v>334621.39589490654</c:v>
                </c:pt>
                <c:pt idx="75">
                  <c:v>370670.60613835661</c:v>
                </c:pt>
                <c:pt idx="76">
                  <c:v>335705.65186502034</c:v>
                </c:pt>
                <c:pt idx="77">
                  <c:v>371870.70063409966</c:v>
                </c:pt>
                <c:pt idx="78">
                  <c:v>336791.7205068341</c:v>
                </c:pt>
                <c:pt idx="79">
                  <c:v>337344.35176336067</c:v>
                </c:pt>
                <c:pt idx="80">
                  <c:v>373684.47105819848</c:v>
                </c:pt>
                <c:pt idx="81">
                  <c:v>338433.15464179969</c:v>
                </c:pt>
                <c:pt idx="82">
                  <c:v>374889.59418191772</c:v>
                </c:pt>
                <c:pt idx="83">
                  <c:v>339523.77068364929</c:v>
                </c:pt>
                <c:pt idx="84">
                  <c:v>340078.71310217521</c:v>
                </c:pt>
                <c:pt idx="85">
                  <c:v>465584.25145276013</c:v>
                </c:pt>
                <c:pt idx="86">
                  <c:v>341136.1877903805</c:v>
                </c:pt>
                <c:pt idx="87">
                  <c:v>377881.39395288663</c:v>
                </c:pt>
                <c:pt idx="88">
                  <c:v>342231.29299531429</c:v>
                </c:pt>
                <c:pt idx="89">
                  <c:v>379093.48709773697</c:v>
                </c:pt>
                <c:pt idx="90">
                  <c:v>343328.21204204112</c:v>
                </c:pt>
                <c:pt idx="91">
                  <c:v>343886.35788664536</c:v>
                </c:pt>
                <c:pt idx="92">
                  <c:v>380925.35629013774</c:v>
                </c:pt>
                <c:pt idx="93">
                  <c:v>344986.01293153624</c:v>
                </c:pt>
                <c:pt idx="94">
                  <c:v>382142.48130258918</c:v>
                </c:pt>
                <c:pt idx="95">
                  <c:v>346087.48230570444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F-4237-8E87-D9047AC7638D}"/>
            </c:ext>
          </c:extLst>
        </c:ser>
        <c:ser>
          <c:idx val="2"/>
          <c:order val="1"/>
          <c:tx>
            <c:v>S2F adjusted</c:v>
          </c:tx>
          <c:spPr>
            <a:ln w="28575" cap="rnd">
              <a:solidFill>
                <a:srgbClr val="1440AA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'Bitcoin price'!$DS$92:$HJ$92</c:f>
              <c:numCache>
                <c:formatCode>mmm\ yyyy</c:formatCode>
                <c:ptCount val="96"/>
                <c:pt idx="0">
                  <c:v>43861</c:v>
                </c:pt>
                <c:pt idx="1">
                  <c:v>43890</c:v>
                </c:pt>
                <c:pt idx="2">
                  <c:v>43921</c:v>
                </c:pt>
                <c:pt idx="3">
                  <c:v>43951</c:v>
                </c:pt>
                <c:pt idx="4">
                  <c:v>43982</c:v>
                </c:pt>
                <c:pt idx="5">
                  <c:v>44012</c:v>
                </c:pt>
                <c:pt idx="6">
                  <c:v>44043</c:v>
                </c:pt>
                <c:pt idx="7">
                  <c:v>44074</c:v>
                </c:pt>
                <c:pt idx="8">
                  <c:v>44104</c:v>
                </c:pt>
                <c:pt idx="9">
                  <c:v>44135</c:v>
                </c:pt>
                <c:pt idx="10">
                  <c:v>44165</c:v>
                </c:pt>
                <c:pt idx="11">
                  <c:v>44196</c:v>
                </c:pt>
                <c:pt idx="12">
                  <c:v>44227</c:v>
                </c:pt>
                <c:pt idx="13">
                  <c:v>44255</c:v>
                </c:pt>
                <c:pt idx="14">
                  <c:v>44286</c:v>
                </c:pt>
                <c:pt idx="15">
                  <c:v>44316</c:v>
                </c:pt>
                <c:pt idx="16">
                  <c:v>44347</c:v>
                </c:pt>
                <c:pt idx="17">
                  <c:v>44377</c:v>
                </c:pt>
                <c:pt idx="18">
                  <c:v>44408</c:v>
                </c:pt>
                <c:pt idx="19">
                  <c:v>44439</c:v>
                </c:pt>
                <c:pt idx="20">
                  <c:v>44469</c:v>
                </c:pt>
                <c:pt idx="21">
                  <c:v>44500</c:v>
                </c:pt>
                <c:pt idx="22">
                  <c:v>44530</c:v>
                </c:pt>
                <c:pt idx="23">
                  <c:v>44561</c:v>
                </c:pt>
                <c:pt idx="24">
                  <c:v>44592</c:v>
                </c:pt>
                <c:pt idx="25">
                  <c:v>44620</c:v>
                </c:pt>
                <c:pt idx="26">
                  <c:v>44651</c:v>
                </c:pt>
                <c:pt idx="27">
                  <c:v>44681</c:v>
                </c:pt>
                <c:pt idx="28">
                  <c:v>44712</c:v>
                </c:pt>
                <c:pt idx="29">
                  <c:v>44742</c:v>
                </c:pt>
                <c:pt idx="30">
                  <c:v>44773</c:v>
                </c:pt>
                <c:pt idx="31">
                  <c:v>44804</c:v>
                </c:pt>
                <c:pt idx="32">
                  <c:v>44834</c:v>
                </c:pt>
                <c:pt idx="33">
                  <c:v>44865</c:v>
                </c:pt>
                <c:pt idx="34">
                  <c:v>44895</c:v>
                </c:pt>
                <c:pt idx="35">
                  <c:v>44926</c:v>
                </c:pt>
                <c:pt idx="36">
                  <c:v>44957</c:v>
                </c:pt>
                <c:pt idx="37">
                  <c:v>44985</c:v>
                </c:pt>
                <c:pt idx="38">
                  <c:v>45016</c:v>
                </c:pt>
                <c:pt idx="39">
                  <c:v>45046</c:v>
                </c:pt>
                <c:pt idx="40">
                  <c:v>45077</c:v>
                </c:pt>
                <c:pt idx="41">
                  <c:v>45107</c:v>
                </c:pt>
                <c:pt idx="42">
                  <c:v>45138</c:v>
                </c:pt>
                <c:pt idx="43">
                  <c:v>45169</c:v>
                </c:pt>
                <c:pt idx="44">
                  <c:v>45199</c:v>
                </c:pt>
                <c:pt idx="45">
                  <c:v>45230</c:v>
                </c:pt>
                <c:pt idx="46">
                  <c:v>45260</c:v>
                </c:pt>
                <c:pt idx="47">
                  <c:v>45291</c:v>
                </c:pt>
                <c:pt idx="48">
                  <c:v>45322</c:v>
                </c:pt>
                <c:pt idx="49">
                  <c:v>45351</c:v>
                </c:pt>
                <c:pt idx="50">
                  <c:v>45382</c:v>
                </c:pt>
                <c:pt idx="51">
                  <c:v>45412</c:v>
                </c:pt>
                <c:pt idx="52">
                  <c:v>45443</c:v>
                </c:pt>
                <c:pt idx="53">
                  <c:v>45473</c:v>
                </c:pt>
                <c:pt idx="54">
                  <c:v>45504</c:v>
                </c:pt>
                <c:pt idx="55">
                  <c:v>45535</c:v>
                </c:pt>
                <c:pt idx="56">
                  <c:v>45565</c:v>
                </c:pt>
                <c:pt idx="57">
                  <c:v>45596</c:v>
                </c:pt>
                <c:pt idx="58">
                  <c:v>45626</c:v>
                </c:pt>
                <c:pt idx="59">
                  <c:v>45657</c:v>
                </c:pt>
                <c:pt idx="60">
                  <c:v>45688</c:v>
                </c:pt>
                <c:pt idx="61">
                  <c:v>45716</c:v>
                </c:pt>
                <c:pt idx="62">
                  <c:v>45747</c:v>
                </c:pt>
                <c:pt idx="63">
                  <c:v>45777</c:v>
                </c:pt>
                <c:pt idx="64">
                  <c:v>45808</c:v>
                </c:pt>
                <c:pt idx="65">
                  <c:v>45838</c:v>
                </c:pt>
                <c:pt idx="66">
                  <c:v>45869</c:v>
                </c:pt>
                <c:pt idx="67">
                  <c:v>45900</c:v>
                </c:pt>
                <c:pt idx="68">
                  <c:v>45930</c:v>
                </c:pt>
                <c:pt idx="69">
                  <c:v>45961</c:v>
                </c:pt>
                <c:pt idx="70">
                  <c:v>45991</c:v>
                </c:pt>
                <c:pt idx="71">
                  <c:v>46022</c:v>
                </c:pt>
                <c:pt idx="72">
                  <c:v>46053</c:v>
                </c:pt>
                <c:pt idx="73">
                  <c:v>46081</c:v>
                </c:pt>
                <c:pt idx="74">
                  <c:v>46112</c:v>
                </c:pt>
                <c:pt idx="75">
                  <c:v>46142</c:v>
                </c:pt>
                <c:pt idx="76">
                  <c:v>46173</c:v>
                </c:pt>
                <c:pt idx="77">
                  <c:v>46203</c:v>
                </c:pt>
                <c:pt idx="78">
                  <c:v>46234</c:v>
                </c:pt>
                <c:pt idx="79">
                  <c:v>46265</c:v>
                </c:pt>
                <c:pt idx="80">
                  <c:v>46295</c:v>
                </c:pt>
                <c:pt idx="81">
                  <c:v>46326</c:v>
                </c:pt>
                <c:pt idx="82">
                  <c:v>46356</c:v>
                </c:pt>
                <c:pt idx="83">
                  <c:v>46387</c:v>
                </c:pt>
                <c:pt idx="84">
                  <c:v>46418</c:v>
                </c:pt>
                <c:pt idx="85">
                  <c:v>46446</c:v>
                </c:pt>
                <c:pt idx="86">
                  <c:v>46477</c:v>
                </c:pt>
                <c:pt idx="87">
                  <c:v>46507</c:v>
                </c:pt>
                <c:pt idx="88">
                  <c:v>46538</c:v>
                </c:pt>
                <c:pt idx="89">
                  <c:v>46568</c:v>
                </c:pt>
                <c:pt idx="90">
                  <c:v>46599</c:v>
                </c:pt>
                <c:pt idx="91">
                  <c:v>46630</c:v>
                </c:pt>
                <c:pt idx="92">
                  <c:v>46660</c:v>
                </c:pt>
                <c:pt idx="93">
                  <c:v>46691</c:v>
                </c:pt>
                <c:pt idx="94">
                  <c:v>46721</c:v>
                </c:pt>
                <c:pt idx="95">
                  <c:v>46752</c:v>
                </c:pt>
              </c:numCache>
            </c:numRef>
          </c:cat>
          <c:val>
            <c:numRef>
              <c:f>'Bitcoin price'!$DS$96:$HJ$96</c:f>
              <c:numCache>
                <c:formatCode>#,##0</c:formatCode>
                <c:ptCount val="96"/>
                <c:pt idx="0">
                  <c:v>9279.81</c:v>
                </c:pt>
                <c:pt idx="1">
                  <c:v>8712.35</c:v>
                </c:pt>
                <c:pt idx="2">
                  <c:v>5885.41</c:v>
                </c:pt>
                <c:pt idx="3">
                  <c:v>7765.33</c:v>
                </c:pt>
                <c:pt idx="4">
                  <c:v>9569.2099999999991</c:v>
                </c:pt>
                <c:pt idx="5">
                  <c:v>9004.23</c:v>
                </c:pt>
                <c:pt idx="6">
                  <c:v>11114.93</c:v>
                </c:pt>
                <c:pt idx="7">
                  <c:v>11481.64</c:v>
                </c:pt>
                <c:pt idx="8">
                  <c:v>10692.33</c:v>
                </c:pt>
                <c:pt idx="9">
                  <c:v>13289</c:v>
                </c:pt>
                <c:pt idx="10">
                  <c:v>17138.87</c:v>
                </c:pt>
                <c:pt idx="11">
                  <c:v>28856.59</c:v>
                </c:pt>
                <c:pt idx="12">
                  <c:v>34314.26</c:v>
                </c:pt>
                <c:pt idx="13">
                  <c:v>46800.42</c:v>
                </c:pt>
                <c:pt idx="14">
                  <c:v>58730.13</c:v>
                </c:pt>
                <c:pt idx="15">
                  <c:v>25566.057520733852</c:v>
                </c:pt>
                <c:pt idx="16">
                  <c:v>32122.730460777635</c:v>
                </c:pt>
                <c:pt idx="17">
                  <c:v>42640.472747772845</c:v>
                </c:pt>
                <c:pt idx="18">
                  <c:v>45890.680603974593</c:v>
                </c:pt>
                <c:pt idx="19">
                  <c:v>49896.370149290698</c:v>
                </c:pt>
                <c:pt idx="20">
                  <c:v>86540.842065086414</c:v>
                </c:pt>
                <c:pt idx="21">
                  <c:v>190421.60722878147</c:v>
                </c:pt>
                <c:pt idx="22">
                  <c:v>115195.68301862972</c:v>
                </c:pt>
                <c:pt idx="23">
                  <c:v>80081.636869011578</c:v>
                </c:pt>
                <c:pt idx="24">
                  <c:v>62334.353721247644</c:v>
                </c:pt>
                <c:pt idx="25">
                  <c:v>125141.88033657518</c:v>
                </c:pt>
                <c:pt idx="26">
                  <c:v>57836.988295028335</c:v>
                </c:pt>
                <c:pt idx="27">
                  <c:v>71418.907437871865</c:v>
                </c:pt>
                <c:pt idx="28">
                  <c:v>63709.315431656418</c:v>
                </c:pt>
                <c:pt idx="29">
                  <c:v>79759.649392152511</c:v>
                </c:pt>
                <c:pt idx="30">
                  <c:v>51640.757785384434</c:v>
                </c:pt>
                <c:pt idx="31">
                  <c:v>48758.519356732279</c:v>
                </c:pt>
                <c:pt idx="32">
                  <c:v>28433.562139747075</c:v>
                </c:pt>
                <c:pt idx="33">
                  <c:v>30446.52244746219</c:v>
                </c:pt>
                <c:pt idx="34">
                  <c:v>31416.026679106901</c:v>
                </c:pt>
                <c:pt idx="35">
                  <c:v>23259.662884084628</c:v>
                </c:pt>
                <c:pt idx="36">
                  <c:v>32869.689362107711</c:v>
                </c:pt>
                <c:pt idx="37">
                  <c:v>55989.308147348609</c:v>
                </c:pt>
                <c:pt idx="38">
                  <c:v>85939.976610283498</c:v>
                </c:pt>
                <c:pt idx="39">
                  <c:v>89648.315169296111</c:v>
                </c:pt>
                <c:pt idx="40">
                  <c:v>92850.599875774395</c:v>
                </c:pt>
                <c:pt idx="41">
                  <c:v>77057.146952541225</c:v>
                </c:pt>
                <c:pt idx="42">
                  <c:v>79948.772461201705</c:v>
                </c:pt>
                <c:pt idx="43">
                  <c:v>67279.180449919266</c:v>
                </c:pt>
                <c:pt idx="44">
                  <c:v>61110.662885520745</c:v>
                </c:pt>
                <c:pt idx="45">
                  <c:v>52981.704632310502</c:v>
                </c:pt>
                <c:pt idx="46">
                  <c:v>79266.354761668132</c:v>
                </c:pt>
                <c:pt idx="47">
                  <c:v>62691.053441911434</c:v>
                </c:pt>
                <c:pt idx="48">
                  <c:v>32508.619902314404</c:v>
                </c:pt>
                <c:pt idx="49">
                  <c:v>90439.92565839173</c:v>
                </c:pt>
                <c:pt idx="50">
                  <c:v>181486.76405793877</c:v>
                </c:pt>
                <c:pt idx="51">
                  <c:v>102199.73268236411</c:v>
                </c:pt>
                <c:pt idx="52">
                  <c:v>131295.95994371799</c:v>
                </c:pt>
                <c:pt idx="53">
                  <c:v>119795.74959631708</c:v>
                </c:pt>
                <c:pt idx="54">
                  <c:v>103329.42591544148</c:v>
                </c:pt>
                <c:pt idx="55">
                  <c:v>120591.8031993339</c:v>
                </c:pt>
                <c:pt idx="56">
                  <c:v>161550.19470627629</c:v>
                </c:pt>
                <c:pt idx="57">
                  <c:v>223335.86012775474</c:v>
                </c:pt>
                <c:pt idx="58">
                  <c:v>286901.69322266796</c:v>
                </c:pt>
                <c:pt idx="59">
                  <c:v>342145.6235565705</c:v>
                </c:pt>
                <c:pt idx="60">
                  <c:v>417791.96797316201</c:v>
                </c:pt>
                <c:pt idx="61">
                  <c:v>318684.70849669038</c:v>
                </c:pt>
                <c:pt idx="62">
                  <c:v>310735.98316627042</c:v>
                </c:pt>
                <c:pt idx="63">
                  <c:v>404564.2595799134</c:v>
                </c:pt>
                <c:pt idx="64">
                  <c:v>428493.65040460747</c:v>
                </c:pt>
                <c:pt idx="65">
                  <c:v>511230.96809061797</c:v>
                </c:pt>
                <c:pt idx="66">
                  <c:v>704982.32372255146</c:v>
                </c:pt>
                <c:pt idx="67">
                  <c:v>1665403.8418074471</c:v>
                </c:pt>
                <c:pt idx="68">
                  <c:v>1022259.1836008568</c:v>
                </c:pt>
                <c:pt idx="69">
                  <c:v>717158.76375967625</c:v>
                </c:pt>
                <c:pt idx="70">
                  <c:v>624455.26997141447</c:v>
                </c:pt>
                <c:pt idx="71">
                  <c:v>812282.46659440559</c:v>
                </c:pt>
                <c:pt idx="72">
                  <c:v>524744.51836987899</c:v>
                </c:pt>
                <c:pt idx="73">
                  <c:v>794201.60846446978</c:v>
                </c:pt>
                <c:pt idx="74">
                  <c:v>572731.93367264303</c:v>
                </c:pt>
                <c:pt idx="75">
                  <c:v>710942.7205855411</c:v>
                </c:pt>
                <c:pt idx="76">
                  <c:v>469117.18877730361</c:v>
                </c:pt>
                <c:pt idx="77">
                  <c:v>491151.95956488332</c:v>
                </c:pt>
                <c:pt idx="78">
                  <c:v>249721.57603567067</c:v>
                </c:pt>
                <c:pt idx="79">
                  <c:v>289145.41608040954</c:v>
                </c:pt>
                <c:pt idx="80">
                  <c:v>300429.32015932474</c:v>
                </c:pt>
                <c:pt idx="81">
                  <c:v>228273.20872064601</c:v>
                </c:pt>
                <c:pt idx="82">
                  <c:v>340804.33181229501</c:v>
                </c:pt>
                <c:pt idx="83">
                  <c:v>375094.59553000919</c:v>
                </c:pt>
                <c:pt idx="84">
                  <c:v>748732.39537805866</c:v>
                </c:pt>
                <c:pt idx="85">
                  <c:v>966347.3215398161</c:v>
                </c:pt>
                <c:pt idx="86">
                  <c:v>803524.71854477481</c:v>
                </c:pt>
                <c:pt idx="87">
                  <c:v>675174.84572101315</c:v>
                </c:pt>
                <c:pt idx="88">
                  <c:v>694412.97567589616</c:v>
                </c:pt>
                <c:pt idx="89">
                  <c:v>651233.10594928858</c:v>
                </c:pt>
                <c:pt idx="90">
                  <c:v>488991.18746571022</c:v>
                </c:pt>
                <c:pt idx="91">
                  <c:v>469608.94789353124</c:v>
                </c:pt>
                <c:pt idx="92">
                  <c:v>688069.22626833513</c:v>
                </c:pt>
                <c:pt idx="93">
                  <c:v>547702.72629308782</c:v>
                </c:pt>
                <c:pt idx="94">
                  <c:v>332009.13224325038</c:v>
                </c:pt>
                <c:pt idx="95">
                  <c:v>635728.06880331587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7F-4237-8E87-D9047AC7638D}"/>
            </c:ext>
          </c:extLst>
        </c:ser>
        <c:ser>
          <c:idx val="1"/>
          <c:order val="2"/>
          <c:tx>
            <c:v>Bitcoin price</c:v>
          </c:tx>
          <c:spPr>
            <a:ln w="28575" cap="rnd">
              <a:solidFill>
                <a:srgbClr val="1440AA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price'!$DS$92:$HJ$92</c:f>
              <c:numCache>
                <c:formatCode>mmm\ yyyy</c:formatCode>
                <c:ptCount val="96"/>
                <c:pt idx="0">
                  <c:v>43861</c:v>
                </c:pt>
                <c:pt idx="1">
                  <c:v>43890</c:v>
                </c:pt>
                <c:pt idx="2">
                  <c:v>43921</c:v>
                </c:pt>
                <c:pt idx="3">
                  <c:v>43951</c:v>
                </c:pt>
                <c:pt idx="4">
                  <c:v>43982</c:v>
                </c:pt>
                <c:pt idx="5">
                  <c:v>44012</c:v>
                </c:pt>
                <c:pt idx="6">
                  <c:v>44043</c:v>
                </c:pt>
                <c:pt idx="7">
                  <c:v>44074</c:v>
                </c:pt>
                <c:pt idx="8">
                  <c:v>44104</c:v>
                </c:pt>
                <c:pt idx="9">
                  <c:v>44135</c:v>
                </c:pt>
                <c:pt idx="10">
                  <c:v>44165</c:v>
                </c:pt>
                <c:pt idx="11">
                  <c:v>44196</c:v>
                </c:pt>
                <c:pt idx="12">
                  <c:v>44227</c:v>
                </c:pt>
                <c:pt idx="13">
                  <c:v>44255</c:v>
                </c:pt>
                <c:pt idx="14">
                  <c:v>44286</c:v>
                </c:pt>
                <c:pt idx="15">
                  <c:v>44316</c:v>
                </c:pt>
                <c:pt idx="16">
                  <c:v>44347</c:v>
                </c:pt>
                <c:pt idx="17">
                  <c:v>44377</c:v>
                </c:pt>
                <c:pt idx="18">
                  <c:v>44408</c:v>
                </c:pt>
                <c:pt idx="19">
                  <c:v>44439</c:v>
                </c:pt>
                <c:pt idx="20">
                  <c:v>44469</c:v>
                </c:pt>
                <c:pt idx="21">
                  <c:v>44500</c:v>
                </c:pt>
                <c:pt idx="22">
                  <c:v>44530</c:v>
                </c:pt>
                <c:pt idx="23">
                  <c:v>44561</c:v>
                </c:pt>
                <c:pt idx="24">
                  <c:v>44592</c:v>
                </c:pt>
                <c:pt idx="25">
                  <c:v>44620</c:v>
                </c:pt>
                <c:pt idx="26">
                  <c:v>44651</c:v>
                </c:pt>
                <c:pt idx="27">
                  <c:v>44681</c:v>
                </c:pt>
                <c:pt idx="28">
                  <c:v>44712</c:v>
                </c:pt>
                <c:pt idx="29">
                  <c:v>44742</c:v>
                </c:pt>
                <c:pt idx="30">
                  <c:v>44773</c:v>
                </c:pt>
                <c:pt idx="31">
                  <c:v>44804</c:v>
                </c:pt>
                <c:pt idx="32">
                  <c:v>44834</c:v>
                </c:pt>
                <c:pt idx="33">
                  <c:v>44865</c:v>
                </c:pt>
                <c:pt idx="34">
                  <c:v>44895</c:v>
                </c:pt>
                <c:pt idx="35">
                  <c:v>44926</c:v>
                </c:pt>
                <c:pt idx="36">
                  <c:v>44957</c:v>
                </c:pt>
                <c:pt idx="37">
                  <c:v>44985</c:v>
                </c:pt>
                <c:pt idx="38">
                  <c:v>45016</c:v>
                </c:pt>
                <c:pt idx="39">
                  <c:v>45046</c:v>
                </c:pt>
                <c:pt idx="40">
                  <c:v>45077</c:v>
                </c:pt>
                <c:pt idx="41">
                  <c:v>45107</c:v>
                </c:pt>
                <c:pt idx="42">
                  <c:v>45138</c:v>
                </c:pt>
                <c:pt idx="43">
                  <c:v>45169</c:v>
                </c:pt>
                <c:pt idx="44">
                  <c:v>45199</c:v>
                </c:pt>
                <c:pt idx="45">
                  <c:v>45230</c:v>
                </c:pt>
                <c:pt idx="46">
                  <c:v>45260</c:v>
                </c:pt>
                <c:pt idx="47">
                  <c:v>45291</c:v>
                </c:pt>
                <c:pt idx="48">
                  <c:v>45322</c:v>
                </c:pt>
                <c:pt idx="49">
                  <c:v>45351</c:v>
                </c:pt>
                <c:pt idx="50">
                  <c:v>45382</c:v>
                </c:pt>
                <c:pt idx="51">
                  <c:v>45412</c:v>
                </c:pt>
                <c:pt idx="52">
                  <c:v>45443</c:v>
                </c:pt>
                <c:pt idx="53">
                  <c:v>45473</c:v>
                </c:pt>
                <c:pt idx="54">
                  <c:v>45504</c:v>
                </c:pt>
                <c:pt idx="55">
                  <c:v>45535</c:v>
                </c:pt>
                <c:pt idx="56">
                  <c:v>45565</c:v>
                </c:pt>
                <c:pt idx="57">
                  <c:v>45596</c:v>
                </c:pt>
                <c:pt idx="58">
                  <c:v>45626</c:v>
                </c:pt>
                <c:pt idx="59">
                  <c:v>45657</c:v>
                </c:pt>
                <c:pt idx="60">
                  <c:v>45688</c:v>
                </c:pt>
                <c:pt idx="61">
                  <c:v>45716</c:v>
                </c:pt>
                <c:pt idx="62">
                  <c:v>45747</c:v>
                </c:pt>
                <c:pt idx="63">
                  <c:v>45777</c:v>
                </c:pt>
                <c:pt idx="64">
                  <c:v>45808</c:v>
                </c:pt>
                <c:pt idx="65">
                  <c:v>45838</c:v>
                </c:pt>
                <c:pt idx="66">
                  <c:v>45869</c:v>
                </c:pt>
                <c:pt idx="67">
                  <c:v>45900</c:v>
                </c:pt>
                <c:pt idx="68">
                  <c:v>45930</c:v>
                </c:pt>
                <c:pt idx="69">
                  <c:v>45961</c:v>
                </c:pt>
                <c:pt idx="70">
                  <c:v>45991</c:v>
                </c:pt>
                <c:pt idx="71">
                  <c:v>46022</c:v>
                </c:pt>
                <c:pt idx="72">
                  <c:v>46053</c:v>
                </c:pt>
                <c:pt idx="73">
                  <c:v>46081</c:v>
                </c:pt>
                <c:pt idx="74">
                  <c:v>46112</c:v>
                </c:pt>
                <c:pt idx="75">
                  <c:v>46142</c:v>
                </c:pt>
                <c:pt idx="76">
                  <c:v>46173</c:v>
                </c:pt>
                <c:pt idx="77">
                  <c:v>46203</c:v>
                </c:pt>
                <c:pt idx="78">
                  <c:v>46234</c:v>
                </c:pt>
                <c:pt idx="79">
                  <c:v>46265</c:v>
                </c:pt>
                <c:pt idx="80">
                  <c:v>46295</c:v>
                </c:pt>
                <c:pt idx="81">
                  <c:v>46326</c:v>
                </c:pt>
                <c:pt idx="82">
                  <c:v>46356</c:v>
                </c:pt>
                <c:pt idx="83">
                  <c:v>46387</c:v>
                </c:pt>
                <c:pt idx="84">
                  <c:v>46418</c:v>
                </c:pt>
                <c:pt idx="85">
                  <c:v>46446</c:v>
                </c:pt>
                <c:pt idx="86">
                  <c:v>46477</c:v>
                </c:pt>
                <c:pt idx="87">
                  <c:v>46507</c:v>
                </c:pt>
                <c:pt idx="88">
                  <c:v>46538</c:v>
                </c:pt>
                <c:pt idx="89">
                  <c:v>46568</c:v>
                </c:pt>
                <c:pt idx="90">
                  <c:v>46599</c:v>
                </c:pt>
                <c:pt idx="91">
                  <c:v>46630</c:v>
                </c:pt>
                <c:pt idx="92">
                  <c:v>46660</c:v>
                </c:pt>
                <c:pt idx="93">
                  <c:v>46691</c:v>
                </c:pt>
                <c:pt idx="94">
                  <c:v>46721</c:v>
                </c:pt>
                <c:pt idx="95">
                  <c:v>46752</c:v>
                </c:pt>
              </c:numCache>
            </c:numRef>
          </c:cat>
          <c:val>
            <c:numRef>
              <c:f>'Bitcoin price'!$DS$60:$HJ$60</c:f>
              <c:numCache>
                <c:formatCode>#,##0</c:formatCode>
                <c:ptCount val="96"/>
                <c:pt idx="0">
                  <c:v>9279.81</c:v>
                </c:pt>
                <c:pt idx="1">
                  <c:v>8712.35</c:v>
                </c:pt>
                <c:pt idx="2">
                  <c:v>5885.41</c:v>
                </c:pt>
                <c:pt idx="3">
                  <c:v>7765.33</c:v>
                </c:pt>
                <c:pt idx="4">
                  <c:v>9569.2099999999991</c:v>
                </c:pt>
                <c:pt idx="5">
                  <c:v>9004.23</c:v>
                </c:pt>
                <c:pt idx="6">
                  <c:v>11114.93</c:v>
                </c:pt>
                <c:pt idx="7">
                  <c:v>11481.64</c:v>
                </c:pt>
                <c:pt idx="8">
                  <c:v>10692.33</c:v>
                </c:pt>
                <c:pt idx="9">
                  <c:v>13289</c:v>
                </c:pt>
                <c:pt idx="10">
                  <c:v>17138.87</c:v>
                </c:pt>
                <c:pt idx="11">
                  <c:v>28856.59</c:v>
                </c:pt>
                <c:pt idx="12">
                  <c:v>34314.26</c:v>
                </c:pt>
                <c:pt idx="13">
                  <c:v>46800.42</c:v>
                </c:pt>
                <c:pt idx="14">
                  <c:v>58730.13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F-4237-8E87-D9047AC76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549391"/>
        <c:axId val="1375375487"/>
      </c:lineChart>
      <c:dateAx>
        <c:axId val="1162549391"/>
        <c:scaling>
          <c:orientation val="minMax"/>
          <c:max val="46357"/>
          <c:min val="4383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75487"/>
        <c:crossesAt val="1.0000000000000002E-2"/>
        <c:auto val="1"/>
        <c:lblOffset val="100"/>
        <c:baseTimeUnit val="months"/>
        <c:majorUnit val="6"/>
        <c:majorTimeUnit val="months"/>
      </c:dateAx>
      <c:valAx>
        <c:axId val="1375375487"/>
        <c:scaling>
          <c:logBase val="10"/>
          <c:orientation val="minMax"/>
          <c:max val="2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Bitcoin 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4939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44A-4C02-A426-74CBFBEF0F0A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44A-4C02-A426-74CBFBEF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070449267574"/>
          <c:y val="4.7016072266345937E-2"/>
          <c:w val="0.70761634344782187"/>
          <c:h val="0.65117736911794766"/>
        </c:manualLayout>
      </c:layout>
      <c:lineChart>
        <c:grouping val="standard"/>
        <c:varyColors val="0"/>
        <c:ser>
          <c:idx val="0"/>
          <c:order val="0"/>
          <c:tx>
            <c:v>RevPTA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E71-49D8-87ED-5A1300C1F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lineChart>
        <c:grouping val="standard"/>
        <c:varyColors val="0"/>
        <c:ser>
          <c:idx val="1"/>
          <c:order val="1"/>
          <c:tx>
            <c:v>Price Index (BTC, ETH)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Revenues!#REF!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Revenues!#REF!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E71-49D8-87ED-5A1300C1F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537407"/>
        <c:axId val="1845543647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Revenue</a:t>
                </a:r>
                <a:r>
                  <a:rPr lang="en-GB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 per transacting user (USD)</a:t>
                </a:r>
                <a:endParaRPr lang="en-GB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7.8431356403405612E-3"/>
              <c:y val="5.180674288206075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valAx>
        <c:axId val="18455436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37407"/>
        <c:crosses val="max"/>
        <c:crossBetween val="between"/>
      </c:valAx>
      <c:catAx>
        <c:axId val="18455374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554364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477-4215-9F88-5EF839817A00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477-4215-9F88-5EF839817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92716950276"/>
          <c:y val="4.7016072266345937E-2"/>
          <c:w val="0.83146612373198769"/>
          <c:h val="0.65117736911794766"/>
        </c:manualLayout>
      </c:layout>
      <c:lineChart>
        <c:grouping val="standard"/>
        <c:varyColors val="0"/>
        <c:ser>
          <c:idx val="2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1440AA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793-4D36-9E2C-15D6432B9D5F}"/>
            </c:ext>
          </c:extLst>
        </c:ser>
        <c:ser>
          <c:idx val="0"/>
          <c:order val="1"/>
          <c:tx>
            <c:v>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RevPTU!#REF!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RevPTU!#REF!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793-4D36-9E2C-15D6432B9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945471"/>
        <c:axId val="949948799"/>
      </c:lineChart>
      <c:catAx>
        <c:axId val="949945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8799"/>
        <c:crosses val="autoZero"/>
        <c:auto val="1"/>
        <c:lblAlgn val="ctr"/>
        <c:lblOffset val="100"/>
        <c:noMultiLvlLbl val="0"/>
      </c:catAx>
      <c:valAx>
        <c:axId val="9499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>
                        <a:lumMod val="50000"/>
                      </a:schemeClr>
                    </a:solidFill>
                  </a:rPr>
                  <a:t>MTUs</a:t>
                </a:r>
                <a:r>
                  <a:rPr lang="en-GB" baseline="0">
                    <a:solidFill>
                      <a:schemeClr val="bg1">
                        <a:lumMod val="50000"/>
                      </a:schemeClr>
                    </a:solidFill>
                  </a:rPr>
                  <a:t> (millions)</a:t>
                </a:r>
                <a:endParaRPr lang="en-GB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2.6143785467801868E-3"/>
              <c:y val="0.21937121396777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;\(#,##0.0\);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5471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37</xdr:row>
      <xdr:rowOff>0</xdr:rowOff>
    </xdr:from>
    <xdr:to>
      <xdr:col>9</xdr:col>
      <xdr:colOff>136071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578D3-7B53-4D15-9E5D-B5FF33397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195944</xdr:colOff>
      <xdr:row>37</xdr:row>
      <xdr:rowOff>0</xdr:rowOff>
    </xdr:from>
    <xdr:to>
      <xdr:col>9</xdr:col>
      <xdr:colOff>274866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FC36B4-1327-4053-BDB8-B00DFA610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10</xdr:row>
      <xdr:rowOff>0</xdr:rowOff>
    </xdr:from>
    <xdr:to>
      <xdr:col>11</xdr:col>
      <xdr:colOff>136071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1C6AE-1587-4FB6-8AB0-135ADB05F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195944</xdr:colOff>
      <xdr:row>10</xdr:row>
      <xdr:rowOff>0</xdr:rowOff>
    </xdr:from>
    <xdr:to>
      <xdr:col>11</xdr:col>
      <xdr:colOff>274866</xdr:colOff>
      <xdr:row>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0166F-C64C-4656-BACC-D6E5662B6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8163</xdr:colOff>
      <xdr:row>13</xdr:row>
      <xdr:rowOff>27215</xdr:rowOff>
    </xdr:from>
    <xdr:to>
      <xdr:col>5</xdr:col>
      <xdr:colOff>500743</xdr:colOff>
      <xdr:row>30</xdr:row>
      <xdr:rowOff>70757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F50E1-3FE1-4713-AAB2-AB2924391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185060</xdr:colOff>
      <xdr:row>45</xdr:row>
      <xdr:rowOff>16008</xdr:rowOff>
    </xdr:from>
    <xdr:to>
      <xdr:col>4</xdr:col>
      <xdr:colOff>704943</xdr:colOff>
      <xdr:row>63</xdr:row>
      <xdr:rowOff>108537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DFC73D-78CE-42AC-B238-3948C816D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185059</xdr:colOff>
      <xdr:row>97</xdr:row>
      <xdr:rowOff>0</xdr:rowOff>
    </xdr:from>
    <xdr:to>
      <xdr:col>5</xdr:col>
      <xdr:colOff>136071</xdr:colOff>
      <xdr:row>97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414F69-8D00-4304-835E-441E5C36E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206831</xdr:colOff>
      <xdr:row>108</xdr:row>
      <xdr:rowOff>54428</xdr:rowOff>
    </xdr:from>
    <xdr:to>
      <xdr:col>5</xdr:col>
      <xdr:colOff>402772</xdr:colOff>
      <xdr:row>126</xdr:row>
      <xdr:rowOff>146957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E6DB38-8F59-434E-B674-D4F1851A8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19053</xdr:colOff>
      <xdr:row>75</xdr:row>
      <xdr:rowOff>76201</xdr:rowOff>
    </xdr:from>
    <xdr:to>
      <xdr:col>5</xdr:col>
      <xdr:colOff>402771</xdr:colOff>
      <xdr:row>93</xdr:row>
      <xdr:rowOff>92362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0F3AC1E-A42D-4A93-A159-F41F16298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34</xdr:row>
      <xdr:rowOff>0</xdr:rowOff>
    </xdr:from>
    <xdr:to>
      <xdr:col>2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70085-19C0-4874-8786-775B6A659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44</xdr:row>
      <xdr:rowOff>27214</xdr:rowOff>
    </xdr:from>
    <xdr:to>
      <xdr:col>4</xdr:col>
      <xdr:colOff>179614</xdr:colOff>
      <xdr:row>62</xdr:row>
      <xdr:rowOff>119743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DCAA9C-8299-4B85-BFDB-42CF7FA6F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12</xdr:row>
      <xdr:rowOff>163285</xdr:rowOff>
    </xdr:from>
    <xdr:to>
      <xdr:col>4</xdr:col>
      <xdr:colOff>402771</xdr:colOff>
      <xdr:row>31</xdr:row>
      <xdr:rowOff>92528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F2B0DDA-AE30-47D2-9265-102D601D6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54430</xdr:colOff>
      <xdr:row>77</xdr:row>
      <xdr:rowOff>10885</xdr:rowOff>
    </xdr:from>
    <xdr:to>
      <xdr:col>3</xdr:col>
      <xdr:colOff>696685</xdr:colOff>
      <xdr:row>95</xdr:row>
      <xdr:rowOff>108857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A5017CA-15F2-4D7B-A9B1-F62E55181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35379</xdr:colOff>
      <xdr:row>29</xdr:row>
      <xdr:rowOff>76198</xdr:rowOff>
    </xdr:from>
    <xdr:to>
      <xdr:col>7</xdr:col>
      <xdr:colOff>908956</xdr:colOff>
      <xdr:row>47</xdr:row>
      <xdr:rowOff>130628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B7BE5E-C666-4D9E-B8FA-0F99B1896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95894</xdr:colOff>
      <xdr:row>64</xdr:row>
      <xdr:rowOff>48182</xdr:rowOff>
    </xdr:from>
    <xdr:to>
      <xdr:col>8</xdr:col>
      <xdr:colOff>342900</xdr:colOff>
      <xdr:row>86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CA2DF6-1DB3-4E4B-9C48-C14C56929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48585</xdr:colOff>
      <xdr:row>99</xdr:row>
      <xdr:rowOff>87968</xdr:rowOff>
    </xdr:from>
    <xdr:to>
      <xdr:col>7</xdr:col>
      <xdr:colOff>892629</xdr:colOff>
      <xdr:row>121</xdr:row>
      <xdr:rowOff>85726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6080BD-0C7D-4EDC-AA97-86E742771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19</xdr:row>
      <xdr:rowOff>0</xdr:rowOff>
    </xdr:from>
    <xdr:to>
      <xdr:col>9</xdr:col>
      <xdr:colOff>136071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98309-CB09-4753-8AA2-611D19A63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195944</xdr:colOff>
      <xdr:row>30</xdr:row>
      <xdr:rowOff>0</xdr:rowOff>
    </xdr:from>
    <xdr:to>
      <xdr:col>9</xdr:col>
      <xdr:colOff>274866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A134EA-33F5-41D1-B635-ACA9044D2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6</xdr:row>
      <xdr:rowOff>0</xdr:rowOff>
    </xdr:from>
    <xdr:to>
      <xdr:col>8</xdr:col>
      <xdr:colOff>136071</xdr:colOff>
      <xdr:row>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720E97-83C7-4AC1-BDA9-E3A00ACB4C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185059</xdr:colOff>
      <xdr:row>6</xdr:row>
      <xdr:rowOff>0</xdr:rowOff>
    </xdr:from>
    <xdr:to>
      <xdr:col>8</xdr:col>
      <xdr:colOff>136071</xdr:colOff>
      <xdr:row>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C4F03-55EE-43A1-B01E-0FD3BCEB7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03ED-3DAD-4AB6-9609-25F6EDB5B5C0}">
  <sheetPr>
    <tabColor rgb="FF1440AA"/>
  </sheetPr>
  <dimension ref="A1"/>
  <sheetViews>
    <sheetView topLeftCell="A1048576" workbookViewId="0">
      <selection sqref="A1:XFD1048576"/>
    </sheetView>
  </sheetViews>
  <sheetFormatPr defaultRowHeight="14.6" customHeight="1" zeroHeight="1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649C-C8B8-48AB-92E9-BA8F2A304D33}">
  <dimension ref="B2:AD58"/>
  <sheetViews>
    <sheetView showGridLines="0" tabSelected="1" zoomScaleNormal="100" workbookViewId="0">
      <selection activeCell="B23" sqref="B23"/>
    </sheetView>
  </sheetViews>
  <sheetFormatPr defaultRowHeight="12.9" x14ac:dyDescent="0.35"/>
  <cols>
    <col min="1" max="1" width="3.07421875" style="3" customWidth="1"/>
    <col min="2" max="2" width="53.3828125" style="3" customWidth="1"/>
    <col min="3" max="10" width="12.61328125" style="29" customWidth="1"/>
    <col min="11" max="22" width="11.15234375" style="29" customWidth="1"/>
    <col min="23" max="30" width="11.15234375" style="3" customWidth="1"/>
    <col min="31" max="16384" width="9.23046875" style="3"/>
  </cols>
  <sheetData>
    <row r="2" spans="2:10" ht="15.9" x14ac:dyDescent="0.45">
      <c r="B2" s="1" t="s">
        <v>407</v>
      </c>
    </row>
    <row r="3" spans="2:10" x14ac:dyDescent="0.35">
      <c r="B3" s="6" t="s">
        <v>0</v>
      </c>
    </row>
    <row r="4" spans="2:10" x14ac:dyDescent="0.35">
      <c r="B4" s="259" t="s">
        <v>408</v>
      </c>
    </row>
    <row r="6" spans="2:10" x14ac:dyDescent="0.35">
      <c r="B6" s="5" t="s">
        <v>287</v>
      </c>
      <c r="C6" s="30"/>
      <c r="D6" s="30"/>
      <c r="E6" s="30"/>
      <c r="F6" s="30"/>
      <c r="G6" s="30"/>
      <c r="H6" s="30"/>
      <c r="I6" s="30"/>
      <c r="J6" s="30"/>
    </row>
    <row r="7" spans="2:10" ht="13.3" thickBot="1" x14ac:dyDescent="0.4"/>
    <row r="8" spans="2:10" x14ac:dyDescent="0.35">
      <c r="B8" s="190" t="s">
        <v>312</v>
      </c>
      <c r="C8" s="204">
        <v>44316</v>
      </c>
    </row>
    <row r="9" spans="2:10" x14ac:dyDescent="0.35">
      <c r="B9" s="191"/>
      <c r="C9" s="205"/>
    </row>
    <row r="10" spans="2:10" x14ac:dyDescent="0.35">
      <c r="B10" s="191" t="s">
        <v>304</v>
      </c>
      <c r="C10" s="206">
        <v>0.21</v>
      </c>
      <c r="D10" s="19" t="s">
        <v>305</v>
      </c>
    </row>
    <row r="11" spans="2:10" x14ac:dyDescent="0.35">
      <c r="B11" s="191" t="s">
        <v>306</v>
      </c>
      <c r="C11" s="206">
        <v>0.05</v>
      </c>
      <c r="D11" s="19" t="s">
        <v>307</v>
      </c>
    </row>
    <row r="12" spans="2:10" x14ac:dyDescent="0.35">
      <c r="B12" s="191" t="s">
        <v>338</v>
      </c>
      <c r="C12" s="206">
        <v>0.02</v>
      </c>
      <c r="D12" s="19" t="s">
        <v>307</v>
      </c>
    </row>
    <row r="13" spans="2:10" x14ac:dyDescent="0.35">
      <c r="B13" s="191" t="s">
        <v>309</v>
      </c>
      <c r="C13" s="212">
        <f>C12</f>
        <v>0.02</v>
      </c>
      <c r="D13" s="19" t="s">
        <v>307</v>
      </c>
    </row>
    <row r="14" spans="2:10" ht="13.3" thickBot="1" x14ac:dyDescent="0.4">
      <c r="B14" s="192" t="s">
        <v>315</v>
      </c>
      <c r="C14" s="250">
        <f>'Discount rate'!C11</f>
        <v>8.6630877740158097E-2</v>
      </c>
      <c r="D14" s="19"/>
    </row>
    <row r="15" spans="2:10" ht="13.3" thickBot="1" x14ac:dyDescent="0.4"/>
    <row r="16" spans="2:10" x14ac:dyDescent="0.35">
      <c r="B16" s="265" t="s">
        <v>313</v>
      </c>
      <c r="C16" s="266">
        <f>SUM($D$50:$J$50)</f>
        <v>80770.320261526198</v>
      </c>
    </row>
    <row r="17" spans="2:30" x14ac:dyDescent="0.35">
      <c r="B17" s="191" t="s">
        <v>314</v>
      </c>
      <c r="C17" s="203">
        <v>199.2</v>
      </c>
      <c r="D17" s="19" t="s">
        <v>387</v>
      </c>
    </row>
    <row r="18" spans="2:30" ht="13.3" thickBot="1" x14ac:dyDescent="0.4">
      <c r="B18" s="263" t="s">
        <v>363</v>
      </c>
      <c r="C18" s="264">
        <f>C16/C17</f>
        <v>405.47349528878618</v>
      </c>
    </row>
    <row r="19" spans="2:30" x14ac:dyDescent="0.35">
      <c r="C19" s="65"/>
    </row>
    <row r="20" spans="2:30" x14ac:dyDescent="0.35">
      <c r="C20" s="248"/>
      <c r="D20" s="248"/>
      <c r="E20" s="248"/>
      <c r="F20" s="248"/>
      <c r="G20" s="248"/>
    </row>
    <row r="21" spans="2:30" ht="13.3" thickBot="1" x14ac:dyDescent="0.4">
      <c r="B21" s="21" t="s">
        <v>325</v>
      </c>
    </row>
    <row r="22" spans="2:30" x14ac:dyDescent="0.35">
      <c r="B22" s="44" t="s">
        <v>17</v>
      </c>
      <c r="C22" s="160">
        <v>2020</v>
      </c>
      <c r="D22" s="159">
        <v>2021</v>
      </c>
      <c r="E22" s="159">
        <v>2022</v>
      </c>
      <c r="F22" s="159">
        <v>2023</v>
      </c>
      <c r="G22" s="159">
        <v>2024</v>
      </c>
      <c r="H22" s="159">
        <v>2025</v>
      </c>
      <c r="I22" s="159">
        <v>2026</v>
      </c>
      <c r="J22" s="159" t="s">
        <v>293</v>
      </c>
    </row>
    <row r="23" spans="2:30" x14ac:dyDescent="0.35">
      <c r="B23" s="28" t="s">
        <v>164</v>
      </c>
      <c r="C23" s="161">
        <v>44196</v>
      </c>
      <c r="D23" s="91">
        <v>44561</v>
      </c>
      <c r="E23" s="91">
        <v>44926</v>
      </c>
      <c r="F23" s="91">
        <v>45291</v>
      </c>
      <c r="G23" s="91">
        <v>45657</v>
      </c>
      <c r="H23" s="91">
        <v>46022</v>
      </c>
      <c r="I23" s="91">
        <v>46387</v>
      </c>
      <c r="J23" s="91"/>
    </row>
    <row r="24" spans="2:30" x14ac:dyDescent="0.35">
      <c r="B24" s="12" t="s">
        <v>208</v>
      </c>
      <c r="C24" s="182">
        <f>'IS (Annual)'!C11</f>
        <v>1040.2460000000001</v>
      </c>
      <c r="D24" s="172">
        <f>'Revenue forecast'!D11</f>
        <v>4039.4685904516127</v>
      </c>
      <c r="E24" s="172">
        <f>'Revenue forecast'!E11</f>
        <v>2218.5929091698176</v>
      </c>
      <c r="F24" s="172">
        <f>'Revenue forecast'!F11</f>
        <v>3168.2845642867446</v>
      </c>
      <c r="G24" s="172">
        <f>'Revenue forecast'!G11</f>
        <v>6830.08360428386</v>
      </c>
      <c r="H24" s="172">
        <f>'Revenue forecast'!H11</f>
        <v>16457.295057378269</v>
      </c>
      <c r="I24" s="172">
        <f>'Revenue forecast'!I11</f>
        <v>7797.0670563671174</v>
      </c>
      <c r="J24" s="172"/>
    </row>
    <row r="25" spans="2:30" x14ac:dyDescent="0.35">
      <c r="B25" s="10" t="s">
        <v>210</v>
      </c>
      <c r="C25" s="183">
        <f>'IS (Annual)'!C12</f>
        <v>55.927999999999997</v>
      </c>
      <c r="D25" s="175">
        <f>'Revenue forecast'!D12</f>
        <v>85.604768310980518</v>
      </c>
      <c r="E25" s="175">
        <f>'Revenue forecast'!E12</f>
        <v>82.913039309060139</v>
      </c>
      <c r="F25" s="175">
        <f>'Revenue forecast'!F12</f>
        <v>86.328331252696046</v>
      </c>
      <c r="G25" s="175">
        <f>'Revenue forecast'!G12</f>
        <v>748.9962329214768</v>
      </c>
      <c r="H25" s="175">
        <f>'Revenue forecast'!H12</f>
        <v>763.80439416163631</v>
      </c>
      <c r="I25" s="175">
        <f>'Revenue forecast'!I12</f>
        <v>778.76241839969748</v>
      </c>
      <c r="J25" s="175"/>
    </row>
    <row r="26" spans="2:30" x14ac:dyDescent="0.35">
      <c r="B26" s="7" t="s">
        <v>209</v>
      </c>
      <c r="C26" s="182">
        <f>SUM(C24:C25)</f>
        <v>1096.174</v>
      </c>
      <c r="D26" s="172">
        <f>SUM(D24:D25)</f>
        <v>4125.0733587625937</v>
      </c>
      <c r="E26" s="172">
        <f t="shared" ref="E26:I26" si="0">SUM(E24:E25)</f>
        <v>2301.5059484788776</v>
      </c>
      <c r="F26" s="172">
        <f t="shared" si="0"/>
        <v>3254.6128955394406</v>
      </c>
      <c r="G26" s="172">
        <f t="shared" si="0"/>
        <v>7579.0798372053368</v>
      </c>
      <c r="H26" s="172">
        <f t="shared" si="0"/>
        <v>17221.099451539907</v>
      </c>
      <c r="I26" s="172">
        <f t="shared" si="0"/>
        <v>8575.8294747668151</v>
      </c>
      <c r="J26" s="172"/>
    </row>
    <row r="27" spans="2:30" x14ac:dyDescent="0.35">
      <c r="B27" s="3" t="s">
        <v>15</v>
      </c>
      <c r="C27" s="184">
        <f>'IS (Annual)'!C20</f>
        <v>44.993000000000002</v>
      </c>
      <c r="D27" s="175">
        <f>'Revenue forecast'!D14</f>
        <v>270.91043311985879</v>
      </c>
      <c r="E27" s="175">
        <f>'Revenue forecast'!E14</f>
        <v>191.35045714767062</v>
      </c>
      <c r="F27" s="175">
        <f>'Revenue forecast'!F14</f>
        <v>289.92090932099069</v>
      </c>
      <c r="G27" s="175">
        <f>'Revenue forecast'!G14</f>
        <v>813.74126221153176</v>
      </c>
      <c r="H27" s="175">
        <f>'Revenue forecast'!H14</f>
        <v>2685.4271434526995</v>
      </c>
      <c r="I27" s="175">
        <f>'Revenue forecast'!I14</f>
        <v>1758.3428644170017</v>
      </c>
      <c r="J27" s="175"/>
    </row>
    <row r="28" spans="2:30" x14ac:dyDescent="0.35">
      <c r="B28" s="3" t="s">
        <v>1</v>
      </c>
      <c r="C28" s="184">
        <f>'IS (Annual)'!C26</f>
        <v>136.31399999999999</v>
      </c>
      <c r="D28" s="175">
        <f>'Revenue forecast'!D15</f>
        <v>138.01370725532445</v>
      </c>
      <c r="E28" s="175">
        <f>'Revenue forecast'!E15</f>
        <v>140.77398140043101</v>
      </c>
      <c r="F28" s="175">
        <f>'Revenue forecast'!F15</f>
        <v>143.58946102843967</v>
      </c>
      <c r="G28" s="175">
        <f>'Revenue forecast'!G15</f>
        <v>146.46125024900851</v>
      </c>
      <c r="H28" s="175">
        <f>'Revenue forecast'!H15</f>
        <v>149.39047525398874</v>
      </c>
      <c r="I28" s="175">
        <f>'Revenue forecast'!I15</f>
        <v>152.37828475906861</v>
      </c>
      <c r="J28" s="175"/>
    </row>
    <row r="29" spans="2:30" x14ac:dyDescent="0.35">
      <c r="B29" s="27" t="s">
        <v>21</v>
      </c>
      <c r="C29" s="185">
        <f>SUM(C26:C28)</f>
        <v>1277.481</v>
      </c>
      <c r="D29" s="179">
        <f t="shared" ref="D29:I29" si="1">SUM(D26:D28)</f>
        <v>4533.9974991377767</v>
      </c>
      <c r="E29" s="179">
        <f t="shared" si="1"/>
        <v>2633.6303870269794</v>
      </c>
      <c r="F29" s="179">
        <f t="shared" si="1"/>
        <v>3688.1232658888707</v>
      </c>
      <c r="G29" s="179">
        <f t="shared" si="1"/>
        <v>8539.2823496658784</v>
      </c>
      <c r="H29" s="179">
        <f t="shared" si="1"/>
        <v>20055.917070246596</v>
      </c>
      <c r="I29" s="179">
        <f t="shared" si="1"/>
        <v>10486.550623942885</v>
      </c>
      <c r="J29" s="179"/>
    </row>
    <row r="30" spans="2:30" x14ac:dyDescent="0.35">
      <c r="C30" s="184"/>
      <c r="D30" s="175"/>
      <c r="E30" s="175"/>
      <c r="F30" s="175"/>
      <c r="G30" s="175"/>
      <c r="H30" s="175"/>
      <c r="I30" s="175"/>
      <c r="J30" s="175"/>
    </row>
    <row r="31" spans="2:30" s="29" customFormat="1" x14ac:dyDescent="0.35">
      <c r="B31" s="10" t="s">
        <v>24</v>
      </c>
      <c r="C31" s="184">
        <f>'IS (Annual)'!C31</f>
        <v>-135.51400000000001</v>
      </c>
      <c r="D31" s="175">
        <f>-D29*Forecasts!$C$28</f>
        <v>-566.74968739222209</v>
      </c>
      <c r="E31" s="175">
        <f>-E29*Forecasts!$C$28</f>
        <v>-329.20379837837243</v>
      </c>
      <c r="F31" s="175">
        <f>-F29*Forecasts!$C$28</f>
        <v>-461.01540823610884</v>
      </c>
      <c r="G31" s="175">
        <f>-G29*Forecasts!$C$28</f>
        <v>-1067.4102937082348</v>
      </c>
      <c r="H31" s="175">
        <f>-H29*Forecasts!$C$28</f>
        <v>-2506.9896337808245</v>
      </c>
      <c r="I31" s="175">
        <f>-I29*Forecasts!$C$28</f>
        <v>-1310.8188279928606</v>
      </c>
      <c r="J31" s="175"/>
      <c r="W31" s="3"/>
      <c r="X31" s="3"/>
      <c r="Y31" s="3"/>
      <c r="Z31" s="3"/>
      <c r="AA31" s="3"/>
      <c r="AB31" s="3"/>
      <c r="AC31" s="3"/>
      <c r="AD31" s="3"/>
    </row>
    <row r="32" spans="2:30" s="29" customFormat="1" x14ac:dyDescent="0.35">
      <c r="B32" s="10" t="s">
        <v>26</v>
      </c>
      <c r="C32" s="184">
        <f>'IS (Annual)'!C33</f>
        <v>-56.781999999999996</v>
      </c>
      <c r="D32" s="175">
        <f>-D29*Forecasts!$C$27</f>
        <v>-612.08966238359994</v>
      </c>
      <c r="E32" s="175">
        <f>-E29*Forecasts!$C$27</f>
        <v>-355.54010224864226</v>
      </c>
      <c r="F32" s="175">
        <f>-F29*Forecasts!$C$27</f>
        <v>-497.89664089499757</v>
      </c>
      <c r="G32" s="175">
        <f>-G29*Forecasts!$C$27</f>
        <v>-1152.8031172048936</v>
      </c>
      <c r="H32" s="175">
        <f>-H29*Forecasts!$C$27</f>
        <v>-2707.5488044832905</v>
      </c>
      <c r="I32" s="175">
        <f>-I29*Forecasts!$C$27</f>
        <v>-1415.6843342322895</v>
      </c>
      <c r="J32" s="175"/>
      <c r="W32" s="3"/>
      <c r="X32" s="3"/>
      <c r="Y32" s="3"/>
      <c r="Z32" s="3"/>
      <c r="AA32" s="3"/>
      <c r="AB32" s="3"/>
      <c r="AC32" s="3"/>
      <c r="AD32" s="3"/>
    </row>
    <row r="33" spans="2:30" s="29" customFormat="1" x14ac:dyDescent="0.35">
      <c r="B33" s="10"/>
      <c r="C33" s="184"/>
      <c r="D33" s="175"/>
      <c r="E33" s="175"/>
      <c r="F33" s="175"/>
      <c r="G33" s="175"/>
      <c r="H33" s="175"/>
      <c r="I33" s="175"/>
      <c r="J33" s="175"/>
      <c r="W33" s="3"/>
      <c r="X33" s="3"/>
      <c r="Y33" s="3"/>
      <c r="Z33" s="3"/>
      <c r="AA33" s="3"/>
      <c r="AB33" s="3"/>
      <c r="AC33" s="3"/>
      <c r="AD33" s="3"/>
    </row>
    <row r="34" spans="2:30" s="29" customFormat="1" x14ac:dyDescent="0.35">
      <c r="B34" s="10" t="s">
        <v>426</v>
      </c>
      <c r="C34" s="184">
        <f>'IS (Annual)'!C32+'IS (Annual)'!C34</f>
        <v>-551.61200000000008</v>
      </c>
      <c r="D34" s="175">
        <f>-Forecasts!C26</f>
        <v>-1500</v>
      </c>
      <c r="E34" s="175">
        <f t="shared" ref="E34:I34" si="2">D34*(1+$C$11)</f>
        <v>-1575</v>
      </c>
      <c r="F34" s="175">
        <f t="shared" si="2"/>
        <v>-1653.75</v>
      </c>
      <c r="G34" s="175">
        <f t="shared" si="2"/>
        <v>-1736.4375</v>
      </c>
      <c r="H34" s="175">
        <f t="shared" si="2"/>
        <v>-1823.2593750000001</v>
      </c>
      <c r="I34" s="175">
        <f t="shared" si="2"/>
        <v>-1914.4223437500002</v>
      </c>
      <c r="J34" s="175"/>
      <c r="W34" s="3"/>
      <c r="X34" s="3"/>
      <c r="Y34" s="3"/>
      <c r="Z34" s="3"/>
      <c r="AA34" s="3"/>
      <c r="AB34" s="3"/>
      <c r="AC34" s="3"/>
      <c r="AD34" s="3"/>
    </row>
    <row r="35" spans="2:30" s="29" customFormat="1" x14ac:dyDescent="0.35">
      <c r="B35" s="10" t="s">
        <v>29</v>
      </c>
      <c r="C35" s="184">
        <f>'IS (Annual)'!C36</f>
        <v>-124.622</v>
      </c>
      <c r="D35" s="175">
        <f>C35*(1+$C$12)</f>
        <v>-127.11444</v>
      </c>
      <c r="E35" s="175">
        <f t="shared" ref="E35:I35" si="3">D35*(1+$C$12)</f>
        <v>-129.6567288</v>
      </c>
      <c r="F35" s="175">
        <f t="shared" si="3"/>
        <v>-132.24986337600001</v>
      </c>
      <c r="G35" s="175">
        <f t="shared" si="3"/>
        <v>-134.89486064352002</v>
      </c>
      <c r="H35" s="175">
        <f t="shared" si="3"/>
        <v>-137.59275785639042</v>
      </c>
      <c r="I35" s="175">
        <f t="shared" si="3"/>
        <v>-140.34461301351823</v>
      </c>
      <c r="J35" s="175"/>
      <c r="W35" s="3"/>
      <c r="X35" s="3"/>
      <c r="Y35" s="3"/>
      <c r="Z35" s="3"/>
      <c r="AA35" s="3"/>
      <c r="AB35" s="3"/>
      <c r="AC35" s="3"/>
      <c r="AD35" s="3"/>
    </row>
    <row r="36" spans="2:30" s="29" customFormat="1" x14ac:dyDescent="0.35">
      <c r="B36" s="166" t="s">
        <v>30</v>
      </c>
      <c r="C36" s="185">
        <f t="shared" ref="C36:I36" si="4">SUM(C31:C35)</f>
        <v>-868.53000000000009</v>
      </c>
      <c r="D36" s="179">
        <f t="shared" si="4"/>
        <v>-2805.9537897758219</v>
      </c>
      <c r="E36" s="179">
        <f t="shared" si="4"/>
        <v>-2389.4006294270148</v>
      </c>
      <c r="F36" s="179">
        <f t="shared" si="4"/>
        <v>-2744.9119125071065</v>
      </c>
      <c r="G36" s="179">
        <f t="shared" si="4"/>
        <v>-4091.5457715566486</v>
      </c>
      <c r="H36" s="179">
        <f t="shared" si="4"/>
        <v>-7175.3905711205052</v>
      </c>
      <c r="I36" s="179">
        <f t="shared" si="4"/>
        <v>-4781.2701189886684</v>
      </c>
      <c r="J36" s="179"/>
      <c r="W36" s="3"/>
      <c r="X36" s="3"/>
      <c r="Y36" s="3"/>
      <c r="Z36" s="3"/>
      <c r="AA36" s="3"/>
      <c r="AB36" s="3"/>
      <c r="AC36" s="3"/>
      <c r="AD36" s="3"/>
    </row>
    <row r="37" spans="2:30" s="29" customFormat="1" x14ac:dyDescent="0.35">
      <c r="B37" s="3"/>
      <c r="C37" s="184"/>
      <c r="D37" s="175"/>
      <c r="E37" s="175"/>
      <c r="F37" s="175"/>
      <c r="G37" s="175"/>
      <c r="H37" s="175"/>
      <c r="I37" s="175"/>
      <c r="J37" s="175"/>
      <c r="W37" s="3"/>
      <c r="X37" s="3"/>
      <c r="Y37" s="3"/>
      <c r="Z37" s="3"/>
      <c r="AA37" s="3"/>
      <c r="AB37" s="3"/>
      <c r="AC37" s="3"/>
      <c r="AD37" s="3"/>
    </row>
    <row r="38" spans="2:30" x14ac:dyDescent="0.35">
      <c r="B38" s="27" t="s">
        <v>31</v>
      </c>
      <c r="C38" s="185">
        <f t="shared" ref="C38:I38" si="5">C29+C36</f>
        <v>408.95099999999991</v>
      </c>
      <c r="D38" s="179">
        <f t="shared" si="5"/>
        <v>1728.0437093619548</v>
      </c>
      <c r="E38" s="179">
        <f t="shared" si="5"/>
        <v>244.22975759996461</v>
      </c>
      <c r="F38" s="179">
        <f t="shared" si="5"/>
        <v>943.21135338176418</v>
      </c>
      <c r="G38" s="179">
        <f t="shared" si="5"/>
        <v>4447.7365781092303</v>
      </c>
      <c r="H38" s="179">
        <f t="shared" si="5"/>
        <v>12880.526499126092</v>
      </c>
      <c r="I38" s="179">
        <f t="shared" si="5"/>
        <v>5705.2805049542167</v>
      </c>
      <c r="J38" s="167"/>
    </row>
    <row r="39" spans="2:30" x14ac:dyDescent="0.35">
      <c r="C39" s="184"/>
      <c r="D39" s="175"/>
      <c r="E39" s="175"/>
      <c r="F39" s="175"/>
      <c r="G39" s="175"/>
      <c r="H39" s="175"/>
      <c r="I39" s="175"/>
    </row>
    <row r="40" spans="2:30" x14ac:dyDescent="0.35">
      <c r="B40" s="3" t="s">
        <v>294</v>
      </c>
      <c r="C40" s="184">
        <f>'IS (Annual)'!C44</f>
        <v>-86.882000000000005</v>
      </c>
      <c r="D40" s="175">
        <f>D38*(-$C$10)</f>
        <v>-362.88917896601049</v>
      </c>
      <c r="E40" s="175">
        <f t="shared" ref="E40:I40" si="6">E38*(-$C$10)</f>
        <v>-51.288249095992569</v>
      </c>
      <c r="F40" s="175">
        <f t="shared" si="6"/>
        <v>-198.07438421017048</v>
      </c>
      <c r="G40" s="175">
        <f t="shared" si="6"/>
        <v>-934.02468140293831</v>
      </c>
      <c r="H40" s="175">
        <f t="shared" si="6"/>
        <v>-2704.9105648164791</v>
      </c>
      <c r="I40" s="175">
        <f t="shared" si="6"/>
        <v>-1198.1089060403854</v>
      </c>
    </row>
    <row r="41" spans="2:30" x14ac:dyDescent="0.35">
      <c r="B41" s="3" t="s">
        <v>295</v>
      </c>
      <c r="C41" s="184">
        <f>'IS (Annual)'!C48</f>
        <v>30.962</v>
      </c>
      <c r="D41" s="175"/>
      <c r="E41" s="175"/>
      <c r="F41" s="175"/>
      <c r="G41" s="175"/>
      <c r="H41" s="175"/>
      <c r="I41" s="175"/>
    </row>
    <row r="42" spans="2:30" x14ac:dyDescent="0.35">
      <c r="B42" s="3" t="s">
        <v>296</v>
      </c>
      <c r="C42" s="184">
        <f>CFS!C39+CFS!C41+CFS!C43</f>
        <v>-29.131</v>
      </c>
      <c r="D42" s="175"/>
      <c r="E42" s="175"/>
      <c r="F42" s="175"/>
      <c r="G42" s="175"/>
      <c r="H42" s="175"/>
      <c r="I42" s="175"/>
    </row>
    <row r="43" spans="2:30" x14ac:dyDescent="0.35">
      <c r="B43" s="3" t="s">
        <v>297</v>
      </c>
      <c r="C43" s="184"/>
      <c r="D43" s="175">
        <f>C44-D44</f>
        <v>-907.93285259420895</v>
      </c>
      <c r="E43" s="175">
        <f t="shared" ref="E43:I43" si="7">D44-E44</f>
        <v>529.83171850405438</v>
      </c>
      <c r="F43" s="175">
        <f t="shared" si="7"/>
        <v>-293.99781263164118</v>
      </c>
      <c r="G43" s="175">
        <f t="shared" si="7"/>
        <v>-1352.5270658042566</v>
      </c>
      <c r="H43" s="175">
        <f t="shared" si="7"/>
        <v>-3210.8945300632959</v>
      </c>
      <c r="I43" s="175">
        <f t="shared" si="7"/>
        <v>2667.9865363532585</v>
      </c>
    </row>
    <row r="44" spans="2:30" x14ac:dyDescent="0.35">
      <c r="B44" s="8" t="s">
        <v>298</v>
      </c>
      <c r="C44" s="184">
        <f>C45-C46</f>
        <v>356.16799999999967</v>
      </c>
      <c r="D44" s="175">
        <f>$C$44/$C$29*D29</f>
        <v>1264.1008525942086</v>
      </c>
      <c r="E44" s="175">
        <f t="shared" ref="E44:I44" si="8">$C$44/$C$29*E29</f>
        <v>734.26913409015424</v>
      </c>
      <c r="F44" s="175">
        <f t="shared" si="8"/>
        <v>1028.2669467217954</v>
      </c>
      <c r="G44" s="175">
        <f t="shared" si="8"/>
        <v>2380.794012526052</v>
      </c>
      <c r="H44" s="175">
        <f t="shared" si="8"/>
        <v>5591.6885425893479</v>
      </c>
      <c r="I44" s="175">
        <f t="shared" si="8"/>
        <v>2923.7020062360893</v>
      </c>
    </row>
    <row r="45" spans="2:30" ht="14.15" x14ac:dyDescent="0.35">
      <c r="B45" s="9" t="s">
        <v>379</v>
      </c>
      <c r="C45" s="184">
        <f>BS!C17-BS!C10/2</f>
        <v>4603.0230000000001</v>
      </c>
      <c r="D45" s="175"/>
      <c r="E45" s="175"/>
      <c r="F45" s="175"/>
      <c r="G45" s="175"/>
      <c r="H45" s="175"/>
      <c r="I45" s="175"/>
    </row>
    <row r="46" spans="2:30" x14ac:dyDescent="0.35">
      <c r="B46" s="9" t="s">
        <v>299</v>
      </c>
      <c r="C46" s="184">
        <f>BS!C35</f>
        <v>4246.8550000000005</v>
      </c>
      <c r="D46" s="175"/>
      <c r="E46" s="175"/>
      <c r="F46" s="175"/>
      <c r="G46" s="175"/>
      <c r="H46" s="175"/>
      <c r="I46" s="175"/>
    </row>
    <row r="47" spans="2:30" x14ac:dyDescent="0.35">
      <c r="C47" s="184"/>
      <c r="D47" s="175"/>
      <c r="E47" s="175"/>
      <c r="F47" s="175"/>
      <c r="G47" s="175"/>
      <c r="H47" s="175"/>
      <c r="I47" s="175"/>
    </row>
    <row r="48" spans="2:30" x14ac:dyDescent="0.35">
      <c r="B48" s="27" t="s">
        <v>308</v>
      </c>
      <c r="C48" s="186"/>
      <c r="D48" s="179">
        <f t="shared" ref="D48:I48" si="9">D38+SUM(D40:D43)</f>
        <v>457.2216778017355</v>
      </c>
      <c r="E48" s="126">
        <f t="shared" si="9"/>
        <v>722.77322700802642</v>
      </c>
      <c r="F48" s="126">
        <f t="shared" si="9"/>
        <v>451.13915653995252</v>
      </c>
      <c r="G48" s="126">
        <f t="shared" si="9"/>
        <v>2161.1848309020352</v>
      </c>
      <c r="H48" s="126">
        <f t="shared" si="9"/>
        <v>6964.7214042463165</v>
      </c>
      <c r="I48" s="126">
        <f t="shared" si="9"/>
        <v>7175.1581352670901</v>
      </c>
      <c r="J48" s="126">
        <f>I48*(1+$C$13)/($C$14-$C$13)</f>
        <v>109838.88470617447</v>
      </c>
    </row>
    <row r="49" spans="2:10" x14ac:dyDescent="0.35">
      <c r="B49" s="3" t="s">
        <v>310</v>
      </c>
      <c r="C49" s="165"/>
      <c r="D49" s="189">
        <f t="shared" ref="D49:I49" si="10">1/(1+$C$14)^(DATEDIF($C$8,D23,"d")/365)</f>
        <v>0.94575914042188514</v>
      </c>
      <c r="E49" s="189">
        <f t="shared" si="10"/>
        <v>0.87035916224721988</v>
      </c>
      <c r="F49" s="189">
        <f t="shared" si="10"/>
        <v>0.80097039397342207</v>
      </c>
      <c r="G49" s="189">
        <f t="shared" si="10"/>
        <v>0.73694583208627906</v>
      </c>
      <c r="H49" s="189">
        <f t="shared" si="10"/>
        <v>0.67819334714552637</v>
      </c>
      <c r="I49" s="189">
        <f t="shared" si="10"/>
        <v>0.62412486248867682</v>
      </c>
      <c r="J49" s="189">
        <f>I49</f>
        <v>0.62412486248867682</v>
      </c>
    </row>
    <row r="50" spans="2:10" ht="13.3" thickBot="1" x14ac:dyDescent="0.4">
      <c r="B50" s="127" t="s">
        <v>311</v>
      </c>
      <c r="C50" s="188"/>
      <c r="D50" s="132">
        <f>D48*D49</f>
        <v>432.42158098002147</v>
      </c>
      <c r="E50" s="132">
        <f t="shared" ref="E50:J50" si="11">E48*E49</f>
        <v>629.07230035342559</v>
      </c>
      <c r="F50" s="132">
        <f t="shared" si="11"/>
        <v>361.34910795064309</v>
      </c>
      <c r="G50" s="132">
        <f t="shared" si="11"/>
        <v>1592.6761535013445</v>
      </c>
      <c r="H50" s="132">
        <f t="shared" si="11"/>
        <v>4723.4277210819</v>
      </c>
      <c r="I50" s="132">
        <f t="shared" si="11"/>
        <v>4478.1945845080836</v>
      </c>
      <c r="J50" s="132">
        <f t="shared" si="11"/>
        <v>68553.178813150778</v>
      </c>
    </row>
    <row r="51" spans="2:10" x14ac:dyDescent="0.35">
      <c r="B51" s="25" t="s">
        <v>427</v>
      </c>
      <c r="C51" s="187"/>
      <c r="D51" s="187"/>
      <c r="E51" s="187"/>
      <c r="F51" s="187"/>
    </row>
    <row r="52" spans="2:10" x14ac:dyDescent="0.35">
      <c r="B52" s="26"/>
      <c r="C52" s="104"/>
      <c r="D52" s="104"/>
      <c r="E52" s="104"/>
      <c r="F52" s="104"/>
    </row>
    <row r="53" spans="2:10" x14ac:dyDescent="0.35">
      <c r="C53" s="104"/>
      <c r="D53" s="104"/>
      <c r="E53" s="104"/>
      <c r="F53" s="104"/>
      <c r="G53" s="104"/>
      <c r="H53" s="104"/>
      <c r="I53" s="104"/>
    </row>
    <row r="54" spans="2:10" x14ac:dyDescent="0.35">
      <c r="C54" s="104"/>
      <c r="D54" s="104"/>
      <c r="E54" s="104"/>
      <c r="F54" s="104"/>
    </row>
    <row r="55" spans="2:10" x14ac:dyDescent="0.35">
      <c r="C55" s="104"/>
      <c r="D55" s="104"/>
      <c r="E55" s="104"/>
      <c r="F55" s="104"/>
    </row>
    <row r="56" spans="2:10" x14ac:dyDescent="0.35">
      <c r="C56" s="104"/>
      <c r="D56" s="104"/>
      <c r="E56" s="104"/>
      <c r="F56" s="104"/>
    </row>
    <row r="57" spans="2:10" x14ac:dyDescent="0.35">
      <c r="C57" s="104"/>
      <c r="D57" s="104"/>
      <c r="E57" s="104"/>
      <c r="F57" s="104"/>
    </row>
    <row r="58" spans="2:10" x14ac:dyDescent="0.35">
      <c r="C58" s="104"/>
      <c r="D58" s="104"/>
      <c r="E58" s="104"/>
      <c r="F58" s="104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3A26-4E66-4DD7-B724-0728F31D6B34}">
  <dimension ref="B2:AF65"/>
  <sheetViews>
    <sheetView showGridLines="0" topLeftCell="A22" zoomScaleNormal="100" workbookViewId="0">
      <selection activeCell="B56" sqref="B56"/>
    </sheetView>
  </sheetViews>
  <sheetFormatPr defaultRowHeight="12.9" x14ac:dyDescent="0.35"/>
  <cols>
    <col min="1" max="1" width="3.07421875" style="3" customWidth="1"/>
    <col min="2" max="2" width="36" style="3" customWidth="1"/>
    <col min="3" max="6" width="11.53515625" style="29" customWidth="1"/>
    <col min="7" max="12" width="12.61328125" style="29" customWidth="1"/>
    <col min="13" max="24" width="11.15234375" style="29" customWidth="1"/>
    <col min="25" max="32" width="11.15234375" style="3" customWidth="1"/>
    <col min="33" max="16384" width="9.23046875" style="3"/>
  </cols>
  <sheetData>
    <row r="2" spans="2:32" ht="15.9" x14ac:dyDescent="0.45">
      <c r="B2" s="1" t="s">
        <v>407</v>
      </c>
    </row>
    <row r="3" spans="2:32" x14ac:dyDescent="0.35">
      <c r="B3" s="6" t="s">
        <v>0</v>
      </c>
    </row>
    <row r="4" spans="2:32" x14ac:dyDescent="0.35">
      <c r="B4" s="259" t="s">
        <v>408</v>
      </c>
    </row>
    <row r="6" spans="2:32" x14ac:dyDescent="0.35">
      <c r="B6" s="5" t="s">
        <v>316</v>
      </c>
      <c r="C6" s="30"/>
      <c r="D6" s="30"/>
      <c r="E6" s="30"/>
      <c r="F6" s="30"/>
      <c r="G6" s="30"/>
      <c r="H6" s="30"/>
    </row>
    <row r="7" spans="2:32" s="29" customFormat="1" x14ac:dyDescent="0.35">
      <c r="B7" s="3"/>
      <c r="Y7" s="3"/>
      <c r="Z7" s="3"/>
      <c r="AA7" s="3"/>
      <c r="AB7" s="3"/>
      <c r="AC7" s="3"/>
      <c r="AD7" s="3"/>
      <c r="AE7" s="3"/>
      <c r="AF7" s="3"/>
    </row>
    <row r="8" spans="2:32" s="29" customFormat="1" ht="13.3" thickBot="1" x14ac:dyDescent="0.4">
      <c r="B8" s="2" t="s">
        <v>318</v>
      </c>
      <c r="Y8" s="3"/>
      <c r="Z8" s="3"/>
      <c r="AA8" s="3"/>
      <c r="AB8" s="3"/>
      <c r="AC8" s="3"/>
      <c r="AD8" s="3"/>
      <c r="AE8" s="3"/>
      <c r="AF8" s="3"/>
    </row>
    <row r="9" spans="2:32" s="29" customFormat="1" x14ac:dyDescent="0.35">
      <c r="B9" s="11" t="s">
        <v>17</v>
      </c>
      <c r="C9" s="197">
        <v>2020</v>
      </c>
      <c r="D9" s="197"/>
      <c r="E9" s="197">
        <v>2019</v>
      </c>
      <c r="F9" s="197"/>
      <c r="Y9" s="3"/>
      <c r="Z9" s="3"/>
      <c r="AA9" s="3"/>
      <c r="AB9" s="3"/>
      <c r="AC9" s="3"/>
      <c r="AD9" s="3"/>
      <c r="AE9" s="3"/>
      <c r="AF9" s="3"/>
    </row>
    <row r="10" spans="2:32" s="29" customFormat="1" x14ac:dyDescent="0.35">
      <c r="B10" s="23" t="s">
        <v>12</v>
      </c>
      <c r="C10" s="130"/>
      <c r="D10" s="130"/>
      <c r="E10" s="130"/>
      <c r="F10" s="130"/>
      <c r="Y10" s="3"/>
      <c r="Z10" s="3"/>
      <c r="AA10" s="3"/>
      <c r="AB10" s="3"/>
      <c r="AC10" s="3"/>
      <c r="AD10" s="3"/>
      <c r="AE10" s="3"/>
      <c r="AF10" s="3"/>
    </row>
    <row r="11" spans="2:32" s="29" customFormat="1" x14ac:dyDescent="0.35">
      <c r="B11" s="16" t="s">
        <v>2</v>
      </c>
      <c r="C11" s="142">
        <f>'IS (Annual)'!C11</f>
        <v>1040.2460000000001</v>
      </c>
      <c r="D11" s="196">
        <f>C11/$C$22</f>
        <v>0.81429469401110477</v>
      </c>
      <c r="E11" s="142">
        <f>'IS (Annual)'!D11</f>
        <v>432.91899999999998</v>
      </c>
      <c r="F11" s="196">
        <f>E11/$E$22</f>
        <v>0.81111225608213811</v>
      </c>
      <c r="Y11" s="3"/>
      <c r="Z11" s="3"/>
      <c r="AA11" s="3"/>
      <c r="AB11" s="3"/>
      <c r="AC11" s="3"/>
      <c r="AD11" s="3"/>
      <c r="AE11" s="3"/>
      <c r="AF11" s="3"/>
    </row>
    <row r="12" spans="2:32" s="29" customFormat="1" x14ac:dyDescent="0.35">
      <c r="B12" s="16" t="s">
        <v>3</v>
      </c>
      <c r="C12" s="142">
        <f>'IS (Annual)'!C12</f>
        <v>55.927999999999997</v>
      </c>
      <c r="D12" s="196">
        <f>C12/$C$22</f>
        <v>4.3779907489817853E-2</v>
      </c>
      <c r="E12" s="142">
        <f>'IS (Annual)'!D12</f>
        <v>30.085999999999999</v>
      </c>
      <c r="F12" s="196">
        <f t="shared" ref="F12" si="0">E12/$E$22</f>
        <v>5.636879724957141E-2</v>
      </c>
      <c r="Y12" s="3"/>
      <c r="Z12" s="3"/>
      <c r="AA12" s="3"/>
      <c r="AB12" s="3"/>
      <c r="AC12" s="3"/>
      <c r="AD12" s="3"/>
      <c r="AE12" s="3"/>
      <c r="AF12" s="3"/>
    </row>
    <row r="13" spans="2:32" s="29" customFormat="1" x14ac:dyDescent="0.35">
      <c r="B13" s="155" t="s">
        <v>15</v>
      </c>
      <c r="C13" s="142"/>
      <c r="D13" s="196"/>
      <c r="E13" s="142"/>
      <c r="F13" s="196"/>
      <c r="Y13" s="3"/>
      <c r="Z13" s="3"/>
      <c r="AA13" s="3"/>
      <c r="AB13" s="3"/>
      <c r="AC13" s="3"/>
      <c r="AD13" s="3"/>
      <c r="AE13" s="3"/>
      <c r="AF13" s="3"/>
    </row>
    <row r="14" spans="2:32" s="29" customFormat="1" x14ac:dyDescent="0.35">
      <c r="B14" s="16" t="s">
        <v>5</v>
      </c>
      <c r="C14" s="142">
        <f>'IS (Annual)'!C15</f>
        <v>18.561</v>
      </c>
      <c r="D14" s="196">
        <f>C14/$C$22</f>
        <v>1.4529374605180037E-2</v>
      </c>
      <c r="E14" s="142">
        <f>'IS (Annual)'!D15</f>
        <v>3.0089999999999999</v>
      </c>
      <c r="F14" s="196">
        <f t="shared" ref="F14:F18" si="1">E14/$E$22</f>
        <v>5.6376291605384687E-3</v>
      </c>
      <c r="Y14" s="3"/>
      <c r="Z14" s="3"/>
      <c r="AA14" s="3"/>
      <c r="AB14" s="3"/>
      <c r="AC14" s="3"/>
      <c r="AD14" s="3"/>
      <c r="AE14" s="3"/>
      <c r="AF14" s="3"/>
    </row>
    <row r="15" spans="2:32" s="29" customFormat="1" x14ac:dyDescent="0.35">
      <c r="B15" s="16" t="s">
        <v>6</v>
      </c>
      <c r="C15" s="142">
        <f>'IS (Annual)'!C16</f>
        <v>10.413</v>
      </c>
      <c r="D15" s="196">
        <f>C15/$C$22</f>
        <v>8.1511975520575253E-3</v>
      </c>
      <c r="E15" s="142">
        <f>'IS (Annual)'!D16</f>
        <v>0.188</v>
      </c>
      <c r="F15" s="196">
        <f t="shared" si="1"/>
        <v>3.5223472322407187E-4</v>
      </c>
      <c r="Y15" s="3"/>
      <c r="Z15" s="3"/>
      <c r="AA15" s="3"/>
      <c r="AB15" s="3"/>
      <c r="AC15" s="3"/>
      <c r="AD15" s="3"/>
      <c r="AE15" s="3"/>
      <c r="AF15" s="3"/>
    </row>
    <row r="16" spans="2:32" s="29" customFormat="1" x14ac:dyDescent="0.35">
      <c r="B16" s="16" t="s">
        <v>7</v>
      </c>
      <c r="C16" s="142">
        <f>'IS (Annual)'!C17</f>
        <v>7.72</v>
      </c>
      <c r="D16" s="196">
        <f>C16/$C$22</f>
        <v>6.0431427160169112E-3</v>
      </c>
      <c r="E16" s="142">
        <f>'IS (Annual)'!D17</f>
        <v>0.11700000000000001</v>
      </c>
      <c r="F16" s="196">
        <f t="shared" si="1"/>
        <v>2.1920990753838515E-4</v>
      </c>
      <c r="Y16" s="3"/>
      <c r="Z16" s="3"/>
      <c r="AA16" s="3"/>
      <c r="AB16" s="3"/>
      <c r="AC16" s="3"/>
      <c r="AD16" s="3"/>
      <c r="AE16" s="3"/>
      <c r="AF16" s="3"/>
    </row>
    <row r="17" spans="2:32" s="29" customFormat="1" x14ac:dyDescent="0.35">
      <c r="B17" s="16" t="s">
        <v>8</v>
      </c>
      <c r="C17" s="142">
        <f>'IS (Annual)'!C18</f>
        <v>5.5350000000000001</v>
      </c>
      <c r="D17" s="196">
        <f>C17/$C$22</f>
        <v>4.3327454576623844E-3</v>
      </c>
      <c r="E17" s="142">
        <f>'IS (Annual)'!D18</f>
        <v>14.414</v>
      </c>
      <c r="F17" s="196">
        <f t="shared" si="1"/>
        <v>2.7005911173147722E-2</v>
      </c>
      <c r="Y17" s="3"/>
      <c r="Z17" s="3"/>
      <c r="AA17" s="3"/>
      <c r="AB17" s="3"/>
      <c r="AC17" s="3"/>
      <c r="AD17" s="3"/>
      <c r="AE17" s="3"/>
      <c r="AF17" s="3"/>
    </row>
    <row r="18" spans="2:32" x14ac:dyDescent="0.35">
      <c r="B18" s="16" t="s">
        <v>9</v>
      </c>
      <c r="C18" s="142">
        <f>'IS (Annual)'!C19</f>
        <v>2.7639999999999998</v>
      </c>
      <c r="D18" s="196">
        <f>C18/$C$22</f>
        <v>2.1636329620557957E-3</v>
      </c>
      <c r="E18" s="142">
        <f>'IS (Annual)'!D19</f>
        <v>2.2160000000000002</v>
      </c>
      <c r="F18" s="196">
        <f t="shared" si="1"/>
        <v>4.1518731205560811E-3</v>
      </c>
    </row>
    <row r="19" spans="2:32" x14ac:dyDescent="0.35">
      <c r="B19" s="155" t="s">
        <v>1</v>
      </c>
      <c r="C19" s="142"/>
      <c r="D19" s="196"/>
      <c r="E19" s="142"/>
      <c r="F19" s="196"/>
    </row>
    <row r="20" spans="2:32" x14ac:dyDescent="0.35">
      <c r="B20" s="16" t="s">
        <v>16</v>
      </c>
      <c r="C20" s="142">
        <f>'IS (Annual)'!C24</f>
        <v>133.68799999999999</v>
      </c>
      <c r="D20" s="196">
        <f>C20/$C$22</f>
        <v>0.10464969733405036</v>
      </c>
      <c r="E20" s="142">
        <f>'IS (Annual)'!D24</f>
        <v>39.863</v>
      </c>
      <c r="F20" s="196">
        <f>E20/$E$22</f>
        <v>7.468687644617647E-2</v>
      </c>
    </row>
    <row r="21" spans="2:32" x14ac:dyDescent="0.35">
      <c r="B21" s="16" t="s">
        <v>19</v>
      </c>
      <c r="C21" s="142">
        <f>'IS (Annual)'!C25</f>
        <v>2.6259999999999999</v>
      </c>
      <c r="D21" s="196">
        <f>C21/$C$22</f>
        <v>2.055607872054457E-3</v>
      </c>
      <c r="E21" s="142">
        <f>'IS (Annual)'!D25</f>
        <v>10.923</v>
      </c>
      <c r="F21" s="196">
        <f>E21/$E$22</f>
        <v>2.0465212137109241E-2</v>
      </c>
    </row>
    <row r="22" spans="2:32" ht="13.3" thickBot="1" x14ac:dyDescent="0.4">
      <c r="B22" s="24" t="s">
        <v>317</v>
      </c>
      <c r="C22" s="195">
        <f>SUM(C11:C21)</f>
        <v>1277.481</v>
      </c>
      <c r="D22" s="195"/>
      <c r="E22" s="195">
        <f>SUM(E11:E21)</f>
        <v>533.73500000000001</v>
      </c>
      <c r="F22" s="195"/>
    </row>
    <row r="24" spans="2:32" x14ac:dyDescent="0.35">
      <c r="B24" s="4"/>
    </row>
    <row r="25" spans="2:32" ht="13.3" thickBot="1" x14ac:dyDescent="0.4">
      <c r="B25" s="2" t="s">
        <v>320</v>
      </c>
    </row>
    <row r="26" spans="2:32" x14ac:dyDescent="0.35">
      <c r="B26" s="11" t="s">
        <v>17</v>
      </c>
      <c r="C26" s="194">
        <v>2020</v>
      </c>
      <c r="D26" s="194">
        <v>2019</v>
      </c>
    </row>
    <row r="27" spans="2:32" x14ac:dyDescent="0.35">
      <c r="B27" s="23" t="s">
        <v>13</v>
      </c>
      <c r="C27" s="130"/>
      <c r="D27" s="130"/>
    </row>
    <row r="28" spans="2:32" x14ac:dyDescent="0.35">
      <c r="B28" s="16" t="s">
        <v>321</v>
      </c>
      <c r="C28" s="156">
        <f>SUM(Operational!K15:N15)</f>
        <v>73</v>
      </c>
      <c r="D28" s="202">
        <f>SUM(Operational!G15:J15)</f>
        <v>34</v>
      </c>
    </row>
    <row r="29" spans="2:32" x14ac:dyDescent="0.35">
      <c r="B29" s="16" t="s">
        <v>322</v>
      </c>
      <c r="C29" s="130">
        <f>'IS (Annual)'!C11</f>
        <v>1040.2460000000001</v>
      </c>
      <c r="D29" s="130">
        <f>'IS (Annual)'!D11</f>
        <v>432.91899999999998</v>
      </c>
    </row>
    <row r="30" spans="2:32" x14ac:dyDescent="0.35">
      <c r="B30" s="170" t="s">
        <v>323</v>
      </c>
      <c r="C30" s="200">
        <f>C29/C28/10^3</f>
        <v>1.4249945205479455E-2</v>
      </c>
      <c r="D30" s="200">
        <f>D29/D28/10^3</f>
        <v>1.2732911764705881E-2</v>
      </c>
    </row>
    <row r="31" spans="2:32" x14ac:dyDescent="0.35">
      <c r="B31" s="23" t="s">
        <v>14</v>
      </c>
      <c r="C31" s="100"/>
      <c r="D31" s="100"/>
    </row>
    <row r="32" spans="2:32" x14ac:dyDescent="0.35">
      <c r="B32" s="16" t="s">
        <v>321</v>
      </c>
      <c r="C32" s="148">
        <f>SUM(Operational!K16:N16)</f>
        <v>119</v>
      </c>
      <c r="D32" s="156">
        <f>SUM(Operational!G16:J16)</f>
        <v>45</v>
      </c>
    </row>
    <row r="33" spans="2:6" x14ac:dyDescent="0.35">
      <c r="B33" s="16" t="s">
        <v>322</v>
      </c>
      <c r="C33" s="156">
        <f>'IS (Annual)'!C12</f>
        <v>55.927999999999997</v>
      </c>
      <c r="D33" s="156">
        <f>'IS (Annual)'!D12</f>
        <v>30.085999999999999</v>
      </c>
    </row>
    <row r="34" spans="2:6" ht="13.3" thickBot="1" x14ac:dyDescent="0.4">
      <c r="B34" s="40" t="s">
        <v>323</v>
      </c>
      <c r="C34" s="201">
        <f t="shared" ref="C34:D34" si="2">C33/C32/10^3</f>
        <v>4.6998319327731092E-4</v>
      </c>
      <c r="D34" s="201">
        <f t="shared" si="2"/>
        <v>6.6857777777777768E-4</v>
      </c>
    </row>
    <row r="37" spans="2:6" ht="13.3" thickBot="1" x14ac:dyDescent="0.4">
      <c r="B37" s="2" t="s">
        <v>406</v>
      </c>
    </row>
    <row r="38" spans="2:6" x14ac:dyDescent="0.35">
      <c r="B38" s="11" t="s">
        <v>17</v>
      </c>
      <c r="C38" s="197">
        <v>2020</v>
      </c>
      <c r="D38" s="197"/>
      <c r="E38" s="197">
        <v>2019</v>
      </c>
      <c r="F38" s="197"/>
    </row>
    <row r="39" spans="2:6" x14ac:dyDescent="0.35">
      <c r="B39" s="23" t="s">
        <v>399</v>
      </c>
      <c r="C39" s="130"/>
      <c r="D39" s="130"/>
      <c r="E39" s="130"/>
      <c r="F39" s="130"/>
    </row>
    <row r="40" spans="2:6" x14ac:dyDescent="0.35">
      <c r="B40" s="16" t="s">
        <v>401</v>
      </c>
      <c r="C40" s="67">
        <f>'IS (Annual)'!C31</f>
        <v>-135.51400000000001</v>
      </c>
      <c r="D40" s="196">
        <f>C40/$C$48</f>
        <v>0.14187511254611776</v>
      </c>
      <c r="E40" s="67">
        <f>'IS (Annual)'!D31</f>
        <v>-82.055000000000007</v>
      </c>
      <c r="F40" s="196">
        <f>E40/$E$48</f>
        <v>0.14811853092699762</v>
      </c>
    </row>
    <row r="41" spans="2:6" x14ac:dyDescent="0.35">
      <c r="B41" s="16" t="s">
        <v>26</v>
      </c>
      <c r="C41" s="67">
        <f>'IS (Annual)'!C33</f>
        <v>-56.781999999999996</v>
      </c>
      <c r="D41" s="196">
        <f t="shared" ref="D41:D47" si="3">C41/$C$48</f>
        <v>5.9447382857812897E-2</v>
      </c>
      <c r="E41" s="67">
        <f>'IS (Annual)'!D33</f>
        <v>-24.15</v>
      </c>
      <c r="F41" s="196">
        <f t="shared" ref="F41:F47" si="4">E41/$E$48</f>
        <v>4.3593474156200011E-2</v>
      </c>
    </row>
    <row r="42" spans="2:6" x14ac:dyDescent="0.35">
      <c r="B42" s="155" t="s">
        <v>400</v>
      </c>
      <c r="C42" s="67"/>
      <c r="D42" s="196"/>
      <c r="E42" s="67"/>
      <c r="F42" s="196"/>
    </row>
    <row r="43" spans="2:6" x14ac:dyDescent="0.35">
      <c r="B43" s="16" t="s">
        <v>25</v>
      </c>
      <c r="C43" s="67">
        <f>'IS (Annual)'!C32</f>
        <v>-271.73200000000003</v>
      </c>
      <c r="D43" s="196">
        <f t="shared" si="3"/>
        <v>0.28448727129581941</v>
      </c>
      <c r="E43" s="67">
        <f>'IS (Annual)'!D32</f>
        <v>-185.04400000000001</v>
      </c>
      <c r="F43" s="196">
        <f t="shared" si="4"/>
        <v>0.33402529324057456</v>
      </c>
    </row>
    <row r="44" spans="2:6" x14ac:dyDescent="0.35">
      <c r="B44" s="16" t="s">
        <v>27</v>
      </c>
      <c r="C44" s="67">
        <f>'IS (Annual)'!C34</f>
        <v>-279.88</v>
      </c>
      <c r="D44" s="196">
        <f t="shared" si="3"/>
        <v>0.29301774354979876</v>
      </c>
      <c r="E44" s="67">
        <f>'IS (Annual)'!D34</f>
        <v>-231.929</v>
      </c>
      <c r="F44" s="196">
        <f t="shared" si="4"/>
        <v>0.41865800693885352</v>
      </c>
    </row>
    <row r="45" spans="2:6" x14ac:dyDescent="0.35">
      <c r="B45" s="16" t="s">
        <v>402</v>
      </c>
      <c r="C45" s="67">
        <f>'IS (Annual)'!C36</f>
        <v>-124.622</v>
      </c>
      <c r="D45" s="196">
        <f t="shared" si="3"/>
        <v>0.1304718352031693</v>
      </c>
      <c r="E45" s="67">
        <f>'IS (Annual)'!D36</f>
        <v>-46.2</v>
      </c>
      <c r="F45" s="196">
        <f t="shared" si="4"/>
        <v>8.3396211429252201E-2</v>
      </c>
    </row>
    <row r="46" spans="2:6" x14ac:dyDescent="0.35">
      <c r="B46" s="16" t="s">
        <v>403</v>
      </c>
      <c r="C46" s="67">
        <f>'IS (Annual)'!C40</f>
        <v>0.248</v>
      </c>
      <c r="D46" s="196">
        <f t="shared" si="3"/>
        <v>-2.5964127626250573E-4</v>
      </c>
      <c r="E46" s="67">
        <f>'IS (Annual)'!D40</f>
        <v>0.36699999999999999</v>
      </c>
      <c r="F46" s="196">
        <f t="shared" si="4"/>
        <v>-6.6247639815012025E-4</v>
      </c>
    </row>
    <row r="47" spans="2:6" x14ac:dyDescent="0.35">
      <c r="B47" s="16" t="s">
        <v>404</v>
      </c>
      <c r="C47" s="67">
        <f>'IS (Annual)'!C44</f>
        <v>-86.882000000000005</v>
      </c>
      <c r="D47" s="196">
        <f t="shared" si="3"/>
        <v>9.0960295823544451E-2</v>
      </c>
      <c r="E47" s="67">
        <f>'IS (Annual)'!D44</f>
        <v>15.029</v>
      </c>
      <c r="F47" s="196">
        <f t="shared" si="4"/>
        <v>-2.7129040293727952E-2</v>
      </c>
    </row>
    <row r="48" spans="2:6" ht="13.3" thickBot="1" x14ac:dyDescent="0.4">
      <c r="B48" s="24" t="s">
        <v>405</v>
      </c>
      <c r="C48" s="63">
        <f>SUM(C40:C47)</f>
        <v>-955.16399999999999</v>
      </c>
      <c r="D48" s="258"/>
      <c r="E48" s="63">
        <f>SUM(E40:E47)</f>
        <v>-553.98200000000008</v>
      </c>
      <c r="F48" s="258"/>
    </row>
    <row r="52" spans="2:8" ht="13.3" thickBot="1" x14ac:dyDescent="0.4">
      <c r="B52" s="2" t="s">
        <v>429</v>
      </c>
    </row>
    <row r="53" spans="2:8" x14ac:dyDescent="0.35">
      <c r="B53" s="11" t="s">
        <v>17</v>
      </c>
      <c r="C53" s="194">
        <v>2021</v>
      </c>
      <c r="D53" s="194">
        <v>2022</v>
      </c>
      <c r="E53" s="194">
        <v>2023</v>
      </c>
      <c r="F53" s="194">
        <v>2024</v>
      </c>
      <c r="G53" s="194">
        <v>2025</v>
      </c>
      <c r="H53" s="194">
        <v>2026</v>
      </c>
    </row>
    <row r="54" spans="2:8" x14ac:dyDescent="0.35">
      <c r="B54" s="16" t="s">
        <v>197</v>
      </c>
      <c r="C54" s="175">
        <f>DCF!D26</f>
        <v>4125.0733587625937</v>
      </c>
      <c r="D54" s="175">
        <f>DCF!E26</f>
        <v>2301.5059484788776</v>
      </c>
      <c r="E54" s="175">
        <f>DCF!F26</f>
        <v>3254.6128955394406</v>
      </c>
      <c r="F54" s="175">
        <f>DCF!G26</f>
        <v>7579.0798372053368</v>
      </c>
      <c r="G54" s="175">
        <f>DCF!H26</f>
        <v>17221.099451539907</v>
      </c>
      <c r="H54" s="175">
        <f>DCF!I26</f>
        <v>8575.8294747668151</v>
      </c>
    </row>
    <row r="55" spans="2:8" x14ac:dyDescent="0.35">
      <c r="B55" s="16" t="s">
        <v>431</v>
      </c>
      <c r="C55" s="173">
        <f>DCF!D27</f>
        <v>270.91043311985879</v>
      </c>
      <c r="D55" s="173">
        <f>DCF!E27</f>
        <v>191.35045714767062</v>
      </c>
      <c r="E55" s="173">
        <f>DCF!F27</f>
        <v>289.92090932099069</v>
      </c>
      <c r="F55" s="173">
        <f>DCF!G27</f>
        <v>813.74126221153176</v>
      </c>
      <c r="G55" s="173">
        <f>DCF!H27</f>
        <v>2685.4271434526995</v>
      </c>
      <c r="H55" s="173">
        <f>DCF!I27</f>
        <v>1758.3428644170017</v>
      </c>
    </row>
    <row r="56" spans="2:8" x14ac:dyDescent="0.35">
      <c r="B56" s="170" t="s">
        <v>1</v>
      </c>
      <c r="C56" s="269">
        <f>DCF!D28</f>
        <v>138.01370725532445</v>
      </c>
      <c r="D56" s="269">
        <f>DCF!E28</f>
        <v>140.77398140043101</v>
      </c>
      <c r="E56" s="269">
        <f>DCF!F28</f>
        <v>143.58946102843967</v>
      </c>
      <c r="F56" s="269">
        <f>DCF!G28</f>
        <v>146.46125024900851</v>
      </c>
      <c r="G56" s="269">
        <f>DCF!H28</f>
        <v>149.39047525398874</v>
      </c>
      <c r="H56" s="269">
        <f>DCF!I28</f>
        <v>152.37828475906861</v>
      </c>
    </row>
    <row r="57" spans="2:8" x14ac:dyDescent="0.35">
      <c r="B57" s="155" t="s">
        <v>21</v>
      </c>
      <c r="C57" s="271">
        <f>SUM(C54:C56)</f>
        <v>4533.9974991377767</v>
      </c>
      <c r="D57" s="271">
        <f t="shared" ref="D57:H57" si="5">SUM(D54:D56)</f>
        <v>2633.6303870269794</v>
      </c>
      <c r="E57" s="271">
        <f t="shared" si="5"/>
        <v>3688.1232658888707</v>
      </c>
      <c r="F57" s="271">
        <f t="shared" si="5"/>
        <v>8539.2823496658784</v>
      </c>
      <c r="G57" s="271">
        <f t="shared" si="5"/>
        <v>20055.917070246596</v>
      </c>
      <c r="H57" s="271">
        <f t="shared" si="5"/>
        <v>10486.550623942885</v>
      </c>
    </row>
    <row r="58" spans="2:8" x14ac:dyDescent="0.35">
      <c r="B58" s="16" t="s">
        <v>24</v>
      </c>
      <c r="C58" s="268">
        <f>DCF!D31</f>
        <v>-566.74968739222209</v>
      </c>
      <c r="D58" s="268">
        <f>DCF!E31</f>
        <v>-329.20379837837243</v>
      </c>
      <c r="E58" s="268">
        <f>DCF!F31</f>
        <v>-461.01540823610884</v>
      </c>
      <c r="F58" s="268">
        <f>DCF!G31</f>
        <v>-1067.4102937082348</v>
      </c>
      <c r="G58" s="268">
        <f>DCF!H31</f>
        <v>-2506.9896337808245</v>
      </c>
      <c r="H58" s="268">
        <f>DCF!I31</f>
        <v>-1310.8188279928606</v>
      </c>
    </row>
    <row r="59" spans="2:8" x14ac:dyDescent="0.35">
      <c r="B59" s="16" t="s">
        <v>26</v>
      </c>
      <c r="C59" s="268">
        <f>DCF!D32</f>
        <v>-612.08966238359994</v>
      </c>
      <c r="D59" s="268">
        <f>DCF!E32</f>
        <v>-355.54010224864226</v>
      </c>
      <c r="E59" s="268">
        <f>DCF!F32</f>
        <v>-497.89664089499757</v>
      </c>
      <c r="F59" s="268">
        <f>DCF!G32</f>
        <v>-1152.8031172048936</v>
      </c>
      <c r="G59" s="268">
        <f>DCF!H32</f>
        <v>-2707.5488044832905</v>
      </c>
      <c r="H59" s="268">
        <f>DCF!I32</f>
        <v>-1415.6843342322895</v>
      </c>
    </row>
    <row r="60" spans="2:8" x14ac:dyDescent="0.35">
      <c r="B60" s="16" t="s">
        <v>426</v>
      </c>
      <c r="C60" s="173">
        <f>DCF!D34</f>
        <v>-1500</v>
      </c>
      <c r="D60" s="173">
        <f>DCF!E34</f>
        <v>-1575</v>
      </c>
      <c r="E60" s="173">
        <f>DCF!F34</f>
        <v>-1653.75</v>
      </c>
      <c r="F60" s="173">
        <f>DCF!G34</f>
        <v>-1736.4375</v>
      </c>
      <c r="G60" s="173">
        <f>DCF!H34</f>
        <v>-1823.2593750000001</v>
      </c>
      <c r="H60" s="173">
        <f>DCF!I34</f>
        <v>-1914.4223437500002</v>
      </c>
    </row>
    <row r="61" spans="2:8" x14ac:dyDescent="0.35">
      <c r="B61" s="16" t="s">
        <v>29</v>
      </c>
      <c r="C61" s="268">
        <f>DCF!D35</f>
        <v>-127.11444</v>
      </c>
      <c r="D61" s="268">
        <f>DCF!E35</f>
        <v>-129.6567288</v>
      </c>
      <c r="E61" s="268">
        <f>DCF!F35</f>
        <v>-132.24986337600001</v>
      </c>
      <c r="F61" s="268">
        <f>DCF!G35</f>
        <v>-134.89486064352002</v>
      </c>
      <c r="G61" s="268">
        <f>DCF!H35</f>
        <v>-137.59275785639042</v>
      </c>
      <c r="H61" s="268">
        <f>DCF!I35</f>
        <v>-140.34461301351823</v>
      </c>
    </row>
    <row r="62" spans="2:8" x14ac:dyDescent="0.35">
      <c r="B62" s="166" t="s">
        <v>430</v>
      </c>
      <c r="C62" s="179">
        <f>SUM(C57:C61)</f>
        <v>1728.0437093619551</v>
      </c>
      <c r="D62" s="179">
        <f t="shared" ref="D62:H62" si="6">SUM(D57:D61)</f>
        <v>244.22975759996473</v>
      </c>
      <c r="E62" s="179">
        <f t="shared" si="6"/>
        <v>943.2113533817643</v>
      </c>
      <c r="F62" s="179">
        <f t="shared" si="6"/>
        <v>4447.7365781092294</v>
      </c>
      <c r="G62" s="179">
        <f t="shared" si="6"/>
        <v>12880.526499126092</v>
      </c>
      <c r="H62" s="179">
        <f t="shared" si="6"/>
        <v>5705.2805049542167</v>
      </c>
    </row>
    <row r="63" spans="2:8" x14ac:dyDescent="0.35">
      <c r="B63" s="8" t="s">
        <v>294</v>
      </c>
      <c r="C63" s="175">
        <f>DCF!D40</f>
        <v>-362.88917896601049</v>
      </c>
      <c r="D63" s="175">
        <f>DCF!E40</f>
        <v>-51.288249095992569</v>
      </c>
      <c r="E63" s="175">
        <f>DCF!F40</f>
        <v>-198.07438421017048</v>
      </c>
      <c r="F63" s="175">
        <f>DCF!G40</f>
        <v>-934.02468140293831</v>
      </c>
      <c r="G63" s="175">
        <f>DCF!H40</f>
        <v>-2704.9105648164791</v>
      </c>
      <c r="H63" s="175">
        <f>DCF!I40</f>
        <v>-1198.1089060403854</v>
      </c>
    </row>
    <row r="64" spans="2:8" x14ac:dyDescent="0.35">
      <c r="B64" s="8" t="s">
        <v>297</v>
      </c>
      <c r="C64" s="175">
        <f>DCF!D43</f>
        <v>-907.93285259420895</v>
      </c>
      <c r="D64" s="175">
        <f>DCF!E43</f>
        <v>529.83171850405438</v>
      </c>
      <c r="E64" s="175">
        <f>DCF!F43</f>
        <v>-293.99781263164118</v>
      </c>
      <c r="F64" s="175">
        <f>DCF!G43</f>
        <v>-1352.5270658042566</v>
      </c>
      <c r="G64" s="175">
        <f>DCF!H43</f>
        <v>-3210.8945300632959</v>
      </c>
      <c r="H64" s="175">
        <f>DCF!I43</f>
        <v>2667.9865363532585</v>
      </c>
    </row>
    <row r="65" spans="2:8" ht="13.3" thickBot="1" x14ac:dyDescent="0.4">
      <c r="B65" s="267" t="s">
        <v>428</v>
      </c>
      <c r="C65" s="270">
        <f>SUM(C62:C64)</f>
        <v>457.22167780173572</v>
      </c>
      <c r="D65" s="270">
        <f t="shared" ref="D65:H65" si="7">SUM(D62:D64)</f>
        <v>722.77322700802654</v>
      </c>
      <c r="E65" s="270">
        <f t="shared" si="7"/>
        <v>451.13915653995264</v>
      </c>
      <c r="F65" s="270">
        <f t="shared" si="7"/>
        <v>2161.1848309020343</v>
      </c>
      <c r="G65" s="270">
        <f t="shared" si="7"/>
        <v>6964.7214042463174</v>
      </c>
      <c r="H65" s="270">
        <f t="shared" si="7"/>
        <v>7175.1581352670892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0994-572F-45DB-BC67-0A738D5AD265}">
  <sheetPr>
    <tabColor rgb="FF1440AA"/>
  </sheetPr>
  <dimension ref="A1"/>
  <sheetViews>
    <sheetView topLeftCell="A1048576" workbookViewId="0">
      <selection activeCell="L24" sqref="L24"/>
    </sheetView>
  </sheetViews>
  <sheetFormatPr defaultRowHeight="14.6" customHeight="1" zeroHeight="1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C788-35D8-492D-B821-0BF79B9B1F3C}">
  <dimension ref="B2:ASR129"/>
  <sheetViews>
    <sheetView showGridLines="0" zoomScaleNormal="100" workbookViewId="0">
      <selection activeCell="F45" sqref="F45"/>
    </sheetView>
  </sheetViews>
  <sheetFormatPr defaultRowHeight="12.9" x14ac:dyDescent="0.35"/>
  <cols>
    <col min="1" max="1" width="3.07421875" style="3" customWidth="1"/>
    <col min="2" max="2" width="34.61328125" style="3" customWidth="1"/>
    <col min="3" max="15" width="10.23046875" style="29" customWidth="1"/>
    <col min="16" max="19" width="9" style="3" customWidth="1"/>
    <col min="20" max="84" width="9.23046875" style="3"/>
    <col min="85" max="85" width="9.921875" style="3" customWidth="1"/>
    <col min="86" max="208" width="9.23046875" style="3"/>
    <col min="209" max="209" width="10.4609375" style="3" customWidth="1"/>
    <col min="210" max="1187" width="9.23046875" style="3"/>
    <col min="1188" max="1188" width="9.23046875" style="3" customWidth="1"/>
    <col min="1189" max="16384" width="9.23046875" style="3"/>
  </cols>
  <sheetData>
    <row r="2" spans="2:15" ht="15.9" x14ac:dyDescent="0.45">
      <c r="B2" s="1" t="s">
        <v>407</v>
      </c>
    </row>
    <row r="3" spans="2:15" x14ac:dyDescent="0.35">
      <c r="B3" s="6" t="s">
        <v>0</v>
      </c>
    </row>
    <row r="4" spans="2:15" x14ac:dyDescent="0.35">
      <c r="B4" s="259" t="s">
        <v>408</v>
      </c>
    </row>
    <row r="6" spans="2:15" x14ac:dyDescent="0.35">
      <c r="B6" s="5" t="s">
        <v>169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2:15" ht="13.3" thickBot="1" x14ac:dyDescent="0.4"/>
    <row r="8" spans="2:15" x14ac:dyDescent="0.35">
      <c r="B8" s="44" t="s">
        <v>80</v>
      </c>
      <c r="C8" s="90" t="s">
        <v>42</v>
      </c>
      <c r="D8" s="90" t="s">
        <v>43</v>
      </c>
      <c r="E8" s="90" t="s">
        <v>49</v>
      </c>
      <c r="F8" s="90" t="s">
        <v>50</v>
      </c>
      <c r="G8" s="90" t="s">
        <v>44</v>
      </c>
      <c r="H8" s="90" t="s">
        <v>45</v>
      </c>
      <c r="I8" s="90" t="s">
        <v>51</v>
      </c>
      <c r="J8" s="90" t="s">
        <v>52</v>
      </c>
      <c r="K8" s="90" t="s">
        <v>46</v>
      </c>
      <c r="L8" s="90" t="s">
        <v>47</v>
      </c>
      <c r="M8" s="90" t="s">
        <v>53</v>
      </c>
      <c r="N8" s="90" t="s">
        <v>54</v>
      </c>
      <c r="O8" s="90" t="s">
        <v>48</v>
      </c>
    </row>
    <row r="9" spans="2:15" x14ac:dyDescent="0.35">
      <c r="B9" s="28" t="s">
        <v>113</v>
      </c>
      <c r="C9" s="91">
        <v>43190</v>
      </c>
      <c r="D9" s="91">
        <v>43281</v>
      </c>
      <c r="E9" s="91">
        <v>43373</v>
      </c>
      <c r="F9" s="91">
        <v>43465</v>
      </c>
      <c r="G9" s="91">
        <v>43555</v>
      </c>
      <c r="H9" s="91">
        <v>43646</v>
      </c>
      <c r="I9" s="91">
        <v>43738</v>
      </c>
      <c r="J9" s="91">
        <v>43830</v>
      </c>
      <c r="K9" s="91">
        <v>43921</v>
      </c>
      <c r="L9" s="91">
        <v>44012</v>
      </c>
      <c r="M9" s="91">
        <v>44104</v>
      </c>
      <c r="N9" s="91">
        <v>44196</v>
      </c>
      <c r="O9" s="91">
        <v>44286</v>
      </c>
    </row>
    <row r="10" spans="2:15" x14ac:dyDescent="0.35">
      <c r="B10" s="10" t="s">
        <v>114</v>
      </c>
      <c r="C10" s="58">
        <f>Operational!C12</f>
        <v>2.7</v>
      </c>
      <c r="D10" s="58">
        <f>Operational!D12</f>
        <v>1.2</v>
      </c>
      <c r="E10" s="58">
        <f>Operational!E12</f>
        <v>0.9</v>
      </c>
      <c r="F10" s="58">
        <f>Operational!F12</f>
        <v>0.9</v>
      </c>
      <c r="G10" s="58">
        <f>Operational!G12</f>
        <v>0.8</v>
      </c>
      <c r="H10" s="58">
        <f>Operational!H12</f>
        <v>1.3</v>
      </c>
      <c r="I10" s="58">
        <f>Operational!I12</f>
        <v>1.2</v>
      </c>
      <c r="J10" s="58">
        <f>Operational!J12</f>
        <v>1</v>
      </c>
      <c r="K10" s="58">
        <f>Operational!K12</f>
        <v>1.3</v>
      </c>
      <c r="L10" s="58">
        <f>Operational!L12</f>
        <v>1.5</v>
      </c>
      <c r="M10" s="58">
        <f>Operational!M12</f>
        <v>2.1</v>
      </c>
      <c r="N10" s="58">
        <f>Operational!N12</f>
        <v>2.8</v>
      </c>
      <c r="O10" s="58">
        <f>Operational!O12</f>
        <v>6.1</v>
      </c>
    </row>
    <row r="11" spans="2:15" ht="13.3" thickBot="1" x14ac:dyDescent="0.4">
      <c r="B11" s="32" t="s">
        <v>115</v>
      </c>
      <c r="C11" s="86">
        <f>INDEX(BTCUSD!$F:$F,MATCH(C$9,BTCUSD!$B:$B,0))</f>
        <v>6973.5297849999997</v>
      </c>
      <c r="D11" s="86">
        <f>INDEX(BTCUSD!$F:$F,MATCH(D$9,BTCUSD!$B:$B,0))</f>
        <v>6404</v>
      </c>
      <c r="E11" s="86">
        <f>INDEX(BTCUSD!$F:$F,MATCH(E$9,BTCUSD!$B:$B,0))</f>
        <v>6625.5600590000004</v>
      </c>
      <c r="F11" s="86">
        <f>INDEX(BTCUSD!$F:$F,MATCH(F$9,BTCUSD!$B:$B,0))</f>
        <v>3742.7004390000002</v>
      </c>
      <c r="G11" s="86">
        <f>INDEX(BTCUSD!$F:$F,MATCH(G$9,BTCUSD!$B:$B,0))</f>
        <v>4105.404297</v>
      </c>
      <c r="H11" s="86">
        <f>INDEX(BTCUSD!$F:$F,MATCH(H$9,BTCUSD!$B:$B,0))</f>
        <v>10817.155273</v>
      </c>
      <c r="I11" s="86">
        <f>INDEX(BTCUSD!$F:$F,MATCH(I$9,BTCUSD!$B:$B,0))</f>
        <v>8293.8681639999995</v>
      </c>
      <c r="J11" s="86">
        <f>INDEX(BTCUSD!$F:$F,MATCH(J$9,BTCUSD!$B:$B,0))</f>
        <v>7193.5991210000002</v>
      </c>
      <c r="K11" s="86">
        <f>INDEX(BTCUSD!$F:$F,MATCH(K$9,BTCUSD!$B:$B,0))</f>
        <v>6438.6445309999999</v>
      </c>
      <c r="L11" s="86">
        <f>INDEX(BTCUSD!$F:$F,MATCH(L$9,BTCUSD!$B:$B,0))</f>
        <v>9137.9931639999995</v>
      </c>
      <c r="M11" s="86">
        <f>INDEX(BTCUSD!$F:$F,MATCH(M$9,BTCUSD!$B:$B,0))</f>
        <v>10787.618164</v>
      </c>
      <c r="N11" s="86">
        <f>INDEX(BTCUSD!$F:$F,MATCH(N$9,BTCUSD!$B:$B,0))</f>
        <v>29001.720702999999</v>
      </c>
      <c r="O11" s="86">
        <f>INDEX(BTCUSD!$F:$F,MATCH(O$9,BTCUSD!$B:$B,0))</f>
        <v>58918.832030999998</v>
      </c>
    </row>
    <row r="13" spans="2:15" x14ac:dyDescent="0.35">
      <c r="B13" s="2" t="s">
        <v>396</v>
      </c>
    </row>
    <row r="33" spans="2:16" ht="13.3" thickBot="1" x14ac:dyDescent="0.4">
      <c r="B33" s="4" t="s">
        <v>398</v>
      </c>
    </row>
    <row r="34" spans="2:16" x14ac:dyDescent="0.35">
      <c r="B34" s="96" t="s">
        <v>119</v>
      </c>
      <c r="C34" s="97">
        <f>INDEX(LINEST(C10:O10,C11:O11,TRUE,TRUE),1,1)</f>
        <v>8.9171778820596736E-5</v>
      </c>
    </row>
    <row r="35" spans="2:16" x14ac:dyDescent="0.35">
      <c r="B35" s="14" t="s">
        <v>120</v>
      </c>
      <c r="C35" s="98">
        <f>INDEX(LINEST(C10:O10,C11:O11,TRUE,TRUE),1,2)</f>
        <v>0.67537305983941165</v>
      </c>
    </row>
    <row r="36" spans="2:16" x14ac:dyDescent="0.35">
      <c r="B36" s="14" t="s">
        <v>122</v>
      </c>
      <c r="C36" s="98">
        <f>INDEX(LINEST(C10:O10,C11:O11,TRUE,TRUE),3,1)</f>
        <v>0.88394612355787161</v>
      </c>
    </row>
    <row r="37" spans="2:16" ht="13.3" thickBot="1" x14ac:dyDescent="0.4">
      <c r="B37" s="32" t="s">
        <v>121</v>
      </c>
      <c r="C37" s="99">
        <f>INDEX(LINEST(C10:O10,C11:O11,TRUE,TRUE),3,2)</f>
        <v>0.51303698259333053</v>
      </c>
    </row>
    <row r="39" spans="2:16" ht="13.3" thickBot="1" x14ac:dyDescent="0.4"/>
    <row r="40" spans="2:16" x14ac:dyDescent="0.35">
      <c r="B40" s="11" t="s">
        <v>80</v>
      </c>
      <c r="C40" s="69" t="s">
        <v>42</v>
      </c>
      <c r="D40" s="69" t="s">
        <v>43</v>
      </c>
      <c r="E40" s="69" t="s">
        <v>49</v>
      </c>
      <c r="F40" s="69" t="s">
        <v>50</v>
      </c>
      <c r="G40" s="69" t="s">
        <v>44</v>
      </c>
      <c r="H40" s="69" t="s">
        <v>45</v>
      </c>
      <c r="I40" s="69" t="s">
        <v>51</v>
      </c>
      <c r="J40" s="69" t="s">
        <v>52</v>
      </c>
      <c r="K40" s="69" t="s">
        <v>46</v>
      </c>
      <c r="L40" s="69" t="s">
        <v>47</v>
      </c>
      <c r="M40" s="69" t="s">
        <v>53</v>
      </c>
      <c r="N40" s="69" t="s">
        <v>54</v>
      </c>
      <c r="O40" s="69" t="s">
        <v>48</v>
      </c>
    </row>
    <row r="41" spans="2:16" x14ac:dyDescent="0.35">
      <c r="B41" s="3" t="s">
        <v>117</v>
      </c>
      <c r="C41" s="100">
        <f>C11*$C$34+$C$35</f>
        <v>1.2972151154262752</v>
      </c>
      <c r="D41" s="100">
        <f t="shared" ref="D41:O41" si="0">D11*$C$34+$C$35</f>
        <v>1.2464291314065132</v>
      </c>
      <c r="E41" s="100">
        <f t="shared" si="0"/>
        <v>1.2661860359831394</v>
      </c>
      <c r="F41" s="100">
        <f t="shared" si="0"/>
        <v>1.0091163155776699</v>
      </c>
      <c r="G41" s="100">
        <f t="shared" si="0"/>
        <v>1.041459263780623</v>
      </c>
      <c r="H41" s="100">
        <f t="shared" si="0"/>
        <v>1.6399580373114193</v>
      </c>
      <c r="I41" s="100">
        <f t="shared" si="0"/>
        <v>1.4149520373268083</v>
      </c>
      <c r="J41" s="100">
        <f t="shared" si="0"/>
        <v>1.3168390895812627</v>
      </c>
      <c r="K41" s="100">
        <f t="shared" si="0"/>
        <v>1.2495184458621884</v>
      </c>
      <c r="L41" s="100">
        <f t="shared" si="0"/>
        <v>1.4902241651237444</v>
      </c>
      <c r="M41" s="100">
        <f t="shared" si="0"/>
        <v>1.6373241607606714</v>
      </c>
      <c r="N41" s="100">
        <f t="shared" si="0"/>
        <v>3.2615080837840487</v>
      </c>
      <c r="O41" s="100">
        <f t="shared" si="0"/>
        <v>5.9292701180756335</v>
      </c>
    </row>
    <row r="42" spans="2:16" x14ac:dyDescent="0.35">
      <c r="B42" s="3" t="s">
        <v>118</v>
      </c>
      <c r="C42" s="59">
        <f t="shared" ref="C42:P42" si="1">C10</f>
        <v>2.7</v>
      </c>
      <c r="D42" s="59">
        <f t="shared" si="1"/>
        <v>1.2</v>
      </c>
      <c r="E42" s="59">
        <f t="shared" si="1"/>
        <v>0.9</v>
      </c>
      <c r="F42" s="59">
        <f t="shared" si="1"/>
        <v>0.9</v>
      </c>
      <c r="G42" s="59">
        <f t="shared" si="1"/>
        <v>0.8</v>
      </c>
      <c r="H42" s="59">
        <f t="shared" si="1"/>
        <v>1.3</v>
      </c>
      <c r="I42" s="59">
        <f t="shared" si="1"/>
        <v>1.2</v>
      </c>
      <c r="J42" s="59">
        <f t="shared" si="1"/>
        <v>1</v>
      </c>
      <c r="K42" s="59">
        <f t="shared" si="1"/>
        <v>1.3</v>
      </c>
      <c r="L42" s="59">
        <f t="shared" si="1"/>
        <v>1.5</v>
      </c>
      <c r="M42" s="59">
        <f t="shared" si="1"/>
        <v>2.1</v>
      </c>
      <c r="N42" s="59">
        <f t="shared" si="1"/>
        <v>2.8</v>
      </c>
      <c r="O42" s="59">
        <f t="shared" si="1"/>
        <v>6.1</v>
      </c>
      <c r="P42" s="95">
        <f t="shared" si="1"/>
        <v>0</v>
      </c>
    </row>
    <row r="43" spans="2:16" ht="13.3" thickBot="1" x14ac:dyDescent="0.4">
      <c r="B43" s="32" t="s">
        <v>116</v>
      </c>
      <c r="C43" s="101">
        <f>C41-C42</f>
        <v>-1.402784884573725</v>
      </c>
      <c r="D43" s="101">
        <f t="shared" ref="D43:O43" si="2">D41-D42</f>
        <v>4.642913140651328E-2</v>
      </c>
      <c r="E43" s="101">
        <f t="shared" si="2"/>
        <v>0.36618603598313937</v>
      </c>
      <c r="F43" s="101">
        <f t="shared" si="2"/>
        <v>0.10911631557766988</v>
      </c>
      <c r="G43" s="101">
        <f t="shared" si="2"/>
        <v>0.24145926378062299</v>
      </c>
      <c r="H43" s="101">
        <f t="shared" si="2"/>
        <v>0.33995803731141927</v>
      </c>
      <c r="I43" s="101">
        <f t="shared" si="2"/>
        <v>0.21495203732680834</v>
      </c>
      <c r="J43" s="101">
        <f t="shared" si="2"/>
        <v>0.31683908958126272</v>
      </c>
      <c r="K43" s="101">
        <f t="shared" si="2"/>
        <v>-5.0481554137811635E-2</v>
      </c>
      <c r="L43" s="101">
        <f t="shared" si="2"/>
        <v>-9.7758348762555514E-3</v>
      </c>
      <c r="M43" s="101">
        <f t="shared" si="2"/>
        <v>-0.46267583923932865</v>
      </c>
      <c r="N43" s="101">
        <f t="shared" si="2"/>
        <v>0.46150808378404884</v>
      </c>
      <c r="O43" s="101">
        <f t="shared" si="2"/>
        <v>-0.17072988192436611</v>
      </c>
    </row>
    <row r="45" spans="2:16" x14ac:dyDescent="0.35">
      <c r="B45" s="2" t="s">
        <v>170</v>
      </c>
    </row>
    <row r="66" spans="2:1188" x14ac:dyDescent="0.35">
      <c r="B66" s="5" t="s">
        <v>391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</row>
    <row r="67" spans="2:1188" ht="13.3" thickBot="1" x14ac:dyDescent="0.4"/>
    <row r="68" spans="2:1188" x14ac:dyDescent="0.35">
      <c r="B68" s="44" t="s">
        <v>80</v>
      </c>
      <c r="C68" s="90" t="s">
        <v>42</v>
      </c>
      <c r="D68" s="90" t="s">
        <v>43</v>
      </c>
      <c r="E68" s="90" t="s">
        <v>49</v>
      </c>
      <c r="F68" s="90" t="s">
        <v>50</v>
      </c>
      <c r="G68" s="90" t="s">
        <v>44</v>
      </c>
      <c r="H68" s="90" t="s">
        <v>45</v>
      </c>
      <c r="I68" s="90" t="s">
        <v>51</v>
      </c>
      <c r="J68" s="90" t="s">
        <v>52</v>
      </c>
      <c r="K68" s="90" t="s">
        <v>46</v>
      </c>
      <c r="L68" s="90" t="s">
        <v>47</v>
      </c>
      <c r="M68" s="90" t="s">
        <v>53</v>
      </c>
      <c r="N68" s="90" t="s">
        <v>54</v>
      </c>
    </row>
    <row r="69" spans="2:1188" x14ac:dyDescent="0.35">
      <c r="B69" s="14" t="s">
        <v>113</v>
      </c>
      <c r="C69" s="149">
        <v>43190</v>
      </c>
      <c r="D69" s="149">
        <v>43281</v>
      </c>
      <c r="E69" s="149">
        <v>43373</v>
      </c>
      <c r="F69" s="149">
        <v>43465</v>
      </c>
      <c r="G69" s="149">
        <v>43555</v>
      </c>
      <c r="H69" s="149">
        <v>43646</v>
      </c>
      <c r="I69" s="149">
        <v>43738</v>
      </c>
      <c r="J69" s="149">
        <v>43830</v>
      </c>
      <c r="K69" s="149">
        <v>43921</v>
      </c>
      <c r="L69" s="149">
        <v>44012</v>
      </c>
      <c r="M69" s="149">
        <v>44104</v>
      </c>
      <c r="N69" s="149">
        <v>44196</v>
      </c>
    </row>
    <row r="70" spans="2:1188" x14ac:dyDescent="0.35">
      <c r="B70" s="28" t="s">
        <v>395</v>
      </c>
      <c r="C70" s="91">
        <f>DATE(YEAR(C69),MONTH(C69)-2,1)</f>
        <v>43101</v>
      </c>
      <c r="D70" s="91">
        <f t="shared" ref="D70:N70" si="3">DATE(YEAR(D69),MONTH(D69)-2,1)</f>
        <v>43191</v>
      </c>
      <c r="E70" s="91">
        <f t="shared" si="3"/>
        <v>43282</v>
      </c>
      <c r="F70" s="91">
        <f t="shared" si="3"/>
        <v>43374</v>
      </c>
      <c r="G70" s="91">
        <f t="shared" si="3"/>
        <v>43466</v>
      </c>
      <c r="H70" s="91">
        <f t="shared" si="3"/>
        <v>43556</v>
      </c>
      <c r="I70" s="91">
        <f t="shared" si="3"/>
        <v>43647</v>
      </c>
      <c r="J70" s="91">
        <f t="shared" si="3"/>
        <v>43739</v>
      </c>
      <c r="K70" s="91">
        <f t="shared" si="3"/>
        <v>43831</v>
      </c>
      <c r="L70" s="91">
        <f t="shared" si="3"/>
        <v>43922</v>
      </c>
      <c r="M70" s="91">
        <f t="shared" si="3"/>
        <v>44013</v>
      </c>
      <c r="N70" s="91">
        <f t="shared" si="3"/>
        <v>44105</v>
      </c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  <c r="AQ70" s="148"/>
      <c r="AR70" s="148"/>
      <c r="AS70" s="148"/>
      <c r="AT70" s="148"/>
      <c r="AU70" s="148"/>
      <c r="AV70" s="148"/>
      <c r="AW70" s="148"/>
      <c r="AX70" s="148"/>
      <c r="AY70" s="148"/>
      <c r="AZ70" s="148"/>
      <c r="BA70" s="148"/>
      <c r="BB70" s="148"/>
      <c r="BC70" s="148"/>
      <c r="BD70" s="148"/>
      <c r="BE70" s="148"/>
      <c r="BF70" s="148"/>
      <c r="BG70" s="148"/>
      <c r="BH70" s="148"/>
      <c r="BI70" s="148"/>
      <c r="BJ70" s="148"/>
      <c r="BK70" s="148"/>
      <c r="BL70" s="148"/>
      <c r="BM70" s="148"/>
      <c r="BN70" s="148"/>
      <c r="BO70" s="148"/>
      <c r="BP70" s="148"/>
      <c r="BQ70" s="148"/>
      <c r="BR70" s="148"/>
      <c r="BS70" s="148"/>
      <c r="BT70" s="148"/>
      <c r="BU70" s="148"/>
      <c r="BV70" s="148"/>
      <c r="BW70" s="148"/>
      <c r="BX70" s="148"/>
      <c r="BY70" s="148"/>
      <c r="BZ70" s="148"/>
      <c r="CA70" s="148"/>
      <c r="CB70" s="148"/>
      <c r="CC70" s="148"/>
      <c r="CD70" s="148"/>
      <c r="CE70" s="148"/>
      <c r="CF70" s="148"/>
      <c r="CG70" s="148"/>
      <c r="CH70" s="148"/>
      <c r="CI70" s="148"/>
      <c r="CJ70" s="148"/>
      <c r="CK70" s="148"/>
      <c r="CL70" s="148"/>
      <c r="CM70" s="148"/>
      <c r="CN70" s="148"/>
      <c r="CO70" s="148"/>
      <c r="CP70" s="148"/>
      <c r="CQ70" s="148"/>
      <c r="CR70" s="148"/>
      <c r="CS70" s="148"/>
      <c r="CT70" s="148"/>
      <c r="CU70" s="148"/>
      <c r="CV70" s="148"/>
      <c r="CW70" s="148"/>
      <c r="CX70" s="148"/>
      <c r="CY70" s="148"/>
      <c r="CZ70" s="148"/>
      <c r="DA70" s="148"/>
      <c r="DB70" s="148"/>
      <c r="DC70" s="148"/>
      <c r="DD70" s="148"/>
      <c r="DE70" s="148"/>
      <c r="DF70" s="148"/>
      <c r="DG70" s="148"/>
      <c r="DH70" s="148"/>
      <c r="DI70" s="148"/>
      <c r="DJ70" s="148"/>
      <c r="DK70" s="148"/>
      <c r="DL70" s="148"/>
      <c r="DM70" s="148"/>
      <c r="DN70" s="148"/>
      <c r="DO70" s="148"/>
      <c r="DP70" s="148"/>
      <c r="DQ70" s="148"/>
      <c r="DR70" s="148"/>
      <c r="DS70" s="148"/>
      <c r="DT70" s="148"/>
      <c r="DU70" s="148"/>
      <c r="DV70" s="148"/>
      <c r="DW70" s="148"/>
      <c r="DX70" s="148"/>
      <c r="DY70" s="148"/>
      <c r="DZ70" s="148"/>
      <c r="EA70" s="148"/>
      <c r="EB70" s="148"/>
      <c r="EC70" s="148"/>
      <c r="ED70" s="148"/>
      <c r="EE70" s="148"/>
      <c r="EF70" s="148"/>
      <c r="EG70" s="148"/>
      <c r="EH70" s="148"/>
      <c r="EI70" s="148"/>
      <c r="EJ70" s="148"/>
      <c r="EK70" s="148"/>
      <c r="EL70" s="148"/>
      <c r="EM70" s="148"/>
      <c r="EN70" s="148"/>
      <c r="EO70" s="148"/>
      <c r="EP70" s="148"/>
      <c r="EQ70" s="148"/>
      <c r="ER70" s="148"/>
      <c r="ES70" s="148"/>
      <c r="ET70" s="148"/>
      <c r="EU70" s="148"/>
      <c r="EV70" s="148"/>
      <c r="EW70" s="148"/>
      <c r="EX70" s="148"/>
      <c r="EY70" s="148"/>
      <c r="EZ70" s="148"/>
      <c r="FA70" s="148"/>
      <c r="FB70" s="148"/>
      <c r="FC70" s="148"/>
      <c r="FD70" s="148"/>
      <c r="FE70" s="148"/>
      <c r="FF70" s="148"/>
      <c r="FG70" s="148"/>
      <c r="FH70" s="148"/>
      <c r="FI70" s="148"/>
      <c r="FJ70" s="148"/>
      <c r="FK70" s="148"/>
      <c r="FL70" s="148"/>
      <c r="FM70" s="148"/>
      <c r="FN70" s="148"/>
      <c r="FO70" s="148"/>
      <c r="FP70" s="148"/>
      <c r="FQ70" s="148"/>
      <c r="FR70" s="148"/>
      <c r="FS70" s="148"/>
      <c r="FT70" s="148"/>
      <c r="FU70" s="148"/>
      <c r="FV70" s="148"/>
      <c r="FW70" s="148"/>
      <c r="FX70" s="148"/>
      <c r="FY70" s="148"/>
      <c r="FZ70" s="148"/>
      <c r="GA70" s="148"/>
      <c r="GB70" s="148"/>
      <c r="GC70" s="148"/>
      <c r="GD70" s="148"/>
      <c r="GE70" s="148"/>
      <c r="GF70" s="148"/>
      <c r="GG70" s="148"/>
      <c r="GH70" s="148"/>
      <c r="GI70" s="148"/>
      <c r="GJ70" s="148"/>
      <c r="GK70" s="148"/>
      <c r="GL70" s="148"/>
      <c r="GM70" s="148"/>
      <c r="GN70" s="148"/>
      <c r="GO70" s="148"/>
      <c r="GP70" s="148"/>
      <c r="GQ70" s="148"/>
      <c r="GR70" s="148"/>
      <c r="GS70" s="148"/>
      <c r="GT70" s="148"/>
      <c r="GU70" s="148"/>
      <c r="GV70" s="148"/>
      <c r="GW70" s="148"/>
      <c r="GX70" s="148"/>
      <c r="GY70" s="148"/>
      <c r="GZ70" s="148"/>
      <c r="HA70" s="148"/>
      <c r="HB70" s="148"/>
      <c r="HC70" s="148"/>
      <c r="HD70" s="148"/>
      <c r="HE70" s="148"/>
      <c r="HF70" s="148"/>
      <c r="HG70" s="148"/>
      <c r="HH70" s="148"/>
      <c r="HI70" s="148"/>
      <c r="HJ70" s="148"/>
      <c r="HK70" s="148"/>
      <c r="HL70" s="148"/>
      <c r="HM70" s="148"/>
      <c r="HN70" s="148"/>
      <c r="HO70" s="148"/>
      <c r="HP70" s="148"/>
      <c r="HQ70" s="148"/>
      <c r="HR70" s="148"/>
      <c r="HS70" s="148"/>
      <c r="HT70" s="148"/>
      <c r="HU70" s="148"/>
      <c r="HV70" s="148"/>
      <c r="HW70" s="148"/>
      <c r="HX70" s="148"/>
      <c r="HY70" s="148"/>
      <c r="HZ70" s="148"/>
      <c r="IA70" s="148"/>
      <c r="IB70" s="148"/>
      <c r="IC70" s="148"/>
      <c r="ID70" s="148"/>
      <c r="IE70" s="148"/>
      <c r="IF70" s="148"/>
      <c r="IG70" s="148"/>
      <c r="IH70" s="148"/>
      <c r="II70" s="148"/>
      <c r="IJ70" s="148"/>
      <c r="IK70" s="148"/>
      <c r="IL70" s="148"/>
      <c r="IM70" s="148"/>
      <c r="IN70" s="148"/>
      <c r="IO70" s="148"/>
      <c r="IP70" s="148"/>
      <c r="IQ70" s="148"/>
      <c r="IR70" s="148"/>
      <c r="IS70" s="148"/>
      <c r="IT70" s="148"/>
      <c r="IU70" s="148"/>
      <c r="IV70" s="148"/>
      <c r="IW70" s="148"/>
      <c r="IX70" s="148"/>
      <c r="IY70" s="148"/>
      <c r="IZ70" s="148"/>
      <c r="JA70" s="148"/>
      <c r="JB70" s="148"/>
      <c r="JC70" s="148"/>
      <c r="JD70" s="148"/>
      <c r="JE70" s="148"/>
      <c r="JF70" s="148"/>
      <c r="JG70" s="148"/>
      <c r="JH70" s="148"/>
      <c r="JI70" s="148"/>
      <c r="JJ70" s="148"/>
      <c r="JK70" s="148"/>
      <c r="JL70" s="148"/>
      <c r="JM70" s="148"/>
      <c r="JN70" s="148"/>
      <c r="JO70" s="148"/>
      <c r="JP70" s="148"/>
      <c r="JQ70" s="148"/>
      <c r="JR70" s="148"/>
      <c r="JS70" s="148"/>
      <c r="JT70" s="148"/>
      <c r="JU70" s="148"/>
      <c r="JV70" s="148"/>
      <c r="JW70" s="148"/>
      <c r="JX70" s="148"/>
      <c r="JY70" s="148"/>
      <c r="JZ70" s="148"/>
      <c r="KA70" s="148"/>
      <c r="KB70" s="148"/>
      <c r="KC70" s="148"/>
      <c r="KD70" s="148"/>
      <c r="KE70" s="148"/>
      <c r="KF70" s="148"/>
      <c r="KG70" s="148"/>
      <c r="KH70" s="148"/>
      <c r="KI70" s="148"/>
      <c r="KJ70" s="148"/>
      <c r="KK70" s="148"/>
      <c r="KL70" s="148"/>
      <c r="KM70" s="148"/>
      <c r="KN70" s="148"/>
      <c r="KO70" s="148"/>
      <c r="KP70" s="148"/>
      <c r="KQ70" s="148"/>
      <c r="KR70" s="148"/>
      <c r="KS70" s="148"/>
      <c r="KT70" s="148"/>
      <c r="KU70" s="148"/>
      <c r="KV70" s="148"/>
      <c r="KW70" s="148"/>
      <c r="KX70" s="148"/>
      <c r="KY70" s="148"/>
      <c r="KZ70" s="148"/>
      <c r="LA70" s="148"/>
      <c r="LB70" s="148"/>
      <c r="LC70" s="148"/>
      <c r="LD70" s="148"/>
      <c r="LE70" s="148"/>
      <c r="LF70" s="148"/>
      <c r="LG70" s="148"/>
      <c r="LH70" s="148"/>
      <c r="LI70" s="148"/>
      <c r="LJ70" s="148"/>
      <c r="LK70" s="148"/>
      <c r="LL70" s="148"/>
      <c r="LM70" s="148"/>
      <c r="LN70" s="148"/>
      <c r="LO70" s="148"/>
      <c r="LP70" s="148"/>
      <c r="LQ70" s="148"/>
      <c r="LR70" s="148"/>
      <c r="LS70" s="148"/>
      <c r="LT70" s="148"/>
      <c r="LU70" s="148"/>
      <c r="LV70" s="148"/>
      <c r="LW70" s="148"/>
      <c r="LX70" s="148"/>
      <c r="LY70" s="148"/>
      <c r="LZ70" s="148"/>
      <c r="MA70" s="148"/>
      <c r="MB70" s="148"/>
      <c r="MC70" s="148"/>
      <c r="MD70" s="148"/>
      <c r="ME70" s="148"/>
      <c r="MF70" s="148"/>
      <c r="MG70" s="148"/>
      <c r="MH70" s="148"/>
      <c r="MI70" s="148"/>
      <c r="MJ70" s="148"/>
      <c r="MK70" s="148"/>
      <c r="ML70" s="148"/>
      <c r="MM70" s="148"/>
      <c r="MN70" s="148"/>
      <c r="MO70" s="148"/>
      <c r="MP70" s="148"/>
      <c r="MQ70" s="148"/>
      <c r="MR70" s="148"/>
      <c r="MS70" s="148"/>
      <c r="MT70" s="148"/>
      <c r="MU70" s="148"/>
      <c r="MV70" s="148"/>
      <c r="MW70" s="148"/>
      <c r="MX70" s="148"/>
      <c r="MY70" s="148"/>
      <c r="MZ70" s="148"/>
      <c r="NA70" s="148"/>
      <c r="NB70" s="148"/>
      <c r="NC70" s="148"/>
      <c r="ND70" s="148"/>
      <c r="NE70" s="148"/>
      <c r="NF70" s="148"/>
      <c r="NG70" s="148"/>
      <c r="NH70" s="148"/>
      <c r="NI70" s="148"/>
      <c r="NJ70" s="148"/>
      <c r="NK70" s="148"/>
      <c r="NL70" s="148"/>
      <c r="NM70" s="148"/>
      <c r="NN70" s="148"/>
      <c r="NO70" s="148"/>
      <c r="NP70" s="148"/>
      <c r="NQ70" s="148"/>
      <c r="NR70" s="148"/>
      <c r="NS70" s="148"/>
      <c r="NT70" s="148"/>
      <c r="NU70" s="148"/>
      <c r="NV70" s="148"/>
      <c r="NW70" s="148"/>
      <c r="NX70" s="148"/>
      <c r="NY70" s="148"/>
      <c r="NZ70" s="148"/>
      <c r="OA70" s="148"/>
      <c r="OB70" s="148"/>
      <c r="OC70" s="148"/>
      <c r="OD70" s="148"/>
      <c r="OE70" s="148"/>
      <c r="OF70" s="148"/>
      <c r="OG70" s="148"/>
      <c r="OH70" s="148"/>
      <c r="OI70" s="148"/>
      <c r="OJ70" s="148"/>
      <c r="OK70" s="148"/>
      <c r="OL70" s="148"/>
      <c r="OM70" s="148"/>
      <c r="ON70" s="148"/>
      <c r="OO70" s="148"/>
      <c r="OP70" s="148"/>
      <c r="OQ70" s="148"/>
      <c r="OR70" s="148"/>
      <c r="OS70" s="148"/>
      <c r="OT70" s="148"/>
      <c r="OU70" s="148"/>
      <c r="OV70" s="148"/>
      <c r="OW70" s="148"/>
      <c r="OX70" s="148"/>
      <c r="OY70" s="148"/>
      <c r="OZ70" s="148"/>
      <c r="PA70" s="148"/>
      <c r="PB70" s="148"/>
      <c r="PC70" s="148"/>
      <c r="PD70" s="148"/>
      <c r="PE70" s="148"/>
      <c r="PF70" s="148"/>
      <c r="PG70" s="148"/>
      <c r="PH70" s="148"/>
      <c r="PI70" s="148"/>
      <c r="PJ70" s="148"/>
      <c r="PK70" s="148"/>
      <c r="PL70" s="148"/>
      <c r="PM70" s="148"/>
      <c r="PN70" s="148"/>
      <c r="PO70" s="148"/>
      <c r="PP70" s="148"/>
      <c r="PQ70" s="148"/>
      <c r="PR70" s="148"/>
      <c r="PS70" s="148"/>
      <c r="PT70" s="148"/>
      <c r="PU70" s="148"/>
      <c r="PV70" s="148"/>
      <c r="PW70" s="148"/>
      <c r="PX70" s="148"/>
      <c r="PY70" s="148"/>
      <c r="PZ70" s="148"/>
      <c r="QA70" s="148"/>
      <c r="QB70" s="148"/>
      <c r="QC70" s="148"/>
      <c r="QD70" s="148"/>
      <c r="QE70" s="148"/>
      <c r="QF70" s="148"/>
      <c r="QG70" s="148"/>
      <c r="QH70" s="148"/>
      <c r="QI70" s="148"/>
      <c r="QJ70" s="148"/>
      <c r="QK70" s="148"/>
      <c r="QL70" s="148"/>
      <c r="QM70" s="148"/>
      <c r="QN70" s="148"/>
      <c r="QO70" s="148"/>
      <c r="QP70" s="148"/>
      <c r="QQ70" s="148"/>
      <c r="QR70" s="148"/>
      <c r="QS70" s="148"/>
      <c r="QT70" s="148"/>
      <c r="QU70" s="148"/>
      <c r="QV70" s="148"/>
      <c r="QW70" s="148"/>
      <c r="QX70" s="148"/>
      <c r="QY70" s="148"/>
      <c r="QZ70" s="148"/>
      <c r="RA70" s="148"/>
      <c r="RB70" s="148"/>
      <c r="RC70" s="148"/>
      <c r="RD70" s="148"/>
      <c r="RE70" s="148"/>
      <c r="RF70" s="148"/>
      <c r="RG70" s="148"/>
      <c r="RH70" s="148"/>
      <c r="RI70" s="148"/>
      <c r="RJ70" s="148"/>
      <c r="RK70" s="148"/>
      <c r="RL70" s="148"/>
      <c r="RM70" s="148"/>
      <c r="RN70" s="148"/>
      <c r="RO70" s="148"/>
      <c r="RP70" s="148"/>
      <c r="RQ70" s="148"/>
      <c r="RR70" s="148"/>
      <c r="RS70" s="148"/>
      <c r="RT70" s="148"/>
      <c r="RU70" s="148"/>
      <c r="RV70" s="148"/>
      <c r="RW70" s="148"/>
      <c r="RX70" s="148"/>
      <c r="RY70" s="148"/>
      <c r="RZ70" s="148"/>
      <c r="SA70" s="148"/>
      <c r="SB70" s="148"/>
      <c r="SC70" s="148"/>
      <c r="SD70" s="148"/>
      <c r="SE70" s="148"/>
      <c r="SF70" s="148"/>
      <c r="SG70" s="148"/>
      <c r="SH70" s="148"/>
      <c r="SI70" s="148"/>
      <c r="SJ70" s="148"/>
      <c r="SK70" s="148"/>
      <c r="SL70" s="148"/>
      <c r="SM70" s="148"/>
      <c r="SN70" s="148"/>
      <c r="SO70" s="148"/>
      <c r="SP70" s="148"/>
      <c r="SQ70" s="148"/>
      <c r="SR70" s="148"/>
      <c r="SS70" s="148"/>
      <c r="ST70" s="148"/>
      <c r="SU70" s="148"/>
      <c r="SV70" s="148"/>
      <c r="SW70" s="148"/>
      <c r="SX70" s="148"/>
      <c r="SY70" s="148"/>
      <c r="SZ70" s="148"/>
      <c r="TA70" s="148"/>
      <c r="TB70" s="148"/>
      <c r="TC70" s="148"/>
      <c r="TD70" s="148"/>
      <c r="TE70" s="148"/>
      <c r="TF70" s="148"/>
      <c r="TG70" s="148"/>
      <c r="TH70" s="148"/>
      <c r="TI70" s="148"/>
      <c r="TJ70" s="148"/>
      <c r="TK70" s="148"/>
      <c r="TL70" s="148"/>
      <c r="TM70" s="148"/>
      <c r="TN70" s="148"/>
      <c r="TO70" s="148"/>
      <c r="TP70" s="148"/>
      <c r="TQ70" s="148"/>
      <c r="TR70" s="148"/>
      <c r="TS70" s="148"/>
      <c r="TT70" s="148"/>
      <c r="TU70" s="148"/>
      <c r="TV70" s="148"/>
      <c r="TW70" s="148"/>
      <c r="TX70" s="148"/>
      <c r="TY70" s="148"/>
      <c r="TZ70" s="148"/>
      <c r="UA70" s="148"/>
      <c r="UB70" s="148"/>
      <c r="UC70" s="148"/>
      <c r="UD70" s="148"/>
      <c r="UE70" s="148"/>
      <c r="UF70" s="148"/>
      <c r="UG70" s="148"/>
      <c r="UH70" s="148"/>
      <c r="UI70" s="148"/>
      <c r="UJ70" s="148"/>
      <c r="UK70" s="148"/>
      <c r="UL70" s="148"/>
      <c r="UM70" s="148"/>
      <c r="UN70" s="148"/>
      <c r="UO70" s="148"/>
      <c r="UP70" s="148"/>
      <c r="UQ70" s="148"/>
      <c r="UR70" s="148"/>
      <c r="US70" s="148"/>
      <c r="UT70" s="148"/>
      <c r="UU70" s="148"/>
      <c r="UV70" s="148"/>
      <c r="UW70" s="148"/>
      <c r="UX70" s="148"/>
      <c r="UY70" s="148"/>
      <c r="UZ70" s="148"/>
      <c r="VA70" s="148"/>
      <c r="VB70" s="148"/>
      <c r="VC70" s="148"/>
      <c r="VD70" s="148"/>
      <c r="VE70" s="148"/>
      <c r="VF70" s="148"/>
      <c r="VG70" s="148"/>
      <c r="VH70" s="148"/>
      <c r="VI70" s="148"/>
      <c r="VJ70" s="148"/>
      <c r="VK70" s="148"/>
      <c r="VL70" s="148"/>
      <c r="VM70" s="148"/>
      <c r="VN70" s="148"/>
      <c r="VO70" s="148"/>
      <c r="VP70" s="148"/>
      <c r="VQ70" s="148"/>
      <c r="VR70" s="148"/>
      <c r="VS70" s="148"/>
      <c r="VT70" s="148"/>
      <c r="VU70" s="148"/>
      <c r="VV70" s="148"/>
      <c r="VW70" s="148"/>
      <c r="VX70" s="148"/>
      <c r="VY70" s="148"/>
      <c r="VZ70" s="148"/>
      <c r="WA70" s="148"/>
      <c r="WB70" s="148"/>
      <c r="WC70" s="148"/>
      <c r="WD70" s="148"/>
      <c r="WE70" s="148"/>
      <c r="WF70" s="148"/>
      <c r="WG70" s="148"/>
      <c r="WH70" s="148"/>
      <c r="WI70" s="148"/>
      <c r="WJ70" s="148"/>
      <c r="WK70" s="148"/>
      <c r="WL70" s="148"/>
      <c r="WM70" s="148"/>
      <c r="WN70" s="148"/>
      <c r="WO70" s="148"/>
      <c r="WP70" s="148"/>
      <c r="WQ70" s="148"/>
      <c r="WR70" s="148"/>
      <c r="WS70" s="148"/>
      <c r="WT70" s="148"/>
      <c r="WU70" s="148"/>
      <c r="WV70" s="148"/>
      <c r="WW70" s="148"/>
      <c r="WX70" s="148"/>
      <c r="WY70" s="148"/>
      <c r="WZ70" s="148"/>
      <c r="XA70" s="148"/>
      <c r="XB70" s="148"/>
      <c r="XC70" s="148"/>
      <c r="XD70" s="148"/>
      <c r="XE70" s="148"/>
      <c r="XF70" s="148"/>
      <c r="XG70" s="148"/>
      <c r="XH70" s="148"/>
      <c r="XI70" s="148"/>
      <c r="XJ70" s="148"/>
      <c r="XK70" s="148"/>
      <c r="XL70" s="148"/>
      <c r="XM70" s="148"/>
      <c r="XN70" s="148"/>
      <c r="XO70" s="148"/>
      <c r="XP70" s="148"/>
      <c r="XQ70" s="148"/>
      <c r="XR70" s="148"/>
      <c r="XS70" s="148"/>
      <c r="XT70" s="148"/>
      <c r="XU70" s="148"/>
      <c r="XV70" s="148"/>
      <c r="XW70" s="148"/>
      <c r="XX70" s="148"/>
      <c r="XY70" s="148"/>
      <c r="XZ70" s="148"/>
      <c r="YA70" s="148"/>
      <c r="YB70" s="148"/>
      <c r="YC70" s="148"/>
      <c r="YD70" s="148"/>
      <c r="YE70" s="148"/>
      <c r="YF70" s="148"/>
      <c r="YG70" s="148"/>
      <c r="YH70" s="148"/>
      <c r="YI70" s="148"/>
      <c r="YJ70" s="148"/>
      <c r="YK70" s="148"/>
      <c r="YL70" s="148"/>
      <c r="YM70" s="148"/>
      <c r="YN70" s="148"/>
      <c r="YO70" s="148"/>
      <c r="YP70" s="148"/>
      <c r="YQ70" s="148"/>
      <c r="YR70" s="148"/>
      <c r="YS70" s="148"/>
      <c r="YT70" s="148"/>
      <c r="YU70" s="148"/>
      <c r="YV70" s="148"/>
      <c r="YW70" s="148"/>
      <c r="YX70" s="148"/>
      <c r="YY70" s="148"/>
      <c r="YZ70" s="148"/>
      <c r="ZA70" s="148"/>
      <c r="ZB70" s="148"/>
      <c r="ZC70" s="148"/>
      <c r="ZD70" s="148"/>
      <c r="ZE70" s="148"/>
      <c r="ZF70" s="148"/>
      <c r="ZG70" s="148"/>
      <c r="ZH70" s="148"/>
      <c r="ZI70" s="148"/>
      <c r="ZJ70" s="148"/>
      <c r="ZK70" s="148"/>
      <c r="ZL70" s="148"/>
      <c r="ZM70" s="148"/>
      <c r="ZN70" s="148"/>
      <c r="ZO70" s="148"/>
      <c r="ZP70" s="148"/>
      <c r="ZQ70" s="148"/>
      <c r="ZR70" s="148"/>
      <c r="ZS70" s="148"/>
      <c r="ZT70" s="148"/>
      <c r="ZU70" s="148"/>
      <c r="ZV70" s="148"/>
      <c r="ZW70" s="148"/>
      <c r="ZX70" s="148"/>
      <c r="ZY70" s="148"/>
      <c r="ZZ70" s="148"/>
      <c r="AAA70" s="148"/>
      <c r="AAB70" s="148"/>
      <c r="AAC70" s="148"/>
      <c r="AAD70" s="148"/>
      <c r="AAE70" s="148"/>
      <c r="AAF70" s="148"/>
      <c r="AAG70" s="148"/>
      <c r="AAH70" s="148"/>
      <c r="AAI70" s="148"/>
      <c r="AAJ70" s="148"/>
      <c r="AAK70" s="148"/>
      <c r="AAL70" s="148"/>
      <c r="AAM70" s="148"/>
      <c r="AAN70" s="148"/>
      <c r="AAO70" s="148"/>
      <c r="AAP70" s="148"/>
      <c r="AAQ70" s="148"/>
      <c r="AAR70" s="148"/>
      <c r="AAS70" s="148"/>
      <c r="AAT70" s="148"/>
      <c r="AAU70" s="148"/>
      <c r="AAV70" s="148"/>
      <c r="AAW70" s="148"/>
      <c r="AAX70" s="148"/>
      <c r="AAY70" s="148"/>
      <c r="AAZ70" s="148"/>
      <c r="ABA70" s="148"/>
      <c r="ABB70" s="148"/>
      <c r="ABC70" s="148"/>
      <c r="ABD70" s="148"/>
      <c r="ABE70" s="148"/>
      <c r="ABF70" s="148"/>
      <c r="ABG70" s="148"/>
      <c r="ABH70" s="148"/>
      <c r="ABI70" s="148"/>
      <c r="ABJ70" s="148"/>
      <c r="ABK70" s="148"/>
      <c r="ABL70" s="148"/>
      <c r="ABM70" s="148"/>
      <c r="ABN70" s="148"/>
      <c r="ABO70" s="148"/>
      <c r="ABP70" s="148"/>
      <c r="ABQ70" s="148"/>
      <c r="ABR70" s="148"/>
      <c r="ABS70" s="148"/>
      <c r="ABT70" s="148"/>
      <c r="ABU70" s="148"/>
      <c r="ABV70" s="148"/>
      <c r="ABW70" s="148"/>
      <c r="ABX70" s="148"/>
      <c r="ABY70" s="148"/>
      <c r="ABZ70" s="148"/>
      <c r="ACA70" s="148"/>
      <c r="ACB70" s="148"/>
      <c r="ACC70" s="148"/>
      <c r="ACD70" s="148"/>
      <c r="ACE70" s="148"/>
      <c r="ACF70" s="148"/>
      <c r="ACG70" s="148"/>
      <c r="ACH70" s="148"/>
      <c r="ACI70" s="148"/>
      <c r="ACJ70" s="148"/>
      <c r="ACK70" s="148"/>
      <c r="ACL70" s="148"/>
      <c r="ACM70" s="148"/>
      <c r="ACN70" s="148"/>
      <c r="ACO70" s="148"/>
      <c r="ACP70" s="148"/>
      <c r="ACQ70" s="148"/>
      <c r="ACR70" s="148"/>
      <c r="ACS70" s="148"/>
      <c r="ACT70" s="148"/>
      <c r="ACU70" s="148"/>
      <c r="ACV70" s="148"/>
      <c r="ACW70" s="148"/>
      <c r="ACX70" s="148"/>
      <c r="ACY70" s="148"/>
      <c r="ACZ70" s="148"/>
      <c r="ADA70" s="148"/>
      <c r="ADB70" s="148"/>
      <c r="ADC70" s="148"/>
      <c r="ADD70" s="148"/>
      <c r="ADE70" s="148"/>
      <c r="ADF70" s="148"/>
      <c r="ADG70" s="148"/>
      <c r="ADH70" s="148"/>
      <c r="ADI70" s="148"/>
      <c r="ADJ70" s="148"/>
      <c r="ADK70" s="148"/>
      <c r="ADL70" s="148"/>
      <c r="ADM70" s="148"/>
      <c r="ADN70" s="148"/>
      <c r="ADO70" s="148"/>
      <c r="ADP70" s="148"/>
      <c r="ADQ70" s="148"/>
      <c r="ADR70" s="148"/>
      <c r="ADS70" s="148"/>
      <c r="ADT70" s="148"/>
      <c r="ADU70" s="148"/>
      <c r="ADV70" s="148"/>
      <c r="ADW70" s="148"/>
      <c r="ADX70" s="148"/>
      <c r="ADY70" s="148"/>
      <c r="ADZ70" s="148"/>
      <c r="AEA70" s="148"/>
      <c r="AEB70" s="148"/>
      <c r="AEC70" s="148"/>
      <c r="AED70" s="148"/>
      <c r="AEE70" s="148"/>
      <c r="AEF70" s="148"/>
      <c r="AEG70" s="148"/>
      <c r="AEH70" s="148"/>
      <c r="AEI70" s="148"/>
      <c r="AEJ70" s="148"/>
      <c r="AEK70" s="148"/>
      <c r="AEL70" s="148"/>
      <c r="AEM70" s="148"/>
      <c r="AEN70" s="148"/>
      <c r="AEO70" s="148"/>
      <c r="AEP70" s="148"/>
      <c r="AEQ70" s="148"/>
      <c r="AER70" s="148"/>
      <c r="AES70" s="148"/>
      <c r="AET70" s="148"/>
      <c r="AEU70" s="148"/>
      <c r="AEV70" s="148"/>
      <c r="AEW70" s="148"/>
      <c r="AEX70" s="148"/>
      <c r="AEY70" s="148"/>
      <c r="AEZ70" s="148"/>
      <c r="AFA70" s="148"/>
      <c r="AFB70" s="148"/>
      <c r="AFC70" s="148"/>
      <c r="AFD70" s="148"/>
      <c r="AFE70" s="148"/>
      <c r="AFF70" s="148"/>
      <c r="AFG70" s="148"/>
      <c r="AFH70" s="148"/>
      <c r="AFI70" s="148"/>
      <c r="AFJ70" s="148"/>
      <c r="AFK70" s="148"/>
      <c r="AFL70" s="148"/>
      <c r="AFM70" s="148"/>
      <c r="AFN70" s="148"/>
      <c r="AFO70" s="148"/>
      <c r="AFP70" s="148"/>
      <c r="AFQ70" s="148"/>
      <c r="AFR70" s="148"/>
      <c r="AFS70" s="148"/>
      <c r="AFT70" s="148"/>
      <c r="AFU70" s="148"/>
      <c r="AFV70" s="148"/>
      <c r="AFW70" s="148"/>
      <c r="AFX70" s="148"/>
      <c r="AFY70" s="148"/>
      <c r="AFZ70" s="148"/>
      <c r="AGA70" s="148"/>
      <c r="AGB70" s="148"/>
      <c r="AGC70" s="148"/>
      <c r="AGD70" s="148"/>
      <c r="AGE70" s="148"/>
      <c r="AGF70" s="148"/>
      <c r="AGG70" s="148"/>
      <c r="AGH70" s="148"/>
      <c r="AGI70" s="148"/>
      <c r="AGJ70" s="148"/>
      <c r="AGK70" s="148"/>
      <c r="AGL70" s="148"/>
      <c r="AGM70" s="148"/>
      <c r="AGN70" s="148"/>
      <c r="AGO70" s="148"/>
      <c r="AGP70" s="148"/>
      <c r="AGQ70" s="148"/>
      <c r="AGR70" s="148"/>
      <c r="AGS70" s="148"/>
      <c r="AGT70" s="148"/>
      <c r="AGU70" s="148"/>
      <c r="AGV70" s="148"/>
      <c r="AGW70" s="148"/>
      <c r="AGX70" s="148"/>
      <c r="AGY70" s="148"/>
      <c r="AGZ70" s="148"/>
      <c r="AHA70" s="148"/>
      <c r="AHB70" s="148"/>
      <c r="AHC70" s="148"/>
      <c r="AHD70" s="148"/>
      <c r="AHE70" s="148"/>
      <c r="AHF70" s="148"/>
      <c r="AHG70" s="148"/>
      <c r="AHH70" s="148"/>
      <c r="AHI70" s="148"/>
      <c r="AHJ70" s="148"/>
      <c r="AHK70" s="148"/>
      <c r="AHL70" s="148"/>
      <c r="AHM70" s="148"/>
      <c r="AHN70" s="148"/>
      <c r="AHO70" s="148"/>
      <c r="AHP70" s="148"/>
      <c r="AHQ70" s="148"/>
      <c r="AHR70" s="148"/>
      <c r="AHS70" s="148"/>
      <c r="AHT70" s="148"/>
      <c r="AHU70" s="148"/>
      <c r="AHV70" s="148"/>
      <c r="AHW70" s="148"/>
      <c r="AHX70" s="148"/>
      <c r="AHY70" s="148"/>
      <c r="AHZ70" s="148"/>
      <c r="AIA70" s="148"/>
      <c r="AIB70" s="148"/>
      <c r="AIC70" s="148"/>
      <c r="AID70" s="148"/>
      <c r="AIE70" s="148"/>
      <c r="AIF70" s="148"/>
      <c r="AIG70" s="148"/>
      <c r="AIH70" s="148"/>
      <c r="AII70" s="148"/>
      <c r="AIJ70" s="148"/>
      <c r="AIK70" s="148"/>
      <c r="AIL70" s="148"/>
      <c r="AIM70" s="148"/>
      <c r="AIN70" s="148"/>
      <c r="AIO70" s="148"/>
      <c r="AIP70" s="148"/>
      <c r="AIQ70" s="148"/>
      <c r="AIR70" s="148"/>
      <c r="AIS70" s="148"/>
      <c r="AIT70" s="148"/>
      <c r="AIU70" s="148"/>
      <c r="AIV70" s="148"/>
      <c r="AIW70" s="148"/>
      <c r="AIX70" s="148"/>
      <c r="AIY70" s="148"/>
      <c r="AIZ70" s="148"/>
      <c r="AJA70" s="148"/>
      <c r="AJB70" s="148"/>
      <c r="AJC70" s="148"/>
      <c r="AJD70" s="148"/>
      <c r="AJE70" s="148"/>
      <c r="AJF70" s="148"/>
      <c r="AJG70" s="148"/>
      <c r="AJH70" s="148"/>
      <c r="AJI70" s="148"/>
      <c r="AJJ70" s="148"/>
      <c r="AJK70" s="148"/>
      <c r="AJL70" s="148"/>
      <c r="AJM70" s="148"/>
      <c r="AJN70" s="148"/>
      <c r="AJO70" s="148"/>
      <c r="AJP70" s="148"/>
      <c r="AJQ70" s="148"/>
      <c r="AJR70" s="148"/>
      <c r="AJS70" s="148"/>
      <c r="AJT70" s="148"/>
      <c r="AJU70" s="148"/>
      <c r="AJV70" s="148"/>
      <c r="AJW70" s="148"/>
      <c r="AJX70" s="148"/>
      <c r="AJY70" s="148"/>
      <c r="AJZ70" s="148"/>
      <c r="AKA70" s="148"/>
      <c r="AKB70" s="148"/>
      <c r="AKC70" s="148"/>
      <c r="AKD70" s="148"/>
      <c r="AKE70" s="148"/>
      <c r="AKF70" s="148"/>
      <c r="AKG70" s="148"/>
      <c r="AKH70" s="148"/>
      <c r="AKI70" s="148"/>
      <c r="AKJ70" s="148"/>
      <c r="AKK70" s="148"/>
      <c r="AKL70" s="148"/>
      <c r="AKM70" s="148"/>
      <c r="AKN70" s="148"/>
      <c r="AKO70" s="148"/>
      <c r="AKP70" s="148"/>
      <c r="AKQ70" s="148"/>
      <c r="AKR70" s="148"/>
      <c r="AKS70" s="148"/>
      <c r="AKT70" s="148"/>
      <c r="AKU70" s="148"/>
      <c r="AKV70" s="148"/>
      <c r="AKW70" s="148"/>
      <c r="AKX70" s="148"/>
      <c r="AKY70" s="148"/>
      <c r="AKZ70" s="148"/>
      <c r="ALA70" s="148"/>
      <c r="ALB70" s="148"/>
      <c r="ALC70" s="148"/>
      <c r="ALD70" s="148"/>
      <c r="ALE70" s="148"/>
      <c r="ALF70" s="148"/>
      <c r="ALG70" s="148"/>
      <c r="ALH70" s="148"/>
      <c r="ALI70" s="148"/>
      <c r="ALJ70" s="148"/>
      <c r="ALK70" s="148"/>
      <c r="ALL70" s="148"/>
      <c r="ALM70" s="148"/>
      <c r="ALN70" s="148"/>
      <c r="ALO70" s="148"/>
      <c r="ALP70" s="148"/>
      <c r="ALQ70" s="148"/>
      <c r="ALR70" s="148"/>
      <c r="ALS70" s="148"/>
      <c r="ALT70" s="148"/>
      <c r="ALU70" s="148"/>
      <c r="ALV70" s="148"/>
      <c r="ALW70" s="148"/>
      <c r="ALX70" s="148"/>
      <c r="ALY70" s="148"/>
      <c r="ALZ70" s="148"/>
      <c r="AMA70" s="148"/>
      <c r="AMB70" s="148"/>
      <c r="AMC70" s="148"/>
      <c r="AMD70" s="148"/>
      <c r="AME70" s="148"/>
      <c r="AMF70" s="148"/>
      <c r="AMG70" s="148"/>
      <c r="AMH70" s="148"/>
      <c r="AMI70" s="148"/>
      <c r="AMJ70" s="148"/>
      <c r="AMK70" s="148"/>
      <c r="AML70" s="148"/>
      <c r="AMM70" s="148"/>
      <c r="AMN70" s="148"/>
      <c r="AMO70" s="148"/>
      <c r="AMP70" s="148"/>
      <c r="AMQ70" s="148"/>
      <c r="AMR70" s="148"/>
      <c r="AMS70" s="148"/>
      <c r="AMT70" s="148"/>
      <c r="AMU70" s="148"/>
      <c r="AMV70" s="148"/>
      <c r="AMW70" s="148"/>
      <c r="AMX70" s="148"/>
      <c r="AMY70" s="148"/>
      <c r="AMZ70" s="148"/>
      <c r="ANA70" s="148"/>
      <c r="ANB70" s="148"/>
      <c r="ANC70" s="148"/>
      <c r="AND70" s="148"/>
      <c r="ANE70" s="148"/>
      <c r="ANF70" s="148"/>
      <c r="ANG70" s="148"/>
      <c r="ANH70" s="148"/>
      <c r="ANI70" s="148"/>
      <c r="ANJ70" s="148"/>
      <c r="ANK70" s="148"/>
      <c r="ANL70" s="148"/>
      <c r="ANM70" s="148"/>
      <c r="ANN70" s="148"/>
      <c r="ANO70" s="148"/>
      <c r="ANP70" s="148"/>
      <c r="ANQ70" s="148"/>
      <c r="ANR70" s="148"/>
      <c r="ANS70" s="148"/>
      <c r="ANT70" s="148"/>
      <c r="ANU70" s="148"/>
      <c r="ANV70" s="148"/>
      <c r="ANW70" s="148"/>
      <c r="ANX70" s="148"/>
      <c r="ANY70" s="148"/>
      <c r="ANZ70" s="148"/>
      <c r="AOA70" s="148"/>
      <c r="AOB70" s="148"/>
      <c r="AOC70" s="148"/>
      <c r="AOD70" s="148"/>
      <c r="AOE70" s="148"/>
      <c r="AOF70" s="148"/>
      <c r="AOG70" s="148"/>
      <c r="AOH70" s="148"/>
      <c r="AOI70" s="148"/>
      <c r="AOJ70" s="148"/>
      <c r="AOK70" s="148"/>
      <c r="AOL70" s="148"/>
      <c r="AOM70" s="148"/>
      <c r="AON70" s="148"/>
      <c r="AOO70" s="148"/>
      <c r="AOP70" s="148"/>
      <c r="AOQ70" s="148"/>
      <c r="AOR70" s="148"/>
      <c r="AOS70" s="148"/>
      <c r="AOT70" s="148"/>
      <c r="AOU70" s="148"/>
      <c r="AOV70" s="148"/>
      <c r="AOW70" s="148"/>
      <c r="AOX70" s="148"/>
      <c r="AOY70" s="148"/>
      <c r="AOZ70" s="148"/>
      <c r="APA70" s="148"/>
      <c r="APB70" s="148"/>
      <c r="APC70" s="148"/>
      <c r="APD70" s="148"/>
      <c r="APE70" s="148"/>
      <c r="APF70" s="148"/>
      <c r="APG70" s="148"/>
      <c r="APH70" s="148"/>
      <c r="API70" s="148"/>
      <c r="APJ70" s="148"/>
      <c r="APK70" s="148"/>
      <c r="APL70" s="148"/>
      <c r="APM70" s="148"/>
      <c r="APN70" s="148"/>
      <c r="APO70" s="148"/>
      <c r="APP70" s="148"/>
      <c r="APQ70" s="148"/>
      <c r="APR70" s="148"/>
      <c r="APS70" s="148"/>
      <c r="APT70" s="148"/>
      <c r="APU70" s="148"/>
      <c r="APV70" s="148"/>
      <c r="APW70" s="148"/>
      <c r="APX70" s="148"/>
      <c r="APY70" s="148"/>
      <c r="APZ70" s="148"/>
      <c r="AQA70" s="148"/>
      <c r="AQB70" s="148"/>
      <c r="AQC70" s="148"/>
      <c r="AQD70" s="148"/>
      <c r="AQE70" s="148"/>
      <c r="AQF70" s="148"/>
      <c r="AQG70" s="148"/>
      <c r="AQH70" s="148"/>
      <c r="AQI70" s="148"/>
      <c r="AQJ70" s="148"/>
      <c r="AQK70" s="148"/>
      <c r="AQL70" s="148"/>
      <c r="AQM70" s="148"/>
      <c r="AQN70" s="148"/>
      <c r="AQO70" s="148"/>
      <c r="AQP70" s="148"/>
      <c r="AQQ70" s="148"/>
      <c r="AQR70" s="148"/>
      <c r="AQS70" s="148"/>
      <c r="AQT70" s="148"/>
      <c r="AQU70" s="148"/>
      <c r="AQV70" s="148"/>
      <c r="AQW70" s="148"/>
      <c r="AQX70" s="148"/>
      <c r="AQY70" s="148"/>
      <c r="AQZ70" s="148"/>
      <c r="ARA70" s="148"/>
      <c r="ARB70" s="148"/>
      <c r="ARC70" s="148"/>
      <c r="ARD70" s="148"/>
      <c r="ARE70" s="148"/>
      <c r="ARF70" s="148"/>
      <c r="ARG70" s="148"/>
      <c r="ARH70" s="148"/>
      <c r="ARI70" s="148"/>
      <c r="ARJ70" s="148"/>
      <c r="ARK70" s="148"/>
      <c r="ARL70" s="148"/>
      <c r="ARM70" s="148"/>
      <c r="ARN70" s="148"/>
      <c r="ARO70" s="148"/>
      <c r="ARP70" s="148"/>
      <c r="ARQ70" s="148"/>
      <c r="ARR70" s="148"/>
      <c r="ARS70" s="148"/>
      <c r="ART70" s="148"/>
      <c r="ARU70" s="148"/>
      <c r="ARV70" s="148"/>
      <c r="ARW70" s="148"/>
      <c r="ARX70" s="148"/>
      <c r="ARY70" s="148"/>
      <c r="ARZ70" s="148"/>
      <c r="ASA70" s="148"/>
      <c r="ASB70" s="148"/>
      <c r="ASC70" s="148"/>
      <c r="ASD70" s="148"/>
      <c r="ASE70" s="148"/>
      <c r="ASF70" s="148"/>
      <c r="ASG70" s="148"/>
      <c r="ASH70" s="148"/>
      <c r="ASI70" s="148"/>
      <c r="ASJ70" s="148"/>
      <c r="ASK70" s="148"/>
      <c r="ASL70" s="148"/>
      <c r="ASM70" s="148"/>
      <c r="ASN70" s="148"/>
      <c r="ASO70" s="148"/>
      <c r="ASP70" s="148"/>
      <c r="ASQ70" s="148"/>
      <c r="ASR70" s="148"/>
    </row>
    <row r="71" spans="2:1188" x14ac:dyDescent="0.35">
      <c r="B71" s="10" t="s">
        <v>392</v>
      </c>
      <c r="C71" s="58">
        <f>Operational!C15</f>
        <v>45</v>
      </c>
      <c r="D71" s="58">
        <f>Operational!D15</f>
        <v>14</v>
      </c>
      <c r="E71" s="58">
        <f>Operational!E15</f>
        <v>7</v>
      </c>
      <c r="F71" s="58">
        <f>Operational!F15</f>
        <v>6</v>
      </c>
      <c r="G71" s="58">
        <f>Operational!G15</f>
        <v>4</v>
      </c>
      <c r="H71" s="58">
        <f>Operational!H15</f>
        <v>14</v>
      </c>
      <c r="I71" s="58">
        <f>Operational!I15</f>
        <v>11</v>
      </c>
      <c r="J71" s="58">
        <f>Operational!J15</f>
        <v>5</v>
      </c>
      <c r="K71" s="58">
        <f>Operational!K15</f>
        <v>12</v>
      </c>
      <c r="L71" s="58">
        <f>Operational!L15</f>
        <v>11</v>
      </c>
      <c r="M71" s="58">
        <f>Operational!M15</f>
        <v>18</v>
      </c>
      <c r="N71" s="58">
        <f>Operational!N15</f>
        <v>32</v>
      </c>
    </row>
    <row r="72" spans="2:1188" x14ac:dyDescent="0.35">
      <c r="B72" s="10" t="s">
        <v>393</v>
      </c>
      <c r="C72" s="100">
        <f>Operational!C16</f>
        <v>11</v>
      </c>
      <c r="D72" s="100">
        <f>Operational!D16</f>
        <v>7</v>
      </c>
      <c r="E72" s="100">
        <f>Operational!E16</f>
        <v>5</v>
      </c>
      <c r="F72" s="100">
        <f>Operational!F16</f>
        <v>5</v>
      </c>
      <c r="G72" s="257">
        <f>Operational!G16</f>
        <v>3</v>
      </c>
      <c r="H72" s="257">
        <f>Operational!H16</f>
        <v>17</v>
      </c>
      <c r="I72" s="257">
        <f>Operational!I16</f>
        <v>16</v>
      </c>
      <c r="J72" s="257">
        <f>Operational!J16</f>
        <v>9</v>
      </c>
      <c r="K72" s="257">
        <f>Operational!K16</f>
        <v>18</v>
      </c>
      <c r="L72" s="257">
        <f>Operational!L16</f>
        <v>17</v>
      </c>
      <c r="M72" s="257">
        <f>Operational!M16</f>
        <v>27</v>
      </c>
      <c r="N72" s="257">
        <f>Operational!N16</f>
        <v>57</v>
      </c>
      <c r="P72" s="100"/>
    </row>
    <row r="73" spans="2:1188" ht="13.3" thickBot="1" x14ac:dyDescent="0.4">
      <c r="B73" s="32" t="s">
        <v>115</v>
      </c>
      <c r="C73" s="86">
        <f>INDEX(BTCUSD!$F:$F,MATCH(C$9,BTCUSD!$B:$B,0))</f>
        <v>6973.5297849999997</v>
      </c>
      <c r="D73" s="86">
        <f>INDEX(BTCUSD!$F:$F,MATCH(D$9,BTCUSD!$B:$B,0))</f>
        <v>6404</v>
      </c>
      <c r="E73" s="86">
        <f>INDEX(BTCUSD!$F:$F,MATCH(E$9,BTCUSD!$B:$B,0))</f>
        <v>6625.5600590000004</v>
      </c>
      <c r="F73" s="86">
        <f>INDEX(BTCUSD!$F:$F,MATCH(F$9,BTCUSD!$B:$B,0))</f>
        <v>3742.7004390000002</v>
      </c>
      <c r="G73" s="86">
        <f>INDEX(BTCUSD!$F:$F,MATCH(G$9,BTCUSD!$B:$B,0))</f>
        <v>4105.404297</v>
      </c>
      <c r="H73" s="86">
        <f>INDEX(BTCUSD!$F:$F,MATCH(H$9,BTCUSD!$B:$B,0))</f>
        <v>10817.155273</v>
      </c>
      <c r="I73" s="86">
        <f>INDEX(BTCUSD!$F:$F,MATCH(I$9,BTCUSD!$B:$B,0))</f>
        <v>8293.8681639999995</v>
      </c>
      <c r="J73" s="86">
        <f>INDEX(BTCUSD!$F:$F,MATCH(J$9,BTCUSD!$B:$B,0))</f>
        <v>7193.5991210000002</v>
      </c>
      <c r="K73" s="86">
        <f>INDEX(BTCUSD!$F:$F,MATCH(K$9,BTCUSD!$B:$B,0))</f>
        <v>6438.6445309999999</v>
      </c>
      <c r="L73" s="86">
        <f>INDEX(BTCUSD!$F:$F,MATCH(L$9,BTCUSD!$B:$B,0))</f>
        <v>9137.9931639999995</v>
      </c>
      <c r="M73" s="86">
        <f>INDEX(BTCUSD!$F:$F,MATCH(M$9,BTCUSD!$B:$B,0))</f>
        <v>10787.618164</v>
      </c>
      <c r="N73" s="86">
        <f>INDEX(BTCUSD!$F:$F,MATCH(N$9,BTCUSD!$B:$B,0))</f>
        <v>29001.720702999999</v>
      </c>
    </row>
    <row r="75" spans="2:1188" x14ac:dyDescent="0.35">
      <c r="B75" s="2" t="s">
        <v>397</v>
      </c>
    </row>
    <row r="97" spans="2:15" x14ac:dyDescent="0.35">
      <c r="B97" s="5" t="s">
        <v>339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spans="2:15" ht="13.3" thickBot="1" x14ac:dyDescent="0.4"/>
    <row r="99" spans="2:15" x14ac:dyDescent="0.35">
      <c r="B99" s="44" t="s">
        <v>80</v>
      </c>
      <c r="C99" s="90"/>
      <c r="D99" s="90"/>
      <c r="E99" s="90"/>
      <c r="F99" s="90"/>
      <c r="G99" s="90" t="s">
        <v>44</v>
      </c>
      <c r="H99" s="90" t="s">
        <v>45</v>
      </c>
      <c r="I99" s="90" t="s">
        <v>51</v>
      </c>
      <c r="J99" s="90" t="s">
        <v>52</v>
      </c>
      <c r="K99" s="90" t="s">
        <v>46</v>
      </c>
      <c r="L99" s="90" t="s">
        <v>47</v>
      </c>
      <c r="M99" s="90" t="s">
        <v>53</v>
      </c>
      <c r="N99" s="90" t="s">
        <v>54</v>
      </c>
      <c r="O99" s="90" t="s">
        <v>48</v>
      </c>
    </row>
    <row r="100" spans="2:15" x14ac:dyDescent="0.35">
      <c r="B100" s="28" t="s">
        <v>164</v>
      </c>
      <c r="C100" s="91"/>
      <c r="D100" s="91"/>
      <c r="E100" s="91"/>
      <c r="F100" s="91"/>
      <c r="G100" s="91">
        <v>43555</v>
      </c>
      <c r="H100" s="91">
        <v>43646</v>
      </c>
      <c r="I100" s="91">
        <v>43738</v>
      </c>
      <c r="J100" s="91">
        <v>43830</v>
      </c>
      <c r="K100" s="91">
        <v>43921</v>
      </c>
      <c r="L100" s="91">
        <v>44012</v>
      </c>
      <c r="M100" s="91">
        <v>44104</v>
      </c>
      <c r="N100" s="91">
        <v>44196</v>
      </c>
      <c r="O100" s="91">
        <v>44286</v>
      </c>
    </row>
    <row r="101" spans="2:15" x14ac:dyDescent="0.35">
      <c r="B101" s="198" t="s">
        <v>201</v>
      </c>
      <c r="C101" s="199"/>
      <c r="D101" s="199"/>
      <c r="E101" s="199"/>
      <c r="F101" s="199"/>
      <c r="G101" s="199">
        <f>G11</f>
        <v>4105.404297</v>
      </c>
      <c r="H101" s="199">
        <f t="shared" ref="H101:O101" si="4">H11</f>
        <v>10817.155273</v>
      </c>
      <c r="I101" s="199">
        <f t="shared" si="4"/>
        <v>8293.8681639999995</v>
      </c>
      <c r="J101" s="199">
        <f t="shared" si="4"/>
        <v>7193.5991210000002</v>
      </c>
      <c r="K101" s="199">
        <f t="shared" si="4"/>
        <v>6438.6445309999999</v>
      </c>
      <c r="L101" s="199">
        <f t="shared" si="4"/>
        <v>9137.9931639999995</v>
      </c>
      <c r="M101" s="199">
        <f t="shared" si="4"/>
        <v>10787.618164</v>
      </c>
      <c r="N101" s="199">
        <f t="shared" si="4"/>
        <v>29001.720702999999</v>
      </c>
      <c r="O101" s="199">
        <f t="shared" si="4"/>
        <v>58918.832030999998</v>
      </c>
    </row>
    <row r="102" spans="2:15" x14ac:dyDescent="0.35">
      <c r="B102" s="3" t="s">
        <v>165</v>
      </c>
      <c r="C102" s="85"/>
      <c r="D102" s="85"/>
      <c r="E102" s="85"/>
      <c r="F102" s="85"/>
      <c r="G102" s="85">
        <f>INDEX('IS (Quarterly)'!$E$12:$L$12,MATCH('Transaction revenues'!G$100,'IS (Quarterly)'!$E$9:$L$9,0))</f>
        <v>56.668999999999997</v>
      </c>
      <c r="H102" s="85">
        <f>INDEX('IS (Quarterly)'!$E$12:$L$12,MATCH('Transaction revenues'!H$100,'IS (Quarterly)'!$E$9:$L$9,0))</f>
        <v>178.67500000000001</v>
      </c>
      <c r="I102" s="85">
        <f>INDEX('IS (Quarterly)'!$E$12:$L$12,MATCH('Transaction revenues'!I$100,'IS (Quarterly)'!$E$9:$L$9,0))</f>
        <v>138.63200000000001</v>
      </c>
      <c r="J102" s="85">
        <f>INDEX('IS (Quarterly)'!$E$12:$L$12,MATCH('Transaction revenues'!J$100,'IS (Quarterly)'!$E$9:$L$9,0))</f>
        <v>89.028999999999996</v>
      </c>
      <c r="K102" s="85">
        <f>INDEX('IS (Quarterly)'!$E$12:$L$12,MATCH('Transaction revenues'!K$100,'IS (Quarterly)'!$E$9:$L$9,0))</f>
        <v>171.99100000000001</v>
      </c>
      <c r="L102" s="85">
        <f>INDEX('IS (Quarterly)'!$E$12:$L$12,MATCH('Transaction revenues'!L$100,'IS (Quarterly)'!$E$9:$L$9,0))</f>
        <v>171.864</v>
      </c>
      <c r="M102" s="85">
        <f>INDEX('IS (Quarterly)'!$E$12:$L$12,MATCH('Transaction revenues'!M$100,'IS (Quarterly)'!$E$9:$L$9,0))</f>
        <v>275.904</v>
      </c>
      <c r="N102" s="85">
        <f>INDEX('IS (Quarterly)'!$E$12:$L$12,MATCH('Transaction revenues'!N$100,'IS (Quarterly)'!$E$9:$L$9,0))</f>
        <v>476.41500000000002</v>
      </c>
      <c r="O102" s="85">
        <f>'IS (Quarterly)'!D15</f>
        <v>1800</v>
      </c>
    </row>
    <row r="103" spans="2:15" x14ac:dyDescent="0.35">
      <c r="B103" s="3" t="s">
        <v>166</v>
      </c>
      <c r="C103" s="135"/>
      <c r="D103" s="135"/>
      <c r="E103" s="135"/>
      <c r="F103" s="135"/>
      <c r="G103" s="135">
        <f>'IS (Annual)'!$D$11/'IS (Annual)'!$D$13</f>
        <v>0.93502014017127244</v>
      </c>
      <c r="H103" s="135">
        <f>'IS (Annual)'!$D$11/'IS (Annual)'!$D$13</f>
        <v>0.93502014017127244</v>
      </c>
      <c r="I103" s="135">
        <f>'IS (Annual)'!$D$11/'IS (Annual)'!$D$13</f>
        <v>0.93502014017127244</v>
      </c>
      <c r="J103" s="135">
        <f>'IS (Annual)'!$D$11/'IS (Annual)'!$D$13</f>
        <v>0.93502014017127244</v>
      </c>
      <c r="K103" s="135">
        <f>'IS (Annual)'!$C$11/'IS (Annual)'!$C$13</f>
        <v>0.94897890298438037</v>
      </c>
      <c r="L103" s="135">
        <f>'IS (Annual)'!$C$11/'IS (Annual)'!$C$13</f>
        <v>0.94897890298438037</v>
      </c>
      <c r="M103" s="135">
        <f>'IS (Annual)'!$C$11/'IS (Annual)'!$C$13</f>
        <v>0.94897890298438037</v>
      </c>
      <c r="N103" s="135">
        <f>'IS (Annual)'!$C$11/'IS (Annual)'!$C$13</f>
        <v>0.94897890298438037</v>
      </c>
      <c r="O103" s="136">
        <f>AVERAGE(G103,K103)</f>
        <v>0.9419995215778264</v>
      </c>
    </row>
    <row r="104" spans="2:15" x14ac:dyDescent="0.35">
      <c r="B104" s="3" t="s">
        <v>167</v>
      </c>
      <c r="C104" s="85"/>
      <c r="D104" s="85"/>
      <c r="E104" s="85"/>
      <c r="F104" s="85"/>
      <c r="G104" s="85">
        <f t="shared" ref="G104:O104" si="5">G102*G103</f>
        <v>52.986656323365835</v>
      </c>
      <c r="H104" s="85">
        <f t="shared" si="5"/>
        <v>167.06472354510211</v>
      </c>
      <c r="I104" s="85">
        <f t="shared" si="5"/>
        <v>129.62371207222384</v>
      </c>
      <c r="J104" s="85">
        <f t="shared" si="5"/>
        <v>83.243908059308211</v>
      </c>
      <c r="K104" s="85">
        <f t="shared" si="5"/>
        <v>163.21583050318657</v>
      </c>
      <c r="L104" s="85">
        <f t="shared" si="5"/>
        <v>163.09531018250755</v>
      </c>
      <c r="M104" s="85">
        <f t="shared" si="5"/>
        <v>261.82707524900246</v>
      </c>
      <c r="N104" s="85">
        <f t="shared" si="5"/>
        <v>452.10778406530358</v>
      </c>
      <c r="O104" s="85">
        <f t="shared" si="5"/>
        <v>1695.5991388400876</v>
      </c>
    </row>
    <row r="105" spans="2:15" x14ac:dyDescent="0.35">
      <c r="B105" s="3" t="s">
        <v>163</v>
      </c>
      <c r="C105" s="59"/>
      <c r="D105" s="59"/>
      <c r="E105" s="59"/>
      <c r="F105" s="59"/>
      <c r="G105" s="59">
        <f>Operational!G12</f>
        <v>0.8</v>
      </c>
      <c r="H105" s="59">
        <f>Operational!H12</f>
        <v>1.3</v>
      </c>
      <c r="I105" s="59">
        <f>Operational!I12</f>
        <v>1.2</v>
      </c>
      <c r="J105" s="59">
        <f>Operational!J12</f>
        <v>1</v>
      </c>
      <c r="K105" s="59">
        <f>Operational!K12</f>
        <v>1.3</v>
      </c>
      <c r="L105" s="59">
        <f>Operational!L12</f>
        <v>1.5</v>
      </c>
      <c r="M105" s="59">
        <f>Operational!M12</f>
        <v>2.1</v>
      </c>
      <c r="N105" s="59">
        <f>Operational!N12</f>
        <v>2.8</v>
      </c>
      <c r="O105" s="59">
        <f>Operational!O12</f>
        <v>6.1</v>
      </c>
    </row>
    <row r="106" spans="2:15" ht="13.3" thickBot="1" x14ac:dyDescent="0.4">
      <c r="B106" s="24" t="s">
        <v>168</v>
      </c>
      <c r="C106" s="137"/>
      <c r="D106" s="137"/>
      <c r="E106" s="137"/>
      <c r="F106" s="137"/>
      <c r="G106" s="137">
        <f t="shared" ref="G106:O106" si="6">G104/G105</f>
        <v>66.233320404207291</v>
      </c>
      <c r="H106" s="137">
        <f t="shared" si="6"/>
        <v>128.51132580392471</v>
      </c>
      <c r="I106" s="137">
        <f t="shared" si="6"/>
        <v>108.01976006018654</v>
      </c>
      <c r="J106" s="137">
        <f t="shared" si="6"/>
        <v>83.243908059308211</v>
      </c>
      <c r="K106" s="137">
        <f t="shared" si="6"/>
        <v>125.55063884860505</v>
      </c>
      <c r="L106" s="137">
        <f t="shared" si="6"/>
        <v>108.73020678833836</v>
      </c>
      <c r="M106" s="137">
        <f t="shared" si="6"/>
        <v>124.67955964238212</v>
      </c>
      <c r="N106" s="137">
        <f t="shared" si="6"/>
        <v>161.46706573760844</v>
      </c>
      <c r="O106" s="137">
        <f t="shared" si="6"/>
        <v>277.96707194099798</v>
      </c>
    </row>
    <row r="108" spans="2:15" x14ac:dyDescent="0.35">
      <c r="B108" s="2" t="s">
        <v>319</v>
      </c>
    </row>
    <row r="128" ht="13.3" thickBot="1" x14ac:dyDescent="0.4"/>
    <row r="129" spans="2:3" ht="13.3" thickBot="1" x14ac:dyDescent="0.4">
      <c r="B129" s="242" t="s">
        <v>388</v>
      </c>
      <c r="C129" s="256">
        <f>AVERAGE(G106:N106)</f>
        <v>113.3044731680701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5998-6441-4CD2-A98D-EDCB4DBEF8C9}">
  <dimension ref="B2:K77"/>
  <sheetViews>
    <sheetView showGridLines="0" zoomScaleNormal="100" workbookViewId="0"/>
  </sheetViews>
  <sheetFormatPr defaultRowHeight="12.9" x14ac:dyDescent="0.35"/>
  <cols>
    <col min="1" max="1" width="3.07421875" style="3" customWidth="1"/>
    <col min="2" max="2" width="41.3828125" style="3" customWidth="1"/>
    <col min="3" max="11" width="11.765625" style="29" customWidth="1"/>
    <col min="12" max="14" width="14.69140625" style="3" customWidth="1"/>
    <col min="15" max="16384" width="9.23046875" style="3"/>
  </cols>
  <sheetData>
    <row r="2" spans="2:11" ht="15.9" x14ac:dyDescent="0.45">
      <c r="B2" s="1" t="s">
        <v>407</v>
      </c>
    </row>
    <row r="3" spans="2:11" x14ac:dyDescent="0.35">
      <c r="B3" s="6" t="s">
        <v>0</v>
      </c>
    </row>
    <row r="4" spans="2:11" x14ac:dyDescent="0.35">
      <c r="B4" s="259" t="s">
        <v>408</v>
      </c>
    </row>
    <row r="6" spans="2:11" x14ac:dyDescent="0.35">
      <c r="B6" s="5" t="s">
        <v>199</v>
      </c>
      <c r="C6" s="30"/>
      <c r="D6" s="30"/>
      <c r="E6" s="30"/>
      <c r="F6" s="30"/>
      <c r="G6" s="30"/>
      <c r="H6" s="30"/>
      <c r="I6" s="30"/>
      <c r="J6" s="30"/>
      <c r="K6" s="30"/>
    </row>
    <row r="7" spans="2:11" ht="13.3" thickBot="1" x14ac:dyDescent="0.4"/>
    <row r="8" spans="2:11" x14ac:dyDescent="0.35">
      <c r="B8" s="44" t="s">
        <v>80</v>
      </c>
      <c r="C8" s="90" t="s">
        <v>44</v>
      </c>
      <c r="D8" s="90" t="s">
        <v>45</v>
      </c>
      <c r="E8" s="90" t="s">
        <v>51</v>
      </c>
      <c r="F8" s="90" t="s">
        <v>52</v>
      </c>
      <c r="G8" s="90" t="s">
        <v>46</v>
      </c>
      <c r="H8" s="90" t="s">
        <v>47</v>
      </c>
      <c r="I8" s="90" t="s">
        <v>53</v>
      </c>
      <c r="J8" s="90" t="s">
        <v>54</v>
      </c>
      <c r="K8" s="90" t="s">
        <v>48</v>
      </c>
    </row>
    <row r="9" spans="2:11" x14ac:dyDescent="0.35">
      <c r="B9" s="28" t="s">
        <v>113</v>
      </c>
      <c r="C9" s="91">
        <v>43555</v>
      </c>
      <c r="D9" s="91">
        <v>43646</v>
      </c>
      <c r="E9" s="91">
        <v>43738</v>
      </c>
      <c r="F9" s="91">
        <v>43830</v>
      </c>
      <c r="G9" s="91">
        <v>43921</v>
      </c>
      <c r="H9" s="91">
        <v>44012</v>
      </c>
      <c r="I9" s="91">
        <v>44104</v>
      </c>
      <c r="J9" s="91">
        <v>44196</v>
      </c>
      <c r="K9" s="91">
        <v>44286</v>
      </c>
    </row>
    <row r="10" spans="2:11" x14ac:dyDescent="0.35">
      <c r="B10" s="7" t="s">
        <v>204</v>
      </c>
      <c r="C10" s="154">
        <f>Operational!G13</f>
        <v>8</v>
      </c>
      <c r="D10" s="154">
        <f>Operational!H13</f>
        <v>21</v>
      </c>
      <c r="E10" s="154">
        <f>Operational!I13</f>
        <v>18</v>
      </c>
      <c r="F10" s="154">
        <f>Operational!J13</f>
        <v>17</v>
      </c>
      <c r="G10" s="154">
        <f>Operational!K13</f>
        <v>17</v>
      </c>
      <c r="H10" s="154">
        <f>Operational!L13</f>
        <v>26</v>
      </c>
      <c r="I10" s="154">
        <f>Operational!M13</f>
        <v>36</v>
      </c>
      <c r="J10" s="154">
        <f>Operational!N13</f>
        <v>90</v>
      </c>
      <c r="K10" s="154">
        <f>Operational!O13</f>
        <v>223</v>
      </c>
    </row>
    <row r="11" spans="2:11" ht="13.3" thickBot="1" x14ac:dyDescent="0.4">
      <c r="B11" s="32" t="s">
        <v>115</v>
      </c>
      <c r="C11" s="86">
        <f>INDEX(BTCUSD!$F:$F,MATCH(C$9,BTCUSD!$B:$B,0))</f>
        <v>4105.404297</v>
      </c>
      <c r="D11" s="86">
        <f>INDEX(BTCUSD!$F:$F,MATCH(D$9,BTCUSD!$B:$B,0))</f>
        <v>10817.155273</v>
      </c>
      <c r="E11" s="86">
        <f>INDEX(BTCUSD!$F:$F,MATCH(E$9,BTCUSD!$B:$B,0))</f>
        <v>8293.8681639999995</v>
      </c>
      <c r="F11" s="86">
        <f>INDEX(BTCUSD!$F:$F,MATCH(F$9,BTCUSD!$B:$B,0))</f>
        <v>7193.5991210000002</v>
      </c>
      <c r="G11" s="86">
        <f>INDEX(BTCUSD!$F:$F,MATCH(G$9,BTCUSD!$B:$B,0))</f>
        <v>6438.6445309999999</v>
      </c>
      <c r="H11" s="86">
        <f>INDEX(BTCUSD!$F:$F,MATCH(H$9,BTCUSD!$B:$B,0))</f>
        <v>9137.9931639999995</v>
      </c>
      <c r="I11" s="86">
        <f>INDEX(BTCUSD!$F:$F,MATCH(I$9,BTCUSD!$B:$B,0))</f>
        <v>10787.618164</v>
      </c>
      <c r="J11" s="86">
        <f>INDEX(BTCUSD!$F:$F,MATCH(J$9,BTCUSD!$B:$B,0))</f>
        <v>29001.720702999999</v>
      </c>
      <c r="K11" s="86">
        <f>INDEX(BTCUSD!$F:$F,MATCH(K$9,BTCUSD!$B:$B,0))</f>
        <v>58918.832030999998</v>
      </c>
    </row>
    <row r="13" spans="2:11" x14ac:dyDescent="0.35">
      <c r="B13" s="2" t="s">
        <v>206</v>
      </c>
    </row>
    <row r="19" spans="7:7" x14ac:dyDescent="0.35">
      <c r="G19" s="114"/>
    </row>
    <row r="34" spans="2:10" s="29" customFormat="1" x14ac:dyDescent="0.35">
      <c r="B34" s="5" t="s">
        <v>333</v>
      </c>
      <c r="C34" s="30"/>
      <c r="D34" s="30"/>
      <c r="E34" s="30"/>
      <c r="F34" s="30"/>
      <c r="G34" s="30"/>
      <c r="H34" s="30"/>
      <c r="I34" s="30"/>
      <c r="J34" s="30"/>
    </row>
    <row r="35" spans="2:10" s="29" customFormat="1" ht="13.3" thickBot="1" x14ac:dyDescent="0.4">
      <c r="B35" s="3"/>
    </row>
    <row r="36" spans="2:10" s="29" customFormat="1" x14ac:dyDescent="0.35">
      <c r="B36" s="44" t="s">
        <v>80</v>
      </c>
      <c r="C36" s="90" t="s">
        <v>44</v>
      </c>
      <c r="D36" s="90" t="s">
        <v>45</v>
      </c>
      <c r="E36" s="90" t="s">
        <v>51</v>
      </c>
      <c r="F36" s="90" t="s">
        <v>52</v>
      </c>
      <c r="G36" s="90" t="s">
        <v>46</v>
      </c>
      <c r="H36" s="90" t="s">
        <v>47</v>
      </c>
      <c r="I36" s="90" t="s">
        <v>53</v>
      </c>
      <c r="J36" s="90" t="s">
        <v>54</v>
      </c>
    </row>
    <row r="37" spans="2:10" s="29" customFormat="1" x14ac:dyDescent="0.35">
      <c r="B37" s="28" t="s">
        <v>113</v>
      </c>
      <c r="C37" s="91">
        <v>43555</v>
      </c>
      <c r="D37" s="91">
        <v>43646</v>
      </c>
      <c r="E37" s="91">
        <v>43738</v>
      </c>
      <c r="F37" s="91">
        <v>43830</v>
      </c>
      <c r="G37" s="91">
        <v>43921</v>
      </c>
      <c r="H37" s="91">
        <v>44012</v>
      </c>
      <c r="I37" s="91">
        <v>44104</v>
      </c>
      <c r="J37" s="91">
        <v>44196</v>
      </c>
    </row>
    <row r="38" spans="2:10" x14ac:dyDescent="0.35">
      <c r="B38" s="3" t="s">
        <v>203</v>
      </c>
      <c r="C38" s="100">
        <f>INDEX('IS (Quarterly)'!$E$13:$L$13,MATCH(C$37,'IS (Quarterly)'!$E$9:$L$9,0))</f>
        <v>4.6470000000000002</v>
      </c>
      <c r="D38" s="100">
        <f>INDEX('IS (Quarterly)'!$E$13:$L$13,MATCH(D$37,'IS (Quarterly)'!$E$9:$L$9,0))</f>
        <v>5.2320000000000002</v>
      </c>
      <c r="E38" s="100">
        <f>INDEX('IS (Quarterly)'!$E$13:$L$13,MATCH(E$37,'IS (Quarterly)'!$E$9:$L$9,0))</f>
        <v>4.7850000000000001</v>
      </c>
      <c r="F38" s="100">
        <f>INDEX('IS (Quarterly)'!$E$13:$L$13,MATCH(F$37,'IS (Quarterly)'!$E$9:$L$9,0))</f>
        <v>5.28</v>
      </c>
      <c r="G38" s="100">
        <f>INDEX('IS (Quarterly)'!$E$13:$L$13,MATCH(G$37,'IS (Quarterly)'!$E$9:$L$9,0))</f>
        <v>7.0910000000000002</v>
      </c>
      <c r="H38" s="100">
        <f>INDEX('IS (Quarterly)'!$E$13:$L$13,MATCH(H$37,'IS (Quarterly)'!$E$9:$L$9,0))</f>
        <v>6.4669999999999996</v>
      </c>
      <c r="I38" s="100">
        <f>INDEX('IS (Quarterly)'!$E$13:$L$13,MATCH(I$37,'IS (Quarterly)'!$E$9:$L$9,0))</f>
        <v>10.759</v>
      </c>
      <c r="J38" s="100">
        <f>INDEX('IS (Quarterly)'!$E$13:$L$13,MATCH(J$37,'IS (Quarterly)'!$E$9:$L$9,0))</f>
        <v>20.675999999999998</v>
      </c>
    </row>
    <row r="39" spans="2:10" x14ac:dyDescent="0.35">
      <c r="B39" s="3" t="s">
        <v>382</v>
      </c>
      <c r="C39" s="135">
        <f>'IS (Annual)'!D19/'IS (Annual)'!D20</f>
        <v>0.1111111111111111</v>
      </c>
      <c r="D39" s="135">
        <f>C39</f>
        <v>0.1111111111111111</v>
      </c>
      <c r="E39" s="135">
        <f t="shared" ref="E39:J39" si="0">D39</f>
        <v>0.1111111111111111</v>
      </c>
      <c r="F39" s="135">
        <f t="shared" si="0"/>
        <v>0.1111111111111111</v>
      </c>
      <c r="G39" s="135">
        <f>'IS (Annual)'!C19/'IS (Annual)'!C20</f>
        <v>6.1431778276620802E-2</v>
      </c>
      <c r="H39" s="135">
        <f t="shared" si="0"/>
        <v>6.1431778276620802E-2</v>
      </c>
      <c r="I39" s="135">
        <f t="shared" si="0"/>
        <v>6.1431778276620802E-2</v>
      </c>
      <c r="J39" s="135">
        <f t="shared" si="0"/>
        <v>6.1431778276620802E-2</v>
      </c>
    </row>
    <row r="40" spans="2:10" x14ac:dyDescent="0.35">
      <c r="B40" s="27" t="s">
        <v>381</v>
      </c>
      <c r="C40" s="209">
        <f>C38*(1-C39)</f>
        <v>4.1306666666666665</v>
      </c>
      <c r="D40" s="209">
        <f t="shared" ref="D40:J40" si="1">D38*(1-D39)</f>
        <v>4.6506666666666669</v>
      </c>
      <c r="E40" s="209">
        <f t="shared" si="1"/>
        <v>4.253333333333333</v>
      </c>
      <c r="F40" s="209">
        <f t="shared" si="1"/>
        <v>4.6933333333333334</v>
      </c>
      <c r="G40" s="209">
        <f t="shared" si="1"/>
        <v>6.6553872602404818</v>
      </c>
      <c r="H40" s="209">
        <f t="shared" si="1"/>
        <v>6.0697206898850924</v>
      </c>
      <c r="I40" s="209">
        <f t="shared" si="1"/>
        <v>10.098055497521838</v>
      </c>
      <c r="J40" s="209">
        <f t="shared" si="1"/>
        <v>19.405836552352586</v>
      </c>
    </row>
    <row r="41" spans="2:10" ht="13.3" thickBot="1" x14ac:dyDescent="0.4">
      <c r="B41" s="127" t="s">
        <v>204</v>
      </c>
      <c r="C41" s="210">
        <f>Operational!G13</f>
        <v>8</v>
      </c>
      <c r="D41" s="210">
        <f>Operational!H13</f>
        <v>21</v>
      </c>
      <c r="E41" s="210">
        <f>Operational!I13</f>
        <v>18</v>
      </c>
      <c r="F41" s="210">
        <f>Operational!J13</f>
        <v>17</v>
      </c>
      <c r="G41" s="210">
        <f>Operational!K13</f>
        <v>17</v>
      </c>
      <c r="H41" s="210">
        <f>Operational!L13</f>
        <v>26</v>
      </c>
      <c r="I41" s="210">
        <f>Operational!M13</f>
        <v>36</v>
      </c>
      <c r="J41" s="210">
        <f>Operational!N13</f>
        <v>90</v>
      </c>
    </row>
    <row r="42" spans="2:10" x14ac:dyDescent="0.35">
      <c r="C42" s="211"/>
      <c r="D42" s="211"/>
      <c r="E42" s="211"/>
      <c r="F42" s="211"/>
      <c r="G42" s="211"/>
      <c r="H42" s="211"/>
      <c r="I42" s="211"/>
      <c r="J42" s="211"/>
    </row>
    <row r="44" spans="2:10" x14ac:dyDescent="0.35">
      <c r="B44" s="2" t="s">
        <v>380</v>
      </c>
    </row>
    <row r="65" spans="2:10" ht="13.3" thickBot="1" x14ac:dyDescent="0.4">
      <c r="B65" s="4" t="s">
        <v>359</v>
      </c>
    </row>
    <row r="66" spans="2:10" x14ac:dyDescent="0.35">
      <c r="B66" s="96" t="s">
        <v>119</v>
      </c>
      <c r="C66" s="115">
        <f>INDEX(LINEST($C$40:$J$40,$C$41:$J$41,TRUE,TRUE),1,1)</f>
        <v>0.19642926436003935</v>
      </c>
    </row>
    <row r="67" spans="2:10" x14ac:dyDescent="0.35">
      <c r="B67" s="14" t="s">
        <v>120</v>
      </c>
      <c r="C67" s="116">
        <f>INDEX(LINEST($C$40:$J$40,$C$41:$J$41,TRUE,TRUE),1,2)</f>
        <v>1.7736226755138533</v>
      </c>
    </row>
    <row r="68" spans="2:10" x14ac:dyDescent="0.35">
      <c r="B68" s="14" t="s">
        <v>122</v>
      </c>
      <c r="C68" s="116">
        <f>INDEX(LINEST($C$40:$J$40,$C$41:$J$41,TRUE,TRUE),3,1)</f>
        <v>0.95730846403833414</v>
      </c>
    </row>
    <row r="69" spans="2:10" ht="13.3" thickBot="1" x14ac:dyDescent="0.4">
      <c r="B69" s="32" t="s">
        <v>121</v>
      </c>
      <c r="C69" s="117">
        <f>INDEX(LINEST($C$40:$J$40,$C$41:$J$41,TRUE,TRUE),3,2)</f>
        <v>1.1600988571142032</v>
      </c>
    </row>
    <row r="70" spans="2:10" ht="13.3" thickBot="1" x14ac:dyDescent="0.4"/>
    <row r="71" spans="2:10" x14ac:dyDescent="0.35">
      <c r="B71" s="11" t="s">
        <v>80</v>
      </c>
      <c r="C71" s="69" t="s">
        <v>44</v>
      </c>
      <c r="D71" s="69" t="s">
        <v>45</v>
      </c>
      <c r="E71" s="69" t="s">
        <v>51</v>
      </c>
      <c r="F71" s="69" t="s">
        <v>52</v>
      </c>
      <c r="G71" s="69" t="s">
        <v>46</v>
      </c>
      <c r="H71" s="69" t="s">
        <v>47</v>
      </c>
      <c r="I71" s="69" t="s">
        <v>53</v>
      </c>
      <c r="J71" s="69" t="s">
        <v>54</v>
      </c>
    </row>
    <row r="72" spans="2:10" x14ac:dyDescent="0.35">
      <c r="B72" s="3" t="s">
        <v>383</v>
      </c>
      <c r="C72" s="141">
        <f>$C$66*C41+$C$67</f>
        <v>3.3450567903941684</v>
      </c>
      <c r="D72" s="141">
        <f t="shared" ref="D72:J72" si="2">$C$66*D41+$C$67</f>
        <v>5.8986372270746799</v>
      </c>
      <c r="E72" s="141">
        <f t="shared" si="2"/>
        <v>5.3093494339945622</v>
      </c>
      <c r="F72" s="141">
        <f t="shared" si="2"/>
        <v>5.1129201696345223</v>
      </c>
      <c r="G72" s="141">
        <f t="shared" si="2"/>
        <v>5.1129201696345223</v>
      </c>
      <c r="H72" s="141">
        <f t="shared" si="2"/>
        <v>6.8807835488748763</v>
      </c>
      <c r="I72" s="141">
        <f t="shared" si="2"/>
        <v>8.8450761924752701</v>
      </c>
      <c r="J72" s="141">
        <f t="shared" si="2"/>
        <v>19.452256467917394</v>
      </c>
    </row>
    <row r="73" spans="2:10" x14ac:dyDescent="0.35">
      <c r="B73" s="3" t="s">
        <v>384</v>
      </c>
      <c r="C73" s="59">
        <f>C40</f>
        <v>4.1306666666666665</v>
      </c>
      <c r="D73" s="59">
        <f t="shared" ref="D73:J73" si="3">D40</f>
        <v>4.6506666666666669</v>
      </c>
      <c r="E73" s="59">
        <f t="shared" si="3"/>
        <v>4.253333333333333</v>
      </c>
      <c r="F73" s="59">
        <f t="shared" si="3"/>
        <v>4.6933333333333334</v>
      </c>
      <c r="G73" s="59">
        <f t="shared" si="3"/>
        <v>6.6553872602404818</v>
      </c>
      <c r="H73" s="59">
        <f t="shared" si="3"/>
        <v>6.0697206898850924</v>
      </c>
      <c r="I73" s="59">
        <f t="shared" si="3"/>
        <v>10.098055497521838</v>
      </c>
      <c r="J73" s="59">
        <f t="shared" si="3"/>
        <v>19.405836552352586</v>
      </c>
    </row>
    <row r="74" spans="2:10" ht="13.3" thickBot="1" x14ac:dyDescent="0.4">
      <c r="B74" s="32" t="s">
        <v>116</v>
      </c>
      <c r="C74" s="101">
        <f>C72-C73</f>
        <v>-0.78560987627249812</v>
      </c>
      <c r="D74" s="101">
        <f t="shared" ref="D74:J74" si="4">D72-D73</f>
        <v>1.2479705604080129</v>
      </c>
      <c r="E74" s="101">
        <f t="shared" si="4"/>
        <v>1.0560161006612292</v>
      </c>
      <c r="F74" s="101">
        <f t="shared" si="4"/>
        <v>0.41958683630118898</v>
      </c>
      <c r="G74" s="101">
        <f t="shared" si="4"/>
        <v>-1.5424670906059594</v>
      </c>
      <c r="H74" s="101">
        <f t="shared" si="4"/>
        <v>0.81106285898978392</v>
      </c>
      <c r="I74" s="101">
        <f t="shared" si="4"/>
        <v>-1.2529793050465674</v>
      </c>
      <c r="J74" s="101">
        <f t="shared" si="4"/>
        <v>4.6419915564808178E-2</v>
      </c>
    </row>
    <row r="77" spans="2:10" x14ac:dyDescent="0.35">
      <c r="B77" s="2" t="s">
        <v>385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14BB-F9E9-47D7-A4B2-9F8F98E25FAA}">
  <dimension ref="B2:HJ128"/>
  <sheetViews>
    <sheetView showGridLines="0" zoomScaleNormal="100" workbookViewId="0">
      <pane xSplit="2" topLeftCell="C1" activePane="topRight" state="frozen"/>
      <selection pane="topRight" activeCell="C1" sqref="C1"/>
    </sheetView>
  </sheetViews>
  <sheetFormatPr defaultRowHeight="12.9" x14ac:dyDescent="0.35"/>
  <cols>
    <col min="1" max="1" width="3.07421875" style="3" customWidth="1"/>
    <col min="2" max="2" width="31.3046875" style="3" customWidth="1"/>
    <col min="3" max="8" width="14.53515625" style="29" customWidth="1"/>
    <col min="9" max="16" width="13.23046875" style="29" bestFit="1" customWidth="1"/>
    <col min="17" max="25" width="13.23046875" style="3" bestFit="1" customWidth="1"/>
    <col min="26" max="31" width="12.23046875" style="3" bestFit="1" customWidth="1"/>
    <col min="32" max="44" width="13.23046875" style="3" bestFit="1" customWidth="1"/>
    <col min="45" max="56" width="12.23046875" style="3" bestFit="1" customWidth="1"/>
    <col min="57" max="58" width="11.3046875" style="3" bestFit="1" customWidth="1"/>
    <col min="59" max="60" width="12.23046875" style="3" bestFit="1" customWidth="1"/>
    <col min="61" max="80" width="11.3046875" style="3" bestFit="1" customWidth="1"/>
    <col min="81" max="108" width="12.23046875" style="3" bestFit="1" customWidth="1"/>
    <col min="109" max="109" width="13.23046875" style="3" bestFit="1" customWidth="1"/>
    <col min="110" max="111" width="12.23046875" style="3" bestFit="1" customWidth="1"/>
    <col min="112" max="112" width="13.23046875" style="3" bestFit="1" customWidth="1"/>
    <col min="113" max="124" width="12.23046875" style="3" bestFit="1" customWidth="1"/>
    <col min="125" max="125" width="13.23046875" style="3" bestFit="1" customWidth="1"/>
    <col min="126" max="126" width="12.23046875" style="3" bestFit="1" customWidth="1"/>
    <col min="127" max="148" width="13.23046875" style="3" bestFit="1" customWidth="1"/>
    <col min="149" max="149" width="14.61328125" style="3" customWidth="1"/>
    <col min="150" max="159" width="13.23046875" style="3" bestFit="1" customWidth="1"/>
    <col min="160" max="160" width="14.61328125" style="3" bestFit="1" customWidth="1"/>
    <col min="161" max="172" width="13.23046875" style="3" bestFit="1" customWidth="1"/>
    <col min="173" max="218" width="14.61328125" style="3" bestFit="1" customWidth="1"/>
    <col min="219" max="16384" width="9.23046875" style="3"/>
  </cols>
  <sheetData>
    <row r="2" spans="2:149" ht="15.9" x14ac:dyDescent="0.45">
      <c r="B2" s="1" t="s">
        <v>407</v>
      </c>
    </row>
    <row r="3" spans="2:149" x14ac:dyDescent="0.35">
      <c r="B3" s="6" t="s">
        <v>0</v>
      </c>
    </row>
    <row r="4" spans="2:149" x14ac:dyDescent="0.35">
      <c r="B4" s="259" t="s">
        <v>408</v>
      </c>
    </row>
    <row r="6" spans="2:149" x14ac:dyDescent="0.35">
      <c r="B6" s="5" t="s">
        <v>200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</row>
    <row r="8" spans="2:149" ht="13.3" thickBot="1" x14ac:dyDescent="0.4">
      <c r="B8" s="4" t="s">
        <v>137</v>
      </c>
    </row>
    <row r="9" spans="2:149" x14ac:dyDescent="0.35">
      <c r="B9" s="11" t="s">
        <v>138</v>
      </c>
      <c r="C9" s="119" t="s">
        <v>140</v>
      </c>
      <c r="D9" s="119" t="s">
        <v>109</v>
      </c>
      <c r="E9" s="119" t="s">
        <v>144</v>
      </c>
      <c r="F9" s="119" t="s">
        <v>143</v>
      </c>
    </row>
    <row r="10" spans="2:149" x14ac:dyDescent="0.35">
      <c r="B10" s="13" t="s">
        <v>142</v>
      </c>
      <c r="C10" s="104"/>
      <c r="D10" s="207">
        <v>39816</v>
      </c>
      <c r="E10" s="120"/>
      <c r="F10" s="104">
        <v>50</v>
      </c>
    </row>
    <row r="11" spans="2:149" x14ac:dyDescent="0.35">
      <c r="B11" s="13">
        <v>1</v>
      </c>
      <c r="C11" s="104" t="s">
        <v>141</v>
      </c>
      <c r="D11" s="207">
        <v>41241</v>
      </c>
      <c r="E11" s="121">
        <f>D11-D10</f>
        <v>1425</v>
      </c>
      <c r="F11" s="104">
        <f>F10/2</f>
        <v>25</v>
      </c>
    </row>
    <row r="12" spans="2:149" x14ac:dyDescent="0.35">
      <c r="B12" s="13">
        <v>2</v>
      </c>
      <c r="C12" s="104" t="s">
        <v>141</v>
      </c>
      <c r="D12" s="207">
        <v>42560</v>
      </c>
      <c r="E12" s="121">
        <f t="shared" ref="E12:E13" si="0">D12-D11</f>
        <v>1319</v>
      </c>
      <c r="F12" s="104">
        <f t="shared" ref="F12:F16" si="1">F11/2</f>
        <v>12.5</v>
      </c>
    </row>
    <row r="13" spans="2:149" x14ac:dyDescent="0.35">
      <c r="B13" s="13">
        <v>3</v>
      </c>
      <c r="C13" s="104" t="s">
        <v>141</v>
      </c>
      <c r="D13" s="207">
        <v>43962</v>
      </c>
      <c r="E13" s="121">
        <f t="shared" si="0"/>
        <v>1402</v>
      </c>
      <c r="F13" s="104">
        <f t="shared" si="1"/>
        <v>6.25</v>
      </c>
    </row>
    <row r="14" spans="2:149" x14ac:dyDescent="0.35">
      <c r="B14" s="13">
        <v>4</v>
      </c>
      <c r="C14" s="104" t="s">
        <v>139</v>
      </c>
      <c r="D14" s="207">
        <f>D13+E14</f>
        <v>45364</v>
      </c>
      <c r="E14" s="121">
        <f>E13</f>
        <v>1402</v>
      </c>
      <c r="F14" s="104">
        <f t="shared" si="1"/>
        <v>3.125</v>
      </c>
    </row>
    <row r="15" spans="2:149" x14ac:dyDescent="0.35">
      <c r="B15" s="13">
        <v>5</v>
      </c>
      <c r="C15" s="104" t="s">
        <v>139</v>
      </c>
      <c r="D15" s="207">
        <f>D14+E15</f>
        <v>46766</v>
      </c>
      <c r="E15" s="121">
        <f>E14</f>
        <v>1402</v>
      </c>
      <c r="F15" s="104">
        <f t="shared" si="1"/>
        <v>1.5625</v>
      </c>
    </row>
    <row r="16" spans="2:149" ht="13.3" thickBot="1" x14ac:dyDescent="0.4">
      <c r="B16" s="31">
        <v>6</v>
      </c>
      <c r="C16" s="118" t="s">
        <v>139</v>
      </c>
      <c r="D16" s="208">
        <f>D15+E16</f>
        <v>48168</v>
      </c>
      <c r="E16" s="122">
        <f>E14</f>
        <v>1402</v>
      </c>
      <c r="F16" s="118">
        <f t="shared" si="1"/>
        <v>0.78125</v>
      </c>
    </row>
    <row r="17" spans="2:150" x14ac:dyDescent="0.35">
      <c r="B17" s="134" t="s">
        <v>421</v>
      </c>
    </row>
    <row r="19" spans="2:150" ht="13.3" thickBot="1" x14ac:dyDescent="0.4">
      <c r="B19" s="4" t="s">
        <v>131</v>
      </c>
    </row>
    <row r="20" spans="2:150" x14ac:dyDescent="0.35">
      <c r="B20" s="112" t="s">
        <v>109</v>
      </c>
      <c r="C20" s="113">
        <v>39844</v>
      </c>
      <c r="D20" s="113">
        <v>39872</v>
      </c>
      <c r="E20" s="113">
        <v>39903</v>
      </c>
      <c r="F20" s="113">
        <v>39933</v>
      </c>
      <c r="G20" s="113">
        <v>39964</v>
      </c>
      <c r="H20" s="113">
        <v>39994</v>
      </c>
      <c r="I20" s="113">
        <v>40025</v>
      </c>
      <c r="J20" s="113">
        <v>40056</v>
      </c>
      <c r="K20" s="113">
        <v>40086</v>
      </c>
      <c r="L20" s="113">
        <v>40117</v>
      </c>
      <c r="M20" s="113">
        <v>40147</v>
      </c>
      <c r="N20" s="113">
        <v>40178</v>
      </c>
      <c r="O20" s="113">
        <v>40209</v>
      </c>
      <c r="P20" s="113">
        <v>40237</v>
      </c>
      <c r="Q20" s="113">
        <v>40268</v>
      </c>
      <c r="R20" s="113">
        <v>40298</v>
      </c>
      <c r="S20" s="113">
        <v>40329</v>
      </c>
      <c r="T20" s="113">
        <v>40359</v>
      </c>
      <c r="U20" s="113">
        <v>40390</v>
      </c>
      <c r="V20" s="113">
        <v>40421</v>
      </c>
      <c r="W20" s="113">
        <v>40451</v>
      </c>
      <c r="X20" s="113">
        <v>40482</v>
      </c>
      <c r="Y20" s="113">
        <v>40512</v>
      </c>
      <c r="Z20" s="113">
        <v>40543</v>
      </c>
      <c r="AA20" s="113">
        <v>40574</v>
      </c>
      <c r="AB20" s="113">
        <v>40602</v>
      </c>
      <c r="AC20" s="113">
        <v>40633</v>
      </c>
      <c r="AD20" s="113">
        <v>40663</v>
      </c>
      <c r="AE20" s="113">
        <v>40694</v>
      </c>
      <c r="AF20" s="113">
        <v>40724</v>
      </c>
      <c r="AG20" s="113">
        <v>40755</v>
      </c>
      <c r="AH20" s="113">
        <v>40786</v>
      </c>
      <c r="AI20" s="113">
        <v>40816</v>
      </c>
      <c r="AJ20" s="113">
        <v>40847</v>
      </c>
      <c r="AK20" s="113">
        <v>40877</v>
      </c>
      <c r="AL20" s="113">
        <v>40908</v>
      </c>
      <c r="AM20" s="113">
        <v>40939</v>
      </c>
      <c r="AN20" s="113">
        <v>40968</v>
      </c>
      <c r="AO20" s="113">
        <v>40999</v>
      </c>
      <c r="AP20" s="113">
        <v>41029</v>
      </c>
      <c r="AQ20" s="113">
        <v>41060</v>
      </c>
      <c r="AR20" s="113">
        <v>41090</v>
      </c>
      <c r="AS20" s="113">
        <v>41121</v>
      </c>
      <c r="AT20" s="113">
        <v>41152</v>
      </c>
      <c r="AU20" s="113">
        <v>41182</v>
      </c>
      <c r="AV20" s="113">
        <v>41213</v>
      </c>
      <c r="AW20" s="113">
        <v>41243</v>
      </c>
      <c r="AX20" s="113">
        <v>41274</v>
      </c>
      <c r="AY20" s="113">
        <v>41305</v>
      </c>
      <c r="AZ20" s="113">
        <v>41333</v>
      </c>
      <c r="BA20" s="113">
        <v>41364</v>
      </c>
      <c r="BB20" s="113">
        <v>41394</v>
      </c>
      <c r="BC20" s="113">
        <v>41425</v>
      </c>
      <c r="BD20" s="113">
        <v>41455</v>
      </c>
      <c r="BE20" s="113">
        <v>41486</v>
      </c>
      <c r="BF20" s="113">
        <v>41517</v>
      </c>
      <c r="BG20" s="113">
        <v>41547</v>
      </c>
      <c r="BH20" s="113">
        <v>41578</v>
      </c>
      <c r="BI20" s="113">
        <v>41608</v>
      </c>
      <c r="BJ20" s="113">
        <v>41639</v>
      </c>
      <c r="BK20" s="113">
        <v>41670</v>
      </c>
      <c r="BL20" s="113">
        <v>41698</v>
      </c>
      <c r="BM20" s="113">
        <v>41729</v>
      </c>
      <c r="BN20" s="113">
        <v>41759</v>
      </c>
      <c r="BO20" s="113">
        <v>41790</v>
      </c>
      <c r="BP20" s="113">
        <v>41820</v>
      </c>
      <c r="BQ20" s="113">
        <v>41851</v>
      </c>
      <c r="BR20" s="113">
        <v>41882</v>
      </c>
      <c r="BS20" s="113">
        <v>41912</v>
      </c>
      <c r="BT20" s="113">
        <v>41943</v>
      </c>
      <c r="BU20" s="113">
        <v>41973</v>
      </c>
      <c r="BV20" s="113">
        <v>42004</v>
      </c>
      <c r="BW20" s="113">
        <v>42035</v>
      </c>
      <c r="BX20" s="113">
        <v>42063</v>
      </c>
      <c r="BY20" s="113">
        <v>42094</v>
      </c>
      <c r="BZ20" s="113">
        <v>42124</v>
      </c>
      <c r="CA20" s="113">
        <v>42155</v>
      </c>
      <c r="CB20" s="113">
        <v>42185</v>
      </c>
      <c r="CC20" s="113">
        <v>42216</v>
      </c>
      <c r="CD20" s="113">
        <v>42247</v>
      </c>
      <c r="CE20" s="113">
        <v>42277</v>
      </c>
      <c r="CF20" s="113">
        <v>42308</v>
      </c>
      <c r="CG20" s="113">
        <v>42338</v>
      </c>
      <c r="CH20" s="113">
        <v>42369</v>
      </c>
      <c r="CI20" s="113">
        <v>42400</v>
      </c>
      <c r="CJ20" s="113">
        <v>42429</v>
      </c>
      <c r="CK20" s="113">
        <v>42460</v>
      </c>
      <c r="CL20" s="113">
        <v>42490</v>
      </c>
      <c r="CM20" s="113">
        <v>42521</v>
      </c>
      <c r="CN20" s="113">
        <v>42551</v>
      </c>
      <c r="CO20" s="113">
        <v>42582</v>
      </c>
      <c r="CP20" s="113">
        <v>42613</v>
      </c>
      <c r="CQ20" s="113">
        <v>42643</v>
      </c>
      <c r="CR20" s="113">
        <v>42674</v>
      </c>
      <c r="CS20" s="113">
        <v>42704</v>
      </c>
      <c r="CT20" s="113">
        <v>42735</v>
      </c>
      <c r="CU20" s="113">
        <v>42766</v>
      </c>
      <c r="CV20" s="113">
        <v>42794</v>
      </c>
      <c r="CW20" s="113">
        <v>42825</v>
      </c>
      <c r="CX20" s="113">
        <v>42855</v>
      </c>
      <c r="CY20" s="113">
        <v>42886</v>
      </c>
      <c r="CZ20" s="113">
        <v>42916</v>
      </c>
      <c r="DA20" s="113">
        <v>42947</v>
      </c>
      <c r="DB20" s="113">
        <v>42978</v>
      </c>
      <c r="DC20" s="113">
        <v>43008</v>
      </c>
      <c r="DD20" s="113">
        <v>43039</v>
      </c>
      <c r="DE20" s="113">
        <v>43069</v>
      </c>
      <c r="DF20" s="113">
        <v>43100</v>
      </c>
      <c r="DG20" s="113">
        <v>43131</v>
      </c>
      <c r="DH20" s="113">
        <v>43159</v>
      </c>
      <c r="DI20" s="113">
        <v>43190</v>
      </c>
      <c r="DJ20" s="113">
        <v>43220</v>
      </c>
      <c r="DK20" s="113">
        <v>43251</v>
      </c>
      <c r="DL20" s="113">
        <v>43281</v>
      </c>
      <c r="DM20" s="113">
        <v>43312</v>
      </c>
      <c r="DN20" s="113">
        <v>43343</v>
      </c>
      <c r="DO20" s="113">
        <v>43373</v>
      </c>
      <c r="DP20" s="113">
        <v>43404</v>
      </c>
      <c r="DQ20" s="113">
        <v>43434</v>
      </c>
      <c r="DR20" s="113">
        <v>43465</v>
      </c>
      <c r="DS20" s="113">
        <v>43496</v>
      </c>
      <c r="DT20" s="113">
        <v>43524</v>
      </c>
      <c r="DU20" s="113">
        <v>43555</v>
      </c>
      <c r="DV20" s="113">
        <v>43585</v>
      </c>
      <c r="DW20" s="113">
        <v>43616</v>
      </c>
      <c r="DX20" s="113">
        <v>43646</v>
      </c>
      <c r="DY20" s="113">
        <v>43677</v>
      </c>
      <c r="DZ20" s="113">
        <v>43708</v>
      </c>
      <c r="EA20" s="113">
        <v>43738</v>
      </c>
      <c r="EB20" s="113">
        <v>43769</v>
      </c>
      <c r="EC20" s="113">
        <v>43799</v>
      </c>
      <c r="ED20" s="113">
        <v>43830</v>
      </c>
      <c r="EE20" s="113">
        <v>43861</v>
      </c>
      <c r="EF20" s="113">
        <v>43890</v>
      </c>
      <c r="EG20" s="113">
        <v>43921</v>
      </c>
      <c r="EH20" s="113">
        <v>43951</v>
      </c>
      <c r="EI20" s="113">
        <v>43982</v>
      </c>
      <c r="EJ20" s="113">
        <v>44012</v>
      </c>
      <c r="EK20" s="113">
        <v>44043</v>
      </c>
      <c r="EL20" s="113">
        <v>44074</v>
      </c>
      <c r="EM20" s="113">
        <v>44104</v>
      </c>
      <c r="EN20" s="113">
        <v>44135</v>
      </c>
      <c r="EO20" s="113">
        <v>44165</v>
      </c>
      <c r="EP20" s="113">
        <v>44196</v>
      </c>
      <c r="EQ20" s="113">
        <v>44227</v>
      </c>
      <c r="ER20" s="113">
        <v>44255</v>
      </c>
      <c r="ES20" s="113">
        <v>44286</v>
      </c>
    </row>
    <row r="21" spans="2:150" x14ac:dyDescent="0.35">
      <c r="B21" s="105" t="s">
        <v>126</v>
      </c>
      <c r="C21" s="103">
        <f>INDEX(BTCUSD!$I:$I,MATCH(C$20,BTCUSD!$H:$H,0))</f>
        <v>0</v>
      </c>
      <c r="D21" s="103">
        <f>INDEX(BTCUSD!$I:$I,MATCH(D$20,BTCUSD!$H:$H,0))</f>
        <v>0</v>
      </c>
      <c r="E21" s="103">
        <f>INDEX(BTCUSD!$I:$I,MATCH(E$20,BTCUSD!$H:$H,0))</f>
        <v>0</v>
      </c>
      <c r="F21" s="103">
        <f>INDEX(BTCUSD!$I:$I,MATCH(F$20,BTCUSD!$H:$H,0))</f>
        <v>0</v>
      </c>
      <c r="G21" s="103">
        <f>INDEX(BTCUSD!$I:$I,MATCH(G$20,BTCUSD!$H:$H,0))</f>
        <v>0</v>
      </c>
      <c r="H21" s="103">
        <f>INDEX(BTCUSD!$I:$I,MATCH(H$20,BTCUSD!$H:$H,0))</f>
        <v>0</v>
      </c>
      <c r="I21" s="103">
        <f>INDEX(BTCUSD!$I:$I,MATCH(I$20,BTCUSD!$H:$H,0))</f>
        <v>0</v>
      </c>
      <c r="J21" s="103">
        <f>INDEX(BTCUSD!$I:$I,MATCH(J$20,BTCUSD!$H:$H,0))</f>
        <v>0</v>
      </c>
      <c r="K21" s="103">
        <f>INDEX(BTCUSD!$I:$I,MATCH(K$20,BTCUSD!$H:$H,0))</f>
        <v>0</v>
      </c>
      <c r="L21" s="103">
        <f>INDEX(BTCUSD!$I:$I,MATCH(L$20,BTCUSD!$H:$H,0))</f>
        <v>0</v>
      </c>
      <c r="M21" s="103">
        <f>INDEX(BTCUSD!$I:$I,MATCH(M$20,BTCUSD!$H:$H,0))</f>
        <v>0</v>
      </c>
      <c r="N21" s="103">
        <f>INDEX(BTCUSD!$I:$I,MATCH(N$20,BTCUSD!$H:$H,0))</f>
        <v>0</v>
      </c>
      <c r="O21" s="103">
        <f>INDEX(BTCUSD!$I:$I,MATCH(O$20,BTCUSD!$H:$H,0))</f>
        <v>0</v>
      </c>
      <c r="P21" s="103">
        <f>INDEX(BTCUSD!$I:$I,MATCH(P$20,BTCUSD!$H:$H,0))</f>
        <v>0</v>
      </c>
      <c r="Q21" s="103">
        <f>INDEX(BTCUSD!$I:$I,MATCH(Q$20,BTCUSD!$H:$H,0))</f>
        <v>0</v>
      </c>
      <c r="R21" s="103">
        <f>INDEX(BTCUSD!$I:$I,MATCH(R$20,BTCUSD!$H:$H,0))</f>
        <v>0</v>
      </c>
      <c r="S21" s="103">
        <f>INDEX(BTCUSD!$I:$I,MATCH(S$20,BTCUSD!$H:$H,0))</f>
        <v>0</v>
      </c>
      <c r="T21" s="103">
        <f>INDEX(BTCUSD!$I:$I,MATCH(T$20,BTCUSD!$H:$H,0))</f>
        <v>0</v>
      </c>
      <c r="U21" s="103">
        <f>INDEX(BTCUSD!$I:$I,MATCH(U$20,BTCUSD!$H:$H,0))</f>
        <v>0</v>
      </c>
      <c r="V21" s="103">
        <f>INDEX(BTCUSD!$I:$I,MATCH(V$20,BTCUSD!$H:$H,0))</f>
        <v>0.06</v>
      </c>
      <c r="W21" s="103">
        <f>INDEX(BTCUSD!$I:$I,MATCH(W$20,BTCUSD!$H:$H,0))</f>
        <v>0.06</v>
      </c>
      <c r="X21" s="103">
        <f>INDEX(BTCUSD!$I:$I,MATCH(X$20,BTCUSD!$H:$H,0))</f>
        <v>0.19</v>
      </c>
      <c r="Y21" s="103">
        <f>INDEX(BTCUSD!$I:$I,MATCH(Y$20,BTCUSD!$H:$H,0))</f>
        <v>0.28000000000000003</v>
      </c>
      <c r="Z21" s="103">
        <f>INDEX(BTCUSD!$I:$I,MATCH(Z$20,BTCUSD!$H:$H,0))</f>
        <v>0.3</v>
      </c>
      <c r="AA21" s="103">
        <f>INDEX(BTCUSD!$I:$I,MATCH(AA$20,BTCUSD!$H:$H,0))</f>
        <v>0.45</v>
      </c>
      <c r="AB21" s="103">
        <f>INDEX(BTCUSD!$I:$I,MATCH(AB$20,BTCUSD!$H:$H,0))</f>
        <v>0.96</v>
      </c>
      <c r="AC21" s="103">
        <f>INDEX(BTCUSD!$I:$I,MATCH(AC$20,BTCUSD!$H:$H,0))</f>
        <v>0.8</v>
      </c>
      <c r="AD21" s="103">
        <f>INDEX(BTCUSD!$I:$I,MATCH(AD$20,BTCUSD!$H:$H,0))</f>
        <v>2.66</v>
      </c>
      <c r="AE21" s="103">
        <f>INDEX(BTCUSD!$I:$I,MATCH(AE$20,BTCUSD!$H:$H,0))</f>
        <v>8.68</v>
      </c>
      <c r="AF21" s="103">
        <f>INDEX(BTCUSD!$I:$I,MATCH(AF$20,BTCUSD!$H:$H,0))</f>
        <v>17.89</v>
      </c>
      <c r="AG21" s="103">
        <f>INDEX(BTCUSD!$I:$I,MATCH(AG$20,BTCUSD!$H:$H,0))</f>
        <v>14.06</v>
      </c>
      <c r="AH21" s="103">
        <f>INDEX(BTCUSD!$I:$I,MATCH(AH$20,BTCUSD!$H:$H,0))</f>
        <v>9.4</v>
      </c>
      <c r="AI21" s="103">
        <f>INDEX(BTCUSD!$I:$I,MATCH(AI$20,BTCUSD!$H:$H,0))</f>
        <v>4.95</v>
      </c>
      <c r="AJ21" s="103">
        <f>INDEX(BTCUSD!$I:$I,MATCH(AJ$20,BTCUSD!$H:$H,0))</f>
        <v>3.39</v>
      </c>
      <c r="AK21" s="103">
        <f>INDEX(BTCUSD!$I:$I,MATCH(AK$20,BTCUSD!$H:$H,0))</f>
        <v>2.5099999999999998</v>
      </c>
      <c r="AL21" s="103">
        <f>INDEX(BTCUSD!$I:$I,MATCH(AL$20,BTCUSD!$H:$H,0))</f>
        <v>4.47</v>
      </c>
      <c r="AM21" s="103">
        <f>INDEX(BTCUSD!$I:$I,MATCH(AM$20,BTCUSD!$H:$H,0))</f>
        <v>5.72</v>
      </c>
      <c r="AN21" s="103">
        <f>INDEX(BTCUSD!$I:$I,MATCH(AN$20,BTCUSD!$H:$H,0))</f>
        <v>4.9800000000000004</v>
      </c>
      <c r="AO21" s="103">
        <f>INDEX(BTCUSD!$I:$I,MATCH(AO$20,BTCUSD!$H:$H,0))</f>
        <v>4.8499999999999996</v>
      </c>
      <c r="AP21" s="103">
        <f>INDEX(BTCUSD!$I:$I,MATCH(AP$20,BTCUSD!$H:$H,0))</f>
        <v>5.09</v>
      </c>
      <c r="AQ21" s="103">
        <f>INDEX(BTCUSD!$I:$I,MATCH(AQ$20,BTCUSD!$H:$H,0))</f>
        <v>5.16</v>
      </c>
      <c r="AR21" s="103">
        <f>INDEX(BTCUSD!$I:$I,MATCH(AR$20,BTCUSD!$H:$H,0))</f>
        <v>6.58</v>
      </c>
      <c r="AS21" s="103">
        <f>INDEX(BTCUSD!$I:$I,MATCH(AS$20,BTCUSD!$H:$H,0))</f>
        <v>9.2200000000000006</v>
      </c>
      <c r="AT21" s="103">
        <f>INDEX(BTCUSD!$I:$I,MATCH(AT$20,BTCUSD!$H:$H,0))</f>
        <v>11.14</v>
      </c>
      <c r="AU21" s="103">
        <f>INDEX(BTCUSD!$I:$I,MATCH(AU$20,BTCUSD!$H:$H,0))</f>
        <v>12.46</v>
      </c>
      <c r="AV21" s="103">
        <f>INDEX(BTCUSD!$I:$I,MATCH(AV$20,BTCUSD!$H:$H,0))</f>
        <v>10.69</v>
      </c>
      <c r="AW21" s="103">
        <f>INDEX(BTCUSD!$I:$I,MATCH(AW$20,BTCUSD!$H:$H,0))</f>
        <v>12.5</v>
      </c>
      <c r="AX21" s="103">
        <f>INDEX(BTCUSD!$I:$I,MATCH(AX$20,BTCUSD!$H:$H,0))</f>
        <v>13.57</v>
      </c>
      <c r="AY21" s="103">
        <f>INDEX(BTCUSD!$I:$I,MATCH(AY$20,BTCUSD!$H:$H,0))</f>
        <v>19.78</v>
      </c>
      <c r="AZ21" s="103">
        <f>INDEX(BTCUSD!$I:$I,MATCH(AZ$20,BTCUSD!$H:$H,0))</f>
        <v>30.4</v>
      </c>
      <c r="BA21" s="103">
        <f>INDEX(BTCUSD!$I:$I,MATCH(BA$20,BTCUSD!$H:$H,0))</f>
        <v>92.5</v>
      </c>
      <c r="BB21" s="103">
        <f>INDEX(BTCUSD!$I:$I,MATCH(BB$20,BTCUSD!$H:$H,0))</f>
        <v>144.54</v>
      </c>
      <c r="BC21" s="103">
        <f>INDEX(BTCUSD!$I:$I,MATCH(BC$20,BTCUSD!$H:$H,0))</f>
        <v>132.30000000000001</v>
      </c>
      <c r="BD21" s="103">
        <f>INDEX(BTCUSD!$I:$I,MATCH(BD$20,BTCUSD!$H:$H,0))</f>
        <v>94.65</v>
      </c>
      <c r="BE21" s="103">
        <f>INDEX(BTCUSD!$I:$I,MATCH(BE$20,BTCUSD!$H:$H,0))</f>
        <v>98.7</v>
      </c>
      <c r="BF21" s="103">
        <f>INDEX(BTCUSD!$I:$I,MATCH(BF$20,BTCUSD!$H:$H,0))</f>
        <v>124.84</v>
      </c>
      <c r="BG21" s="103">
        <f>INDEX(BTCUSD!$I:$I,MATCH(BG$20,BTCUSD!$H:$H,0))</f>
        <v>127.01</v>
      </c>
      <c r="BH21" s="103">
        <f>INDEX(BTCUSD!$I:$I,MATCH(BH$20,BTCUSD!$H:$H,0))</f>
        <v>216</v>
      </c>
      <c r="BI21" s="103">
        <f>INDEX(BTCUSD!$I:$I,MATCH(BI$20,BTCUSD!$H:$H,0))</f>
        <v>1014.1</v>
      </c>
      <c r="BJ21" s="103">
        <f>INDEX(BTCUSD!$I:$I,MATCH(BJ$20,BTCUSD!$H:$H,0))</f>
        <v>715</v>
      </c>
      <c r="BK21" s="103">
        <f>INDEX(BTCUSD!$I:$I,MATCH(BK$20,BTCUSD!$H:$H,0))</f>
        <v>800</v>
      </c>
      <c r="BL21" s="103">
        <f>INDEX(BTCUSD!$I:$I,MATCH(BL$20,BTCUSD!$H:$H,0))</f>
        <v>585.21</v>
      </c>
      <c r="BM21" s="103">
        <f>INDEX(BTCUSD!$I:$I,MATCH(BM$20,BTCUSD!$H:$H,0))</f>
        <v>499.6</v>
      </c>
      <c r="BN21" s="103">
        <f>INDEX(BTCUSD!$I:$I,MATCH(BN$20,BTCUSD!$H:$H,0))</f>
        <v>438.8</v>
      </c>
      <c r="BO21" s="103">
        <f>INDEX(BTCUSD!$I:$I,MATCH(BO$20,BTCUSD!$H:$H,0))</f>
        <v>621.29999999999995</v>
      </c>
      <c r="BP21" s="103">
        <f>INDEX(BTCUSD!$I:$I,MATCH(BP$20,BTCUSD!$H:$H,0))</f>
        <v>599.99</v>
      </c>
      <c r="BQ21" s="103">
        <f>INDEX(BTCUSD!$I:$I,MATCH(BQ$20,BTCUSD!$H:$H,0))</f>
        <v>585.5</v>
      </c>
      <c r="BR21" s="103">
        <f>INDEX(BTCUSD!$I:$I,MATCH(BR$20,BTCUSD!$H:$H,0))</f>
        <v>506.61</v>
      </c>
      <c r="BS21" s="103">
        <f>INDEX(BTCUSD!$I:$I,MATCH(BS$20,BTCUSD!$H:$H,0))</f>
        <v>400.39</v>
      </c>
      <c r="BT21" s="103">
        <f>INDEX(BTCUSD!$I:$I,MATCH(BT$20,BTCUSD!$H:$H,0))</f>
        <v>345.3</v>
      </c>
      <c r="BU21" s="103">
        <f>INDEX(BTCUSD!$I:$I,MATCH(BU$20,BTCUSD!$H:$H,0))</f>
        <v>375.59</v>
      </c>
      <c r="BV21" s="103">
        <f>INDEX(BTCUSD!$I:$I,MATCH(BV$20,BTCUSD!$H:$H,0))</f>
        <v>313.39999999999998</v>
      </c>
      <c r="BW21" s="103">
        <f>INDEX(BTCUSD!$I:$I,MATCH(BW$20,BTCUSD!$H:$H,0))</f>
        <v>236.2</v>
      </c>
      <c r="BX21" s="103">
        <f>INDEX(BTCUSD!$I:$I,MATCH(BX$20,BTCUSD!$H:$H,0))</f>
        <v>252.11</v>
      </c>
      <c r="BY21" s="103">
        <f>INDEX(BTCUSD!$I:$I,MATCH(BY$20,BTCUSD!$H:$H,0))</f>
        <v>242.34</v>
      </c>
      <c r="BZ21" s="103">
        <f>INDEX(BTCUSD!$I:$I,MATCH(BZ$20,BTCUSD!$H:$H,0))</f>
        <v>225.2</v>
      </c>
      <c r="CA21" s="103">
        <f>INDEX(BTCUSD!$I:$I,MATCH(CA$20,BTCUSD!$H:$H,0))</f>
        <v>236.44</v>
      </c>
      <c r="CB21" s="103">
        <f>INDEX(BTCUSD!$I:$I,MATCH(CB$20,BTCUSD!$H:$H,0))</f>
        <v>251.21</v>
      </c>
      <c r="CC21" s="103">
        <f>INDEX(BTCUSD!$I:$I,MATCH(CC$20,BTCUSD!$H:$H,0))</f>
        <v>288.45</v>
      </c>
      <c r="CD21" s="103">
        <f>INDEX(BTCUSD!$I:$I,MATCH(CD$20,BTCUSD!$H:$H,0))</f>
        <v>229.63</v>
      </c>
      <c r="CE21" s="103">
        <f>INDEX(BTCUSD!$I:$I,MATCH(CE$20,BTCUSD!$H:$H,0))</f>
        <v>239.14</v>
      </c>
      <c r="CF21" s="103">
        <f>INDEX(BTCUSD!$I:$I,MATCH(CF$20,BTCUSD!$H:$H,0))</f>
        <v>304.79000000000002</v>
      </c>
      <c r="CG21" s="103">
        <f>INDEX(BTCUSD!$I:$I,MATCH(CG$20,BTCUSD!$H:$H,0))</f>
        <v>358</v>
      </c>
      <c r="CH21" s="103">
        <f>INDEX(BTCUSD!$I:$I,MATCH(CH$20,BTCUSD!$H:$H,0))</f>
        <v>428.23</v>
      </c>
      <c r="CI21" s="103">
        <f>INDEX(BTCUSD!$I:$I,MATCH(CI$20,BTCUSD!$H:$H,0))</f>
        <v>378.18</v>
      </c>
      <c r="CJ21" s="103">
        <f>INDEX(BTCUSD!$I:$I,MATCH(CJ$20,BTCUSD!$H:$H,0))</f>
        <v>431.89</v>
      </c>
      <c r="CK21" s="103">
        <f>INDEX(BTCUSD!$I:$I,MATCH(CK$20,BTCUSD!$H:$H,0))</f>
        <v>415.83</v>
      </c>
      <c r="CL21" s="103">
        <f>INDEX(BTCUSD!$I:$I,MATCH(CL$20,BTCUSD!$H:$H,0))</f>
        <v>449.98</v>
      </c>
      <c r="CM21" s="103">
        <f>INDEX(BTCUSD!$I:$I,MATCH(CM$20,BTCUSD!$H:$H,0))</f>
        <v>526.64</v>
      </c>
      <c r="CN21" s="103">
        <f>INDEX(BTCUSD!$I:$I,MATCH(CN$20,BTCUSD!$H:$H,0))</f>
        <v>651.85</v>
      </c>
      <c r="CO21" s="103">
        <f>INDEX(BTCUSD!$I:$I,MATCH(CO$20,BTCUSD!$H:$H,0))</f>
        <v>654.67999999999995</v>
      </c>
      <c r="CP21" s="103">
        <f>INDEX(BTCUSD!$I:$I,MATCH(CP$20,BTCUSD!$H:$H,0))</f>
        <v>571.5</v>
      </c>
      <c r="CQ21" s="103">
        <f>INDEX(BTCUSD!$I:$I,MATCH(CQ$20,BTCUSD!$H:$H,0))</f>
        <v>603.85</v>
      </c>
      <c r="CR21" s="103">
        <f>INDEX(BTCUSD!$I:$I,MATCH(CR$20,BTCUSD!$H:$H,0))</f>
        <v>685.91</v>
      </c>
      <c r="CS21" s="103">
        <f>INDEX(BTCUSD!$I:$I,MATCH(CS$20,BTCUSD!$H:$H,0))</f>
        <v>727.31</v>
      </c>
      <c r="CT21" s="103">
        <f>INDEX(BTCUSD!$I:$I,MATCH(CT$20,BTCUSD!$H:$H,0))</f>
        <v>958.12</v>
      </c>
      <c r="CU21" s="103">
        <f>INDEX(BTCUSD!$I:$I,MATCH(CU$20,BTCUSD!$H:$H,0))</f>
        <v>912.19</v>
      </c>
      <c r="CV21" s="103">
        <f>INDEX(BTCUSD!$I:$I,MATCH(CV$20,BTCUSD!$H:$H,0))</f>
        <v>1150.3699999999999</v>
      </c>
      <c r="CW21" s="103">
        <f>INDEX(BTCUSD!$I:$I,MATCH(CW$20,BTCUSD!$H:$H,0))</f>
        <v>1034.74</v>
      </c>
      <c r="CX21" s="103">
        <f>INDEX(BTCUSD!$I:$I,MATCH(CX$20,BTCUSD!$H:$H,0))</f>
        <v>1333</v>
      </c>
      <c r="CY21" s="103">
        <f>INDEX(BTCUSD!$I:$I,MATCH(CY$20,BTCUSD!$H:$H,0))</f>
        <v>2290.02</v>
      </c>
      <c r="CZ21" s="103">
        <f>INDEX(BTCUSD!$I:$I,MATCH(CZ$20,BTCUSD!$H:$H,0))</f>
        <v>2558.3000000000002</v>
      </c>
      <c r="DA21" s="103">
        <f>INDEX(BTCUSD!$I:$I,MATCH(DA$20,BTCUSD!$H:$H,0))</f>
        <v>2784.8</v>
      </c>
      <c r="DB21" s="103">
        <f>INDEX(BTCUSD!$I:$I,MATCH(DB$20,BTCUSD!$H:$H,0))</f>
        <v>4582.5200000000004</v>
      </c>
      <c r="DC21" s="103">
        <f>INDEX(BTCUSD!$I:$I,MATCH(DC$20,BTCUSD!$H:$H,0))</f>
        <v>4164.2700000000004</v>
      </c>
      <c r="DD21" s="103">
        <f>INDEX(BTCUSD!$I:$I,MATCH(DD$20,BTCUSD!$H:$H,0))</f>
        <v>6136.49</v>
      </c>
      <c r="DE21" s="103">
        <f>INDEX(BTCUSD!$I:$I,MATCH(DE$20,BTCUSD!$H:$H,0))</f>
        <v>9919</v>
      </c>
      <c r="DF21" s="103">
        <f>INDEX(BTCUSD!$I:$I,MATCH(DF$20,BTCUSD!$H:$H,0))</f>
        <v>14214.01</v>
      </c>
      <c r="DG21" s="103">
        <f>INDEX(BTCUSD!$I:$I,MATCH(DG$20,BTCUSD!$H:$H,0))</f>
        <v>10082.52</v>
      </c>
      <c r="DH21" s="103">
        <f>INDEX(BTCUSD!$I:$I,MATCH(DH$20,BTCUSD!$H:$H,0))</f>
        <v>10319.459999999999</v>
      </c>
      <c r="DI21" s="103">
        <f>INDEX(BTCUSD!$I:$I,MATCH(DI$20,BTCUSD!$H:$H,0))</f>
        <v>7950.61</v>
      </c>
      <c r="DJ21" s="103">
        <f>INDEX(BTCUSD!$I:$I,MATCH(DJ$20,BTCUSD!$H:$H,0))</f>
        <v>8928.5499999999993</v>
      </c>
      <c r="DK21" s="103">
        <f>INDEX(BTCUSD!$I:$I,MATCH(DK$20,BTCUSD!$H:$H,0))</f>
        <v>7386.72</v>
      </c>
      <c r="DL21" s="103">
        <f>INDEX(BTCUSD!$I:$I,MATCH(DL$20,BTCUSD!$H:$H,0))</f>
        <v>6223.28</v>
      </c>
      <c r="DM21" s="103">
        <f>INDEX(BTCUSD!$I:$I,MATCH(DM$20,BTCUSD!$H:$H,0))</f>
        <v>8220.91</v>
      </c>
      <c r="DN21" s="103">
        <f>INDEX(BTCUSD!$I:$I,MATCH(DN$20,BTCUSD!$H:$H,0))</f>
        <v>7078.19</v>
      </c>
      <c r="DO21" s="103">
        <f>INDEX(BTCUSD!$I:$I,MATCH(DO$20,BTCUSD!$H:$H,0))</f>
        <v>6686.08</v>
      </c>
      <c r="DP21" s="103">
        <f>INDEX(BTCUSD!$I:$I,MATCH(DP$20,BTCUSD!$H:$H,0))</f>
        <v>6301.61</v>
      </c>
      <c r="DQ21" s="103">
        <f>INDEX(BTCUSD!$I:$I,MATCH(DQ$20,BTCUSD!$H:$H,0))</f>
        <v>4278.7700000000004</v>
      </c>
      <c r="DR21" s="103">
        <f>INDEX(BTCUSD!$I:$I,MATCH(DR$20,BTCUSD!$H:$H,0))</f>
        <v>3770.36</v>
      </c>
      <c r="DS21" s="103">
        <f>INDEX(BTCUSD!$I:$I,MATCH(DS$20,BTCUSD!$H:$H,0))</f>
        <v>3448.58</v>
      </c>
      <c r="DT21" s="103">
        <f>INDEX(BTCUSD!$I:$I,MATCH(DT$20,BTCUSD!$H:$H,0))</f>
        <v>3833.23</v>
      </c>
      <c r="DU21" s="103">
        <f>INDEX(BTCUSD!$I:$I,MATCH(DU$20,BTCUSD!$H:$H,0))</f>
        <v>4115.55</v>
      </c>
      <c r="DV21" s="103">
        <f>INDEX(BTCUSD!$I:$I,MATCH(DV$20,BTCUSD!$H:$H,0))</f>
        <v>5301.29</v>
      </c>
      <c r="DW21" s="103">
        <f>INDEX(BTCUSD!$I:$I,MATCH(DW$20,BTCUSD!$H:$H,0))</f>
        <v>8719.8799999999992</v>
      </c>
      <c r="DX21" s="103">
        <f>INDEX(BTCUSD!$I:$I,MATCH(DX$20,BTCUSD!$H:$H,0))</f>
        <v>11132.85</v>
      </c>
      <c r="DY21" s="103">
        <f>INDEX(BTCUSD!$I:$I,MATCH(DY$20,BTCUSD!$H:$H,0))</f>
        <v>9589.1299999999992</v>
      </c>
      <c r="DZ21" s="103">
        <f>INDEX(BTCUSD!$I:$I,MATCH(DZ$20,BTCUSD!$H:$H,0))</f>
        <v>9484.5499999999993</v>
      </c>
      <c r="EA21" s="103">
        <f>INDEX(BTCUSD!$I:$I,MATCH(EA$20,BTCUSD!$H:$H,0))</f>
        <v>8225</v>
      </c>
      <c r="EB21" s="103">
        <f>INDEX(BTCUSD!$I:$I,MATCH(EB$20,BTCUSD!$H:$H,0))</f>
        <v>9218.76</v>
      </c>
      <c r="EC21" s="103">
        <f>INDEX(BTCUSD!$I:$I,MATCH(EC$20,BTCUSD!$H:$H,0))</f>
        <v>7523.83</v>
      </c>
      <c r="ED21" s="103">
        <f>INDEX(BTCUSD!$I:$I,MATCH(ED$20,BTCUSD!$H:$H,0))</f>
        <v>7219.6</v>
      </c>
      <c r="EE21" s="103">
        <f>INDEX(BTCUSD!$I:$I,MATCH(EE$20,BTCUSD!$H:$H,0))</f>
        <v>9279.81</v>
      </c>
      <c r="EF21" s="103">
        <f>INDEX(BTCUSD!$I:$I,MATCH(EF$20,BTCUSD!$H:$H,0))</f>
        <v>8712.35</v>
      </c>
      <c r="EG21" s="103">
        <f>INDEX(BTCUSD!$I:$I,MATCH(EG$20,BTCUSD!$H:$H,0))</f>
        <v>5885.41</v>
      </c>
      <c r="EH21" s="103">
        <f>INDEX(BTCUSD!$I:$I,MATCH(EH$20,BTCUSD!$H:$H,0))</f>
        <v>7765.33</v>
      </c>
      <c r="EI21" s="103">
        <f>INDEX(BTCUSD!$I:$I,MATCH(EI$20,BTCUSD!$H:$H,0))</f>
        <v>9569.2099999999991</v>
      </c>
      <c r="EJ21" s="103">
        <f>INDEX(BTCUSD!$I:$I,MATCH(EJ$20,BTCUSD!$H:$H,0))</f>
        <v>9004.23</v>
      </c>
      <c r="EK21" s="103">
        <f>INDEX(BTCUSD!$I:$I,MATCH(EK$20,BTCUSD!$H:$H,0))</f>
        <v>11114.93</v>
      </c>
      <c r="EL21" s="103">
        <f>INDEX(BTCUSD!$I:$I,MATCH(EL$20,BTCUSD!$H:$H,0))</f>
        <v>11481.64</v>
      </c>
      <c r="EM21" s="103">
        <f>INDEX(BTCUSD!$I:$I,MATCH(EM$20,BTCUSD!$H:$H,0))</f>
        <v>10692.33</v>
      </c>
      <c r="EN21" s="103">
        <f>INDEX(BTCUSD!$I:$I,MATCH(EN$20,BTCUSD!$H:$H,0))</f>
        <v>13289</v>
      </c>
      <c r="EO21" s="103">
        <f>INDEX(BTCUSD!$I:$I,MATCH(EO$20,BTCUSD!$H:$H,0))</f>
        <v>17138.87</v>
      </c>
      <c r="EP21" s="103">
        <f>INDEX(BTCUSD!$I:$I,MATCH(EP$20,BTCUSD!$H:$H,0))</f>
        <v>28856.59</v>
      </c>
      <c r="EQ21" s="103">
        <f>INDEX(BTCUSD!$I:$I,MATCH(EQ$20,BTCUSD!$H:$H,0))</f>
        <v>34314.26</v>
      </c>
      <c r="ER21" s="103">
        <f>INDEX(BTCUSD!$I:$I,MATCH(ER$20,BTCUSD!$H:$H,0))</f>
        <v>46800.42</v>
      </c>
      <c r="ES21" s="103">
        <f>INDEX(BTCUSD!$I:$I,MATCH(ES$20,BTCUSD!$H:$H,0))</f>
        <v>58730.13</v>
      </c>
    </row>
    <row r="22" spans="2:150" x14ac:dyDescent="0.35">
      <c r="B22" s="106" t="s">
        <v>127</v>
      </c>
      <c r="C22" s="103">
        <f>INDEX(BTCUSD!$J:$J,MATCH(C$20,BTCUSD!$H:$H,0))</f>
        <v>110300</v>
      </c>
      <c r="D22" s="103">
        <f>INDEX(BTCUSD!$J:$J,MATCH(D$20,BTCUSD!$H:$H,0))</f>
        <v>286850</v>
      </c>
      <c r="E22" s="103">
        <f>INDEX(BTCUSD!$J:$J,MATCH(E$20,BTCUSD!$H:$H,0))</f>
        <v>442600</v>
      </c>
      <c r="F22" s="103">
        <f>INDEX(BTCUSD!$J:$J,MATCH(F$20,BTCUSD!$H:$H,0))</f>
        <v>622800</v>
      </c>
      <c r="G22" s="103">
        <f>INDEX(BTCUSD!$J:$J,MATCH(G$20,BTCUSD!$H:$H,0))</f>
        <v>804750</v>
      </c>
      <c r="H22" s="103">
        <f>INDEX(BTCUSD!$J:$J,MATCH(H$20,BTCUSD!$H:$H,0))</f>
        <v>918100</v>
      </c>
      <c r="I22" s="103">
        <f>INDEX(BTCUSD!$J:$J,MATCH(I$20,BTCUSD!$H:$H,0))</f>
        <v>1009200</v>
      </c>
      <c r="J22" s="103">
        <f>INDEX(BTCUSD!$J:$J,MATCH(J$20,BTCUSD!$H:$H,0))</f>
        <v>1077500</v>
      </c>
      <c r="K22" s="103">
        <f>INDEX(BTCUSD!$J:$J,MATCH(K$20,BTCUSD!$H:$H,0))</f>
        <v>1192300</v>
      </c>
      <c r="L22" s="103">
        <f>INDEX(BTCUSD!$J:$J,MATCH(L$20,BTCUSD!$H:$H,0))</f>
        <v>1307100</v>
      </c>
      <c r="M22" s="103">
        <f>INDEX(BTCUSD!$J:$J,MATCH(M$20,BTCUSD!$H:$H,0))</f>
        <v>1417550</v>
      </c>
      <c r="N22" s="103">
        <f>INDEX(BTCUSD!$J:$J,MATCH(N$20,BTCUSD!$H:$H,0))</f>
        <v>1617450</v>
      </c>
      <c r="O22" s="103">
        <f>INDEX(BTCUSD!$J:$J,MATCH(O$20,BTCUSD!$H:$H,0))</f>
        <v>1864400</v>
      </c>
      <c r="P22" s="103">
        <f>INDEX(BTCUSD!$J:$J,MATCH(P$20,BTCUSD!$H:$H,0))</f>
        <v>2132050</v>
      </c>
      <c r="Q22" s="103">
        <f>INDEX(BTCUSD!$J:$J,MATCH(Q$20,BTCUSD!$H:$H,0))</f>
        <v>2400500</v>
      </c>
      <c r="R22" s="103">
        <f>INDEX(BTCUSD!$J:$J,MATCH(R$20,BTCUSD!$H:$H,0))</f>
        <v>2670850</v>
      </c>
      <c r="S22" s="103">
        <f>INDEX(BTCUSD!$J:$J,MATCH(S$20,BTCUSD!$H:$H,0))</f>
        <v>2919650</v>
      </c>
      <c r="T22" s="103">
        <f>INDEX(BTCUSD!$J:$J,MATCH(T$20,BTCUSD!$H:$H,0))</f>
        <v>3168950</v>
      </c>
      <c r="U22" s="103">
        <f>INDEX(BTCUSD!$J:$J,MATCH(U$20,BTCUSD!$H:$H,0))</f>
        <v>3541700</v>
      </c>
      <c r="V22" s="103">
        <f>INDEX(BTCUSD!$J:$J,MATCH(V$20,BTCUSD!$H:$H,0))</f>
        <v>3853450</v>
      </c>
      <c r="W22" s="103">
        <f>INDEX(BTCUSD!$J:$J,MATCH(W$20,BTCUSD!$H:$H,0))</f>
        <v>4142500</v>
      </c>
      <c r="X22" s="103">
        <f>INDEX(BTCUSD!$J:$J,MATCH(X$20,BTCUSD!$H:$H,0))</f>
        <v>4432850</v>
      </c>
      <c r="Y22" s="103">
        <f>INDEX(BTCUSD!$J:$J,MATCH(Y$20,BTCUSD!$H:$H,0))</f>
        <v>4723350</v>
      </c>
      <c r="Z22" s="103">
        <f>INDEX(BTCUSD!$J:$J,MATCH(Z$20,BTCUSD!$H:$H,0))</f>
        <v>4992800</v>
      </c>
      <c r="AA22" s="103">
        <f>INDEX(BTCUSD!$J:$J,MATCH(AA$20,BTCUSD!$H:$H,0))</f>
        <v>5260400</v>
      </c>
      <c r="AB22" s="103">
        <f>INDEX(BTCUSD!$J:$J,MATCH(AB$20,BTCUSD!$H:$H,0))</f>
        <v>5549150</v>
      </c>
      <c r="AC22" s="103">
        <f>INDEX(BTCUSD!$J:$J,MATCH(AC$20,BTCUSD!$H:$H,0))</f>
        <v>5771200</v>
      </c>
      <c r="AD22" s="103">
        <f>INDEX(BTCUSD!$J:$J,MATCH(AD$20,BTCUSD!$H:$H,0))</f>
        <v>6038550</v>
      </c>
      <c r="AE22" s="103">
        <f>INDEX(BTCUSD!$J:$J,MATCH(AE$20,BTCUSD!$H:$H,0))</f>
        <v>6370900</v>
      </c>
      <c r="AF22" s="103">
        <f>INDEX(BTCUSD!$J:$J,MATCH(AF$20,BTCUSD!$H:$H,0))</f>
        <v>6680450</v>
      </c>
      <c r="AG22" s="103">
        <f>INDEX(BTCUSD!$J:$J,MATCH(AG$20,BTCUSD!$H:$H,0))</f>
        <v>6923450</v>
      </c>
      <c r="AH22" s="103">
        <f>INDEX(BTCUSD!$J:$J,MATCH(AH$20,BTCUSD!$H:$H,0))</f>
        <v>7148800</v>
      </c>
      <c r="AI22" s="103">
        <f>INDEX(BTCUSD!$J:$J,MATCH(AI$20,BTCUSD!$H:$H,0))</f>
        <v>7352000</v>
      </c>
      <c r="AJ22" s="103">
        <f>INDEX(BTCUSD!$J:$J,MATCH(AJ$20,BTCUSD!$H:$H,0))</f>
        <v>7554100</v>
      </c>
      <c r="AK22" s="103">
        <f>INDEX(BTCUSD!$J:$J,MATCH(AK$20,BTCUSD!$H:$H,0))</f>
        <v>7758600</v>
      </c>
      <c r="AL22" s="103">
        <f>INDEX(BTCUSD!$J:$J,MATCH(AL$20,BTCUSD!$H:$H,0))</f>
        <v>7993600</v>
      </c>
      <c r="AM22" s="103">
        <f>INDEX(BTCUSD!$J:$J,MATCH(AM$20,BTCUSD!$H:$H,0))</f>
        <v>8228700</v>
      </c>
      <c r="AN22" s="103">
        <f>INDEX(BTCUSD!$J:$J,MATCH(AN$20,BTCUSD!$H:$H,0))</f>
        <v>8434550</v>
      </c>
      <c r="AO22" s="103">
        <f>INDEX(BTCUSD!$J:$J,MATCH(AO$20,BTCUSD!$H:$H,0))</f>
        <v>8669300</v>
      </c>
      <c r="AP22" s="103">
        <f>INDEX(BTCUSD!$J:$J,MATCH(AP$20,BTCUSD!$H:$H,0))</f>
        <v>8881750</v>
      </c>
      <c r="AQ22" s="103">
        <f>INDEX(BTCUSD!$J:$J,MATCH(AQ$20,BTCUSD!$H:$H,0))</f>
        <v>9111850</v>
      </c>
      <c r="AR22" s="103">
        <f>INDEX(BTCUSD!$J:$J,MATCH(AR$20,BTCUSD!$H:$H,0))</f>
        <v>9323050</v>
      </c>
      <c r="AS22" s="103">
        <f>INDEX(BTCUSD!$J:$J,MATCH(AS$20,BTCUSD!$H:$H,0))</f>
        <v>9558500</v>
      </c>
      <c r="AT22" s="103">
        <f>INDEX(BTCUSD!$J:$J,MATCH(AT$20,BTCUSD!$H:$H,0))</f>
        <v>9821600</v>
      </c>
      <c r="AU22" s="103">
        <f>INDEX(BTCUSD!$J:$J,MATCH(AU$20,BTCUSD!$H:$H,0))</f>
        <v>10041200</v>
      </c>
      <c r="AV22" s="103">
        <f>INDEX(BTCUSD!$J:$J,MATCH(AV$20,BTCUSD!$H:$H,0))</f>
        <v>10288500</v>
      </c>
      <c r="AW22" s="103">
        <f>INDEX(BTCUSD!$J:$J,MATCH(AW$20,BTCUSD!$H:$H,0))</f>
        <v>10504325</v>
      </c>
      <c r="AX22" s="103">
        <f>INDEX(BTCUSD!$J:$J,MATCH(AX$20,BTCUSD!$H:$H,0))</f>
        <v>10599275</v>
      </c>
      <c r="AY22" s="103">
        <f>INDEX(BTCUSD!$J:$J,MATCH(AY$20,BTCUSD!$H:$H,0))</f>
        <v>10714675</v>
      </c>
      <c r="AZ22" s="103">
        <f>INDEX(BTCUSD!$J:$J,MATCH(AZ$20,BTCUSD!$H:$H,0))</f>
        <v>10830000</v>
      </c>
      <c r="BA22" s="103">
        <f>INDEX(BTCUSD!$J:$J,MATCH(BA$20,BTCUSD!$H:$H,0))</f>
        <v>10965650</v>
      </c>
      <c r="BB22" s="103">
        <f>INDEX(BTCUSD!$J:$J,MATCH(BB$20,BTCUSD!$H:$H,0))</f>
        <v>11088975</v>
      </c>
      <c r="BC22" s="103">
        <f>INDEX(BTCUSD!$J:$J,MATCH(BC$20,BTCUSD!$H:$H,0))</f>
        <v>11211950</v>
      </c>
      <c r="BD22" s="103">
        <f>INDEX(BTCUSD!$J:$J,MATCH(BD$20,BTCUSD!$H:$H,0))</f>
        <v>11346375</v>
      </c>
      <c r="BE22" s="103">
        <f>INDEX(BTCUSD!$J:$J,MATCH(BE$20,BTCUSD!$H:$H,0))</f>
        <v>11481150</v>
      </c>
      <c r="BF22" s="103">
        <f>INDEX(BTCUSD!$J:$J,MATCH(BF$20,BTCUSD!$H:$H,0))</f>
        <v>11628025</v>
      </c>
      <c r="BG22" s="103">
        <f>INDEX(BTCUSD!$J:$J,MATCH(BG$20,BTCUSD!$H:$H,0))</f>
        <v>11764000</v>
      </c>
      <c r="BH22" s="103">
        <f>INDEX(BTCUSD!$J:$J,MATCH(BH$20,BTCUSD!$H:$H,0))</f>
        <v>11914400</v>
      </c>
      <c r="BI22" s="103">
        <f>INDEX(BTCUSD!$J:$J,MATCH(BI$20,BTCUSD!$H:$H,0))</f>
        <v>12052950</v>
      </c>
      <c r="BJ22" s="103">
        <f>INDEX(BTCUSD!$J:$J,MATCH(BJ$20,BTCUSD!$H:$H,0))</f>
        <v>12193550</v>
      </c>
      <c r="BK22" s="103">
        <f>INDEX(BTCUSD!$J:$J,MATCH(BK$20,BTCUSD!$H:$H,0))</f>
        <v>12323350</v>
      </c>
      <c r="BL22" s="103">
        <f>INDEX(BTCUSD!$J:$J,MATCH(BL$20,BTCUSD!$H:$H,0))</f>
        <v>12443125</v>
      </c>
      <c r="BM22" s="103">
        <f>INDEX(BTCUSD!$J:$J,MATCH(BM$20,BTCUSD!$H:$H,0))</f>
        <v>12577350</v>
      </c>
      <c r="BN22" s="103">
        <f>INDEX(BTCUSD!$J:$J,MATCH(BN$20,BTCUSD!$H:$H,0))</f>
        <v>12700375</v>
      </c>
      <c r="BO22" s="103">
        <f>INDEX(BTCUSD!$J:$J,MATCH(BO$20,BTCUSD!$H:$H,0))</f>
        <v>12834325</v>
      </c>
      <c r="BP22" s="103">
        <f>INDEX(BTCUSD!$J:$J,MATCH(BP$20,BTCUSD!$H:$H,0))</f>
        <v>12954100</v>
      </c>
      <c r="BQ22" s="103">
        <f>INDEX(BTCUSD!$J:$J,MATCH(BQ$20,BTCUSD!$H:$H,0))</f>
        <v>13073125</v>
      </c>
      <c r="BR22" s="103">
        <f>INDEX(BTCUSD!$J:$J,MATCH(BR$20,BTCUSD!$H:$H,0))</f>
        <v>13205900</v>
      </c>
      <c r="BS22" s="103">
        <f>INDEX(BTCUSD!$J:$J,MATCH(BS$20,BTCUSD!$H:$H,0))</f>
        <v>13326275</v>
      </c>
      <c r="BT22" s="103">
        <f>INDEX(BTCUSD!$J:$J,MATCH(BT$20,BTCUSD!$H:$H,0))</f>
        <v>13432250</v>
      </c>
      <c r="BU22" s="103">
        <f>INDEX(BTCUSD!$J:$J,MATCH(BU$20,BTCUSD!$H:$H,0))</f>
        <v>13549600</v>
      </c>
      <c r="BV22" s="103">
        <f>INDEX(BTCUSD!$J:$J,MATCH(BV$20,BTCUSD!$H:$H,0))</f>
        <v>13656300</v>
      </c>
      <c r="BW22" s="103">
        <f>INDEX(BTCUSD!$J:$J,MATCH(BW$20,BTCUSD!$H:$H,0))</f>
        <v>13775550</v>
      </c>
      <c r="BX22" s="103">
        <f>INDEX(BTCUSD!$J:$J,MATCH(BX$20,BTCUSD!$H:$H,0))</f>
        <v>13882125</v>
      </c>
      <c r="BY22" s="103">
        <f>INDEX(BTCUSD!$J:$J,MATCH(BY$20,BTCUSD!$H:$H,0))</f>
        <v>13999450</v>
      </c>
      <c r="BZ22" s="103">
        <f>INDEX(BTCUSD!$J:$J,MATCH(BZ$20,BTCUSD!$H:$H,0))</f>
        <v>14105050</v>
      </c>
      <c r="CA22" s="103">
        <f>INDEX(BTCUSD!$J:$J,MATCH(CA$20,BTCUSD!$H:$H,0))</f>
        <v>14210425</v>
      </c>
      <c r="CB22" s="103">
        <f>INDEX(BTCUSD!$J:$J,MATCH(CB$20,BTCUSD!$H:$H,0))</f>
        <v>14327600</v>
      </c>
      <c r="CC22" s="103">
        <f>INDEX(BTCUSD!$J:$J,MATCH(CC$20,BTCUSD!$H:$H,0))</f>
        <v>14432475</v>
      </c>
      <c r="CD22" s="103">
        <f>INDEX(BTCUSD!$J:$J,MATCH(CD$20,BTCUSD!$H:$H,0))</f>
        <v>14548725</v>
      </c>
      <c r="CE22" s="103">
        <f>INDEX(BTCUSD!$J:$J,MATCH(CE$20,BTCUSD!$H:$H,0))</f>
        <v>14665900</v>
      </c>
      <c r="CF22" s="103">
        <f>INDEX(BTCUSD!$J:$J,MATCH(CF$20,BTCUSD!$H:$H,0))</f>
        <v>14782475</v>
      </c>
      <c r="CG22" s="103">
        <f>INDEX(BTCUSD!$J:$J,MATCH(CG$20,BTCUSD!$H:$H,0))</f>
        <v>14898125</v>
      </c>
      <c r="CH22" s="103">
        <f>INDEX(BTCUSD!$J:$J,MATCH(CH$20,BTCUSD!$H:$H,0))</f>
        <v>15024475</v>
      </c>
      <c r="CI22" s="103">
        <f>INDEX(BTCUSD!$J:$J,MATCH(CI$20,BTCUSD!$H:$H,0))</f>
        <v>15137200</v>
      </c>
      <c r="CJ22" s="103">
        <f>INDEX(BTCUSD!$J:$J,MATCH(CJ$20,BTCUSD!$H:$H,0))</f>
        <v>15261450</v>
      </c>
      <c r="CK22" s="103">
        <f>INDEX(BTCUSD!$J:$J,MATCH(CK$20,BTCUSD!$H:$H,0))</f>
        <v>15372675</v>
      </c>
      <c r="CL22" s="103">
        <f>INDEX(BTCUSD!$J:$J,MATCH(CL$20,BTCUSD!$H:$H,0))</f>
        <v>15484175</v>
      </c>
      <c r="CM22" s="103">
        <f>INDEX(BTCUSD!$J:$J,MATCH(CM$20,BTCUSD!$H:$H,0))</f>
        <v>15595600</v>
      </c>
      <c r="CN22" s="103">
        <f>INDEX(BTCUSD!$J:$J,MATCH(CN$20,BTCUSD!$H:$H,0))</f>
        <v>15706775</v>
      </c>
      <c r="CO22" s="103">
        <f>INDEX(BTCUSD!$J:$J,MATCH(CO$20,BTCUSD!$H:$H,0))</f>
        <v>15784187.5</v>
      </c>
      <c r="CP22" s="103">
        <f>INDEX(BTCUSD!$J:$J,MATCH(CP$20,BTCUSD!$H:$H,0))</f>
        <v>15839687.5</v>
      </c>
      <c r="CQ22" s="103">
        <f>INDEX(BTCUSD!$J:$J,MATCH(CQ$20,BTCUSD!$H:$H,0))</f>
        <v>15900775</v>
      </c>
      <c r="CR22" s="103">
        <f>INDEX(BTCUSD!$J:$J,MATCH(CR$20,BTCUSD!$H:$H,0))</f>
        <v>15956137.5</v>
      </c>
      <c r="CS22" s="103">
        <f>INDEX(BTCUSD!$J:$J,MATCH(CS$20,BTCUSD!$H:$H,0))</f>
        <v>16011525</v>
      </c>
      <c r="CT22" s="103">
        <f>INDEX(BTCUSD!$J:$J,MATCH(CT$20,BTCUSD!$H:$H,0))</f>
        <v>16072675</v>
      </c>
      <c r="CU22" s="103">
        <f>INDEX(BTCUSD!$J:$J,MATCH(CU$20,BTCUSD!$H:$H,0))</f>
        <v>16133700</v>
      </c>
      <c r="CV22" s="103">
        <f>INDEX(BTCUSD!$J:$J,MATCH(CV$20,BTCUSD!$H:$H,0))</f>
        <v>16183750</v>
      </c>
      <c r="CW22" s="103">
        <f>INDEX(BTCUSD!$J:$J,MATCH(CW$20,BTCUSD!$H:$H,0))</f>
        <v>16244787.5</v>
      </c>
      <c r="CX22" s="103">
        <f>INDEX(BTCUSD!$J:$J,MATCH(CX$20,BTCUSD!$H:$H,0))</f>
        <v>16300575</v>
      </c>
      <c r="CY22" s="103">
        <f>INDEX(BTCUSD!$J:$J,MATCH(CY$20,BTCUSD!$H:$H,0))</f>
        <v>16361712.5</v>
      </c>
      <c r="CZ22" s="103">
        <f>INDEX(BTCUSD!$J:$J,MATCH(CZ$20,BTCUSD!$H:$H,0))</f>
        <v>16417162.5</v>
      </c>
      <c r="DA22" s="103">
        <f>INDEX(BTCUSD!$J:$J,MATCH(DA$20,BTCUSD!$H:$H,0))</f>
        <v>16478200</v>
      </c>
      <c r="DB22" s="103">
        <f>INDEX(BTCUSD!$J:$J,MATCH(DB$20,BTCUSD!$H:$H,0))</f>
        <v>16533712.5</v>
      </c>
      <c r="DC22" s="103">
        <f>INDEX(BTCUSD!$J:$J,MATCH(DC$20,BTCUSD!$H:$H,0))</f>
        <v>16594700</v>
      </c>
      <c r="DD22" s="103">
        <f>INDEX(BTCUSD!$J:$J,MATCH(DD$20,BTCUSD!$H:$H,0))</f>
        <v>16650137.5</v>
      </c>
      <c r="DE22" s="103">
        <f>INDEX(BTCUSD!$J:$J,MATCH(DE$20,BTCUSD!$H:$H,0))</f>
        <v>16705575</v>
      </c>
      <c r="DF22" s="103">
        <f>INDEX(BTCUSD!$J:$J,MATCH(DF$20,BTCUSD!$H:$H,0))</f>
        <v>16772100</v>
      </c>
      <c r="DG22" s="103">
        <f>INDEX(BTCUSD!$J:$J,MATCH(DG$20,BTCUSD!$H:$H,0))</f>
        <v>16833025</v>
      </c>
      <c r="DH22" s="103">
        <f>INDEX(BTCUSD!$J:$J,MATCH(DH$20,BTCUSD!$H:$H,0))</f>
        <v>16888425</v>
      </c>
      <c r="DI22" s="103">
        <f>INDEX(BTCUSD!$J:$J,MATCH(DI$20,BTCUSD!$H:$H,0))</f>
        <v>16943837.5</v>
      </c>
      <c r="DJ22" s="103">
        <f>INDEX(BTCUSD!$J:$J,MATCH(DJ$20,BTCUSD!$H:$H,0))</f>
        <v>17004750</v>
      </c>
      <c r="DK22" s="103">
        <f>INDEX(BTCUSD!$J:$J,MATCH(DK$20,BTCUSD!$H:$H,0))</f>
        <v>17060200</v>
      </c>
      <c r="DL22" s="103">
        <f>INDEX(BTCUSD!$J:$J,MATCH(DL$20,BTCUSD!$H:$H,0))</f>
        <v>17121175</v>
      </c>
      <c r="DM22" s="103">
        <f>INDEX(BTCUSD!$J:$J,MATCH(DM$20,BTCUSD!$H:$H,0))</f>
        <v>17176687.5</v>
      </c>
      <c r="DN22" s="103">
        <f>INDEX(BTCUSD!$J:$J,MATCH(DN$20,BTCUSD!$H:$H,0))</f>
        <v>17237575</v>
      </c>
      <c r="DO22" s="103">
        <f>INDEX(BTCUSD!$J:$J,MATCH(DO$20,BTCUSD!$H:$H,0))</f>
        <v>17292912.5</v>
      </c>
      <c r="DP22" s="103">
        <f>INDEX(BTCUSD!$J:$J,MATCH(DP$20,BTCUSD!$H:$H,0))</f>
        <v>17348262.5</v>
      </c>
      <c r="DQ22" s="103">
        <f>INDEX(BTCUSD!$J:$J,MATCH(DQ$20,BTCUSD!$H:$H,0))</f>
        <v>17398075</v>
      </c>
      <c r="DR22" s="103">
        <f>INDEX(BTCUSD!$J:$J,MATCH(DR$20,BTCUSD!$H:$H,0))</f>
        <v>17453412.5</v>
      </c>
      <c r="DS22" s="103">
        <f>INDEX(BTCUSD!$J:$J,MATCH(DS$20,BTCUSD!$H:$H,0))</f>
        <v>17508987.5</v>
      </c>
      <c r="DT22" s="103">
        <f>INDEX(BTCUSD!$J:$J,MATCH(DT$20,BTCUSD!$H:$H,0))</f>
        <v>17558812.5</v>
      </c>
      <c r="DU22" s="103">
        <f>INDEX(BTCUSD!$J:$J,MATCH(DU$20,BTCUSD!$H:$H,0))</f>
        <v>17614287.5</v>
      </c>
      <c r="DV22" s="103">
        <f>INDEX(BTCUSD!$J:$J,MATCH(DV$20,BTCUSD!$H:$H,0))</f>
        <v>17669662.5</v>
      </c>
      <c r="DW22" s="103">
        <f>INDEX(BTCUSD!$J:$J,MATCH(DW$20,BTCUSD!$H:$H,0))</f>
        <v>17730662.5</v>
      </c>
      <c r="DX22" s="103">
        <f>INDEX(BTCUSD!$J:$J,MATCH(DX$20,BTCUSD!$H:$H,0))</f>
        <v>17785962.5</v>
      </c>
      <c r="DY22" s="103">
        <f>INDEX(BTCUSD!$J:$J,MATCH(DY$20,BTCUSD!$H:$H,0))</f>
        <v>17846825</v>
      </c>
      <c r="DZ22" s="103">
        <f>INDEX(BTCUSD!$J:$J,MATCH(DZ$20,BTCUSD!$H:$H,0))</f>
        <v>17902275</v>
      </c>
      <c r="EA22" s="103">
        <f>INDEX(BTCUSD!$J:$J,MATCH(EA$20,BTCUSD!$H:$H,0))</f>
        <v>17963225</v>
      </c>
      <c r="EB22" s="103">
        <f>INDEX(BTCUSD!$J:$J,MATCH(EB$20,BTCUSD!$H:$H,0))</f>
        <v>18018650</v>
      </c>
      <c r="EC22" s="103">
        <f>INDEX(BTCUSD!$J:$J,MATCH(EC$20,BTCUSD!$H:$H,0))</f>
        <v>18074012.5</v>
      </c>
      <c r="ED22" s="103">
        <f>INDEX(BTCUSD!$J:$J,MATCH(ED$20,BTCUSD!$H:$H,0))</f>
        <v>18129362.5</v>
      </c>
      <c r="EE22" s="103">
        <f>INDEX(BTCUSD!$J:$J,MATCH(EE$20,BTCUSD!$H:$H,0))</f>
        <v>18186062.5</v>
      </c>
      <c r="EF22" s="103">
        <f>INDEX(BTCUSD!$J:$J,MATCH(EF$20,BTCUSD!$H:$H,0))</f>
        <v>18241387.5</v>
      </c>
      <c r="EG22" s="103">
        <f>INDEX(BTCUSD!$J:$J,MATCH(EG$20,BTCUSD!$H:$H,0))</f>
        <v>18291187.5</v>
      </c>
      <c r="EH22" s="103">
        <f>INDEX(BTCUSD!$J:$J,MATCH(EH$20,BTCUSD!$H:$H,0))</f>
        <v>18352025</v>
      </c>
      <c r="EI22" s="103">
        <f>INDEX(BTCUSD!$J:$J,MATCH(EI$20,BTCUSD!$H:$H,0))</f>
        <v>18388475</v>
      </c>
      <c r="EJ22" s="103">
        <f>INDEX(BTCUSD!$J:$J,MATCH(EJ$20,BTCUSD!$H:$H,0))</f>
        <v>18416156.25</v>
      </c>
      <c r="EK22" s="103">
        <f>INDEX(BTCUSD!$J:$J,MATCH(EK$20,BTCUSD!$H:$H,0))</f>
        <v>18446568.75</v>
      </c>
      <c r="EL22" s="103">
        <f>INDEX(BTCUSD!$J:$J,MATCH(EL$20,BTCUSD!$H:$H,0))</f>
        <v>18474193.75</v>
      </c>
      <c r="EM22" s="103">
        <f>INDEX(BTCUSD!$J:$J,MATCH(EM$20,BTCUSD!$H:$H,0))</f>
        <v>18501856.25</v>
      </c>
      <c r="EN22" s="103">
        <f>INDEX(BTCUSD!$J:$J,MATCH(EN$20,BTCUSD!$H:$H,0))</f>
        <v>18529531.25</v>
      </c>
      <c r="EO22" s="103">
        <f>INDEX(BTCUSD!$J:$J,MATCH(EO$20,BTCUSD!$H:$H,0))</f>
        <v>18557212.5</v>
      </c>
      <c r="EP22" s="103">
        <f>INDEX(BTCUSD!$J:$J,MATCH(EP$20,BTCUSD!$H:$H,0))</f>
        <v>18584887.5</v>
      </c>
      <c r="EQ22" s="103">
        <f>INDEX(BTCUSD!$J:$J,MATCH(EQ$20,BTCUSD!$H:$H,0))</f>
        <v>18612575</v>
      </c>
      <c r="ER22" s="103">
        <f>INDEX(BTCUSD!$J:$J,MATCH(ER$20,BTCUSD!$H:$H,0))</f>
        <v>18640281.25</v>
      </c>
      <c r="ES22" s="103">
        <f>INDEX(BTCUSD!$J:$J,MATCH(ES$20,BTCUSD!$H:$H,0))</f>
        <v>18667925</v>
      </c>
      <c r="ET22" s="104"/>
    </row>
    <row r="23" spans="2:150" x14ac:dyDescent="0.35">
      <c r="B23" s="106" t="s">
        <v>128</v>
      </c>
      <c r="C23" s="103"/>
      <c r="D23" s="103"/>
      <c r="E23" s="103"/>
      <c r="F23" s="103"/>
      <c r="G23" s="103"/>
      <c r="H23" s="103"/>
      <c r="I23" s="103"/>
      <c r="J23" s="103">
        <f>J22-I22</f>
        <v>68300</v>
      </c>
      <c r="K23" s="103">
        <f t="shared" ref="K23:BV23" si="2">K22-J22</f>
        <v>114800</v>
      </c>
      <c r="L23" s="103">
        <f t="shared" si="2"/>
        <v>114800</v>
      </c>
      <c r="M23" s="103">
        <f t="shared" si="2"/>
        <v>110450</v>
      </c>
      <c r="N23" s="103">
        <f t="shared" si="2"/>
        <v>199900</v>
      </c>
      <c r="O23" s="103">
        <f t="shared" si="2"/>
        <v>246950</v>
      </c>
      <c r="P23" s="103">
        <f t="shared" si="2"/>
        <v>267650</v>
      </c>
      <c r="Q23" s="103">
        <f t="shared" si="2"/>
        <v>268450</v>
      </c>
      <c r="R23" s="103">
        <f t="shared" si="2"/>
        <v>270350</v>
      </c>
      <c r="S23" s="103">
        <f t="shared" si="2"/>
        <v>248800</v>
      </c>
      <c r="T23" s="103">
        <f t="shared" si="2"/>
        <v>249300</v>
      </c>
      <c r="U23" s="103">
        <f t="shared" si="2"/>
        <v>372750</v>
      </c>
      <c r="V23" s="103">
        <f t="shared" si="2"/>
        <v>311750</v>
      </c>
      <c r="W23" s="103">
        <f t="shared" si="2"/>
        <v>289050</v>
      </c>
      <c r="X23" s="103">
        <f t="shared" si="2"/>
        <v>290350</v>
      </c>
      <c r="Y23" s="103">
        <f t="shared" si="2"/>
        <v>290500</v>
      </c>
      <c r="Z23" s="103">
        <f t="shared" si="2"/>
        <v>269450</v>
      </c>
      <c r="AA23" s="103">
        <f t="shared" si="2"/>
        <v>267600</v>
      </c>
      <c r="AB23" s="103">
        <f t="shared" si="2"/>
        <v>288750</v>
      </c>
      <c r="AC23" s="103">
        <f t="shared" si="2"/>
        <v>222050</v>
      </c>
      <c r="AD23" s="103">
        <f t="shared" si="2"/>
        <v>267350</v>
      </c>
      <c r="AE23" s="103">
        <f t="shared" si="2"/>
        <v>332350</v>
      </c>
      <c r="AF23" s="103">
        <f t="shared" si="2"/>
        <v>309550</v>
      </c>
      <c r="AG23" s="103">
        <f t="shared" si="2"/>
        <v>243000</v>
      </c>
      <c r="AH23" s="103">
        <f t="shared" si="2"/>
        <v>225350</v>
      </c>
      <c r="AI23" s="103">
        <f t="shared" si="2"/>
        <v>203200</v>
      </c>
      <c r="AJ23" s="103">
        <f t="shared" si="2"/>
        <v>202100</v>
      </c>
      <c r="AK23" s="103">
        <f t="shared" si="2"/>
        <v>204500</v>
      </c>
      <c r="AL23" s="103">
        <f t="shared" si="2"/>
        <v>235000</v>
      </c>
      <c r="AM23" s="103">
        <f t="shared" si="2"/>
        <v>235100</v>
      </c>
      <c r="AN23" s="103">
        <f t="shared" si="2"/>
        <v>205850</v>
      </c>
      <c r="AO23" s="103">
        <f t="shared" si="2"/>
        <v>234750</v>
      </c>
      <c r="AP23" s="103">
        <f t="shared" si="2"/>
        <v>212450</v>
      </c>
      <c r="AQ23" s="103">
        <f t="shared" si="2"/>
        <v>230100</v>
      </c>
      <c r="AR23" s="103">
        <f t="shared" si="2"/>
        <v>211200</v>
      </c>
      <c r="AS23" s="103">
        <f t="shared" si="2"/>
        <v>235450</v>
      </c>
      <c r="AT23" s="103">
        <f t="shared" si="2"/>
        <v>263100</v>
      </c>
      <c r="AU23" s="103">
        <f t="shared" si="2"/>
        <v>219600</v>
      </c>
      <c r="AV23" s="103">
        <f t="shared" si="2"/>
        <v>247300</v>
      </c>
      <c r="AW23" s="103">
        <f t="shared" si="2"/>
        <v>215825</v>
      </c>
      <c r="AX23" s="103">
        <f t="shared" si="2"/>
        <v>94950</v>
      </c>
      <c r="AY23" s="103">
        <f t="shared" si="2"/>
        <v>115400</v>
      </c>
      <c r="AZ23" s="103">
        <f t="shared" si="2"/>
        <v>115325</v>
      </c>
      <c r="BA23" s="103">
        <f t="shared" si="2"/>
        <v>135650</v>
      </c>
      <c r="BB23" s="103">
        <f t="shared" si="2"/>
        <v>123325</v>
      </c>
      <c r="BC23" s="103">
        <f t="shared" si="2"/>
        <v>122975</v>
      </c>
      <c r="BD23" s="103">
        <f t="shared" si="2"/>
        <v>134425</v>
      </c>
      <c r="BE23" s="103">
        <f t="shared" si="2"/>
        <v>134775</v>
      </c>
      <c r="BF23" s="103">
        <f t="shared" si="2"/>
        <v>146875</v>
      </c>
      <c r="BG23" s="103">
        <f t="shared" si="2"/>
        <v>135975</v>
      </c>
      <c r="BH23" s="103">
        <f t="shared" si="2"/>
        <v>150400</v>
      </c>
      <c r="BI23" s="103">
        <f t="shared" si="2"/>
        <v>138550</v>
      </c>
      <c r="BJ23" s="103">
        <f t="shared" si="2"/>
        <v>140600</v>
      </c>
      <c r="BK23" s="103">
        <f t="shared" si="2"/>
        <v>129800</v>
      </c>
      <c r="BL23" s="103">
        <f t="shared" si="2"/>
        <v>119775</v>
      </c>
      <c r="BM23" s="103">
        <f t="shared" si="2"/>
        <v>134225</v>
      </c>
      <c r="BN23" s="103">
        <f t="shared" si="2"/>
        <v>123025</v>
      </c>
      <c r="BO23" s="103">
        <f t="shared" si="2"/>
        <v>133950</v>
      </c>
      <c r="BP23" s="103">
        <f t="shared" si="2"/>
        <v>119775</v>
      </c>
      <c r="BQ23" s="103">
        <f t="shared" si="2"/>
        <v>119025</v>
      </c>
      <c r="BR23" s="103">
        <f t="shared" si="2"/>
        <v>132775</v>
      </c>
      <c r="BS23" s="103">
        <f t="shared" si="2"/>
        <v>120375</v>
      </c>
      <c r="BT23" s="103">
        <f t="shared" si="2"/>
        <v>105975</v>
      </c>
      <c r="BU23" s="103">
        <f t="shared" si="2"/>
        <v>117350</v>
      </c>
      <c r="BV23" s="103">
        <f t="shared" si="2"/>
        <v>106700</v>
      </c>
      <c r="BW23" s="103">
        <f t="shared" ref="BW23:EH23" si="3">BW22-BV22</f>
        <v>119250</v>
      </c>
      <c r="BX23" s="103">
        <f t="shared" si="3"/>
        <v>106575</v>
      </c>
      <c r="BY23" s="103">
        <f t="shared" si="3"/>
        <v>117325</v>
      </c>
      <c r="BZ23" s="103">
        <f t="shared" si="3"/>
        <v>105600</v>
      </c>
      <c r="CA23" s="103">
        <f t="shared" si="3"/>
        <v>105375</v>
      </c>
      <c r="CB23" s="103">
        <f t="shared" si="3"/>
        <v>117175</v>
      </c>
      <c r="CC23" s="103">
        <f t="shared" si="3"/>
        <v>104875</v>
      </c>
      <c r="CD23" s="103">
        <f t="shared" si="3"/>
        <v>116250</v>
      </c>
      <c r="CE23" s="103">
        <f t="shared" si="3"/>
        <v>117175</v>
      </c>
      <c r="CF23" s="103">
        <f t="shared" si="3"/>
        <v>116575</v>
      </c>
      <c r="CG23" s="103">
        <f t="shared" si="3"/>
        <v>115650</v>
      </c>
      <c r="CH23" s="103">
        <f t="shared" si="3"/>
        <v>126350</v>
      </c>
      <c r="CI23" s="103">
        <f t="shared" si="3"/>
        <v>112725</v>
      </c>
      <c r="CJ23" s="103">
        <f t="shared" si="3"/>
        <v>124250</v>
      </c>
      <c r="CK23" s="103">
        <f t="shared" si="3"/>
        <v>111225</v>
      </c>
      <c r="CL23" s="103">
        <f t="shared" si="3"/>
        <v>111500</v>
      </c>
      <c r="CM23" s="103">
        <f t="shared" si="3"/>
        <v>111425</v>
      </c>
      <c r="CN23" s="103">
        <f t="shared" si="3"/>
        <v>111175</v>
      </c>
      <c r="CO23" s="103">
        <f t="shared" si="3"/>
        <v>77412.5</v>
      </c>
      <c r="CP23" s="103">
        <f t="shared" si="3"/>
        <v>55500</v>
      </c>
      <c r="CQ23" s="103">
        <f t="shared" si="3"/>
        <v>61087.5</v>
      </c>
      <c r="CR23" s="103">
        <f t="shared" si="3"/>
        <v>55362.5</v>
      </c>
      <c r="CS23" s="103">
        <f t="shared" si="3"/>
        <v>55387.5</v>
      </c>
      <c r="CT23" s="103">
        <f t="shared" si="3"/>
        <v>61150</v>
      </c>
      <c r="CU23" s="103">
        <f t="shared" si="3"/>
        <v>61025</v>
      </c>
      <c r="CV23" s="103">
        <f t="shared" si="3"/>
        <v>50050</v>
      </c>
      <c r="CW23" s="103">
        <f t="shared" si="3"/>
        <v>61037.5</v>
      </c>
      <c r="CX23" s="103">
        <f t="shared" si="3"/>
        <v>55787.5</v>
      </c>
      <c r="CY23" s="103">
        <f t="shared" si="3"/>
        <v>61137.5</v>
      </c>
      <c r="CZ23" s="103">
        <f t="shared" si="3"/>
        <v>55450</v>
      </c>
      <c r="DA23" s="103">
        <f t="shared" si="3"/>
        <v>61037.5</v>
      </c>
      <c r="DB23" s="103">
        <f t="shared" si="3"/>
        <v>55512.5</v>
      </c>
      <c r="DC23" s="103">
        <f t="shared" si="3"/>
        <v>60987.5</v>
      </c>
      <c r="DD23" s="103">
        <f t="shared" si="3"/>
        <v>55437.5</v>
      </c>
      <c r="DE23" s="103">
        <f t="shared" si="3"/>
        <v>55437.5</v>
      </c>
      <c r="DF23" s="103">
        <f t="shared" si="3"/>
        <v>66525</v>
      </c>
      <c r="DG23" s="103">
        <f t="shared" si="3"/>
        <v>60925</v>
      </c>
      <c r="DH23" s="103">
        <f t="shared" si="3"/>
        <v>55400</v>
      </c>
      <c r="DI23" s="103">
        <f t="shared" si="3"/>
        <v>55412.5</v>
      </c>
      <c r="DJ23" s="103">
        <f t="shared" si="3"/>
        <v>60912.5</v>
      </c>
      <c r="DK23" s="103">
        <f t="shared" si="3"/>
        <v>55450</v>
      </c>
      <c r="DL23" s="103">
        <f t="shared" si="3"/>
        <v>60975</v>
      </c>
      <c r="DM23" s="103">
        <f t="shared" si="3"/>
        <v>55512.5</v>
      </c>
      <c r="DN23" s="103">
        <f t="shared" si="3"/>
        <v>60887.5</v>
      </c>
      <c r="DO23" s="103">
        <f t="shared" si="3"/>
        <v>55337.5</v>
      </c>
      <c r="DP23" s="103">
        <f t="shared" si="3"/>
        <v>55350</v>
      </c>
      <c r="DQ23" s="103">
        <f t="shared" si="3"/>
        <v>49812.5</v>
      </c>
      <c r="DR23" s="103">
        <f t="shared" si="3"/>
        <v>55337.5</v>
      </c>
      <c r="DS23" s="103">
        <f t="shared" si="3"/>
        <v>55575</v>
      </c>
      <c r="DT23" s="103">
        <f t="shared" si="3"/>
        <v>49825</v>
      </c>
      <c r="DU23" s="103">
        <f t="shared" si="3"/>
        <v>55475</v>
      </c>
      <c r="DV23" s="103">
        <f t="shared" si="3"/>
        <v>55375</v>
      </c>
      <c r="DW23" s="103">
        <f t="shared" si="3"/>
        <v>61000</v>
      </c>
      <c r="DX23" s="103">
        <f t="shared" si="3"/>
        <v>55300</v>
      </c>
      <c r="DY23" s="103">
        <f t="shared" si="3"/>
        <v>60862.5</v>
      </c>
      <c r="DZ23" s="103">
        <f t="shared" si="3"/>
        <v>55450</v>
      </c>
      <c r="EA23" s="103">
        <f t="shared" si="3"/>
        <v>60950</v>
      </c>
      <c r="EB23" s="103">
        <f t="shared" si="3"/>
        <v>55425</v>
      </c>
      <c r="EC23" s="103">
        <f t="shared" si="3"/>
        <v>55362.5</v>
      </c>
      <c r="ED23" s="103">
        <f t="shared" si="3"/>
        <v>55350</v>
      </c>
      <c r="EE23" s="103">
        <f t="shared" si="3"/>
        <v>56700</v>
      </c>
      <c r="EF23" s="103">
        <f t="shared" si="3"/>
        <v>55325</v>
      </c>
      <c r="EG23" s="103">
        <f t="shared" si="3"/>
        <v>49800</v>
      </c>
      <c r="EH23" s="103">
        <f t="shared" si="3"/>
        <v>60837.5</v>
      </c>
      <c r="EI23" s="103">
        <f t="shared" ref="EI23:ES23" si="4">EI22-EH22</f>
        <v>36450</v>
      </c>
      <c r="EJ23" s="103">
        <f t="shared" si="4"/>
        <v>27681.25</v>
      </c>
      <c r="EK23" s="103">
        <f t="shared" si="4"/>
        <v>30412.5</v>
      </c>
      <c r="EL23" s="103">
        <f t="shared" si="4"/>
        <v>27625</v>
      </c>
      <c r="EM23" s="103">
        <f t="shared" si="4"/>
        <v>27662.5</v>
      </c>
      <c r="EN23" s="103">
        <f t="shared" si="4"/>
        <v>27675</v>
      </c>
      <c r="EO23" s="103">
        <f t="shared" si="4"/>
        <v>27681.25</v>
      </c>
      <c r="EP23" s="103">
        <f t="shared" si="4"/>
        <v>27675</v>
      </c>
      <c r="EQ23" s="103">
        <f t="shared" si="4"/>
        <v>27687.5</v>
      </c>
      <c r="ER23" s="103">
        <f t="shared" si="4"/>
        <v>27706.25</v>
      </c>
      <c r="ES23" s="103">
        <f t="shared" si="4"/>
        <v>27643.75</v>
      </c>
      <c r="ET23" s="104"/>
    </row>
    <row r="24" spans="2:150" ht="14.15" x14ac:dyDescent="0.35">
      <c r="B24" s="106" t="s">
        <v>133</v>
      </c>
      <c r="C24" s="103"/>
      <c r="D24" s="103"/>
      <c r="E24" s="103"/>
      <c r="F24" s="103"/>
      <c r="G24" s="103"/>
      <c r="H24" s="103"/>
      <c r="I24" s="103"/>
      <c r="J24" s="103">
        <f>(J22-$I$22)</f>
        <v>68300</v>
      </c>
      <c r="K24" s="103">
        <f>(K22-$I$22)</f>
        <v>183100</v>
      </c>
      <c r="L24" s="103">
        <f t="shared" ref="L24:BV24" si="5">(L22-$I$22)</f>
        <v>297900</v>
      </c>
      <c r="M24" s="103">
        <f t="shared" si="5"/>
        <v>408350</v>
      </c>
      <c r="N24" s="103">
        <f t="shared" si="5"/>
        <v>608250</v>
      </c>
      <c r="O24" s="103">
        <f t="shared" si="5"/>
        <v>855200</v>
      </c>
      <c r="P24" s="103">
        <f t="shared" si="5"/>
        <v>1122850</v>
      </c>
      <c r="Q24" s="103">
        <f t="shared" si="5"/>
        <v>1391300</v>
      </c>
      <c r="R24" s="103">
        <f t="shared" si="5"/>
        <v>1661650</v>
      </c>
      <c r="S24" s="103">
        <f t="shared" si="5"/>
        <v>1910450</v>
      </c>
      <c r="T24" s="103">
        <f t="shared" si="5"/>
        <v>2159750</v>
      </c>
      <c r="U24" s="103">
        <f t="shared" si="5"/>
        <v>2532500</v>
      </c>
      <c r="V24" s="103">
        <f t="shared" si="5"/>
        <v>2844250</v>
      </c>
      <c r="W24" s="103">
        <f t="shared" si="5"/>
        <v>3133300</v>
      </c>
      <c r="X24" s="103">
        <f t="shared" si="5"/>
        <v>3423650</v>
      </c>
      <c r="Y24" s="103">
        <f t="shared" si="5"/>
        <v>3714150</v>
      </c>
      <c r="Z24" s="103">
        <f t="shared" si="5"/>
        <v>3983600</v>
      </c>
      <c r="AA24" s="103">
        <f t="shared" si="5"/>
        <v>4251200</v>
      </c>
      <c r="AB24" s="103">
        <f t="shared" si="5"/>
        <v>4539950</v>
      </c>
      <c r="AC24" s="103">
        <f t="shared" si="5"/>
        <v>4762000</v>
      </c>
      <c r="AD24" s="103">
        <f t="shared" si="5"/>
        <v>5029350</v>
      </c>
      <c r="AE24" s="103">
        <f t="shared" si="5"/>
        <v>5361700</v>
      </c>
      <c r="AF24" s="103">
        <f t="shared" si="5"/>
        <v>5671250</v>
      </c>
      <c r="AG24" s="103">
        <f t="shared" si="5"/>
        <v>5914250</v>
      </c>
      <c r="AH24" s="103">
        <f t="shared" si="5"/>
        <v>6139600</v>
      </c>
      <c r="AI24" s="103">
        <f t="shared" si="5"/>
        <v>6342800</v>
      </c>
      <c r="AJ24" s="103">
        <f t="shared" si="5"/>
        <v>6544900</v>
      </c>
      <c r="AK24" s="103">
        <f t="shared" si="5"/>
        <v>6749400</v>
      </c>
      <c r="AL24" s="103">
        <f t="shared" si="5"/>
        <v>6984400</v>
      </c>
      <c r="AM24" s="103">
        <f t="shared" si="5"/>
        <v>7219500</v>
      </c>
      <c r="AN24" s="103">
        <f t="shared" si="5"/>
        <v>7425350</v>
      </c>
      <c r="AO24" s="103">
        <f t="shared" si="5"/>
        <v>7660100</v>
      </c>
      <c r="AP24" s="103">
        <f t="shared" si="5"/>
        <v>7872550</v>
      </c>
      <c r="AQ24" s="103">
        <f t="shared" si="5"/>
        <v>8102650</v>
      </c>
      <c r="AR24" s="103">
        <f t="shared" si="5"/>
        <v>8313850</v>
      </c>
      <c r="AS24" s="103">
        <f t="shared" si="5"/>
        <v>8549300</v>
      </c>
      <c r="AT24" s="103">
        <f t="shared" si="5"/>
        <v>8812400</v>
      </c>
      <c r="AU24" s="103">
        <f t="shared" si="5"/>
        <v>9032000</v>
      </c>
      <c r="AV24" s="103">
        <f t="shared" si="5"/>
        <v>9279300</v>
      </c>
      <c r="AW24" s="103">
        <f t="shared" si="5"/>
        <v>9495125</v>
      </c>
      <c r="AX24" s="103">
        <f t="shared" si="5"/>
        <v>9590075</v>
      </c>
      <c r="AY24" s="103">
        <f t="shared" si="5"/>
        <v>9705475</v>
      </c>
      <c r="AZ24" s="103">
        <f t="shared" si="5"/>
        <v>9820800</v>
      </c>
      <c r="BA24" s="103">
        <f t="shared" si="5"/>
        <v>9956450</v>
      </c>
      <c r="BB24" s="103">
        <f t="shared" si="5"/>
        <v>10079775</v>
      </c>
      <c r="BC24" s="103">
        <f t="shared" si="5"/>
        <v>10202750</v>
      </c>
      <c r="BD24" s="103">
        <f t="shared" si="5"/>
        <v>10337175</v>
      </c>
      <c r="BE24" s="103">
        <f t="shared" si="5"/>
        <v>10471950</v>
      </c>
      <c r="BF24" s="103">
        <f t="shared" si="5"/>
        <v>10618825</v>
      </c>
      <c r="BG24" s="103">
        <f t="shared" si="5"/>
        <v>10754800</v>
      </c>
      <c r="BH24" s="103">
        <f t="shared" si="5"/>
        <v>10905200</v>
      </c>
      <c r="BI24" s="103">
        <f t="shared" si="5"/>
        <v>11043750</v>
      </c>
      <c r="BJ24" s="103">
        <f t="shared" si="5"/>
        <v>11184350</v>
      </c>
      <c r="BK24" s="103">
        <f t="shared" si="5"/>
        <v>11314150</v>
      </c>
      <c r="BL24" s="103">
        <f t="shared" si="5"/>
        <v>11433925</v>
      </c>
      <c r="BM24" s="103">
        <f t="shared" si="5"/>
        <v>11568150</v>
      </c>
      <c r="BN24" s="103">
        <f t="shared" si="5"/>
        <v>11691175</v>
      </c>
      <c r="BO24" s="103">
        <f t="shared" si="5"/>
        <v>11825125</v>
      </c>
      <c r="BP24" s="103">
        <f t="shared" si="5"/>
        <v>11944900</v>
      </c>
      <c r="BQ24" s="103">
        <f t="shared" si="5"/>
        <v>12063925</v>
      </c>
      <c r="BR24" s="103">
        <f t="shared" si="5"/>
        <v>12196700</v>
      </c>
      <c r="BS24" s="103">
        <f t="shared" si="5"/>
        <v>12317075</v>
      </c>
      <c r="BT24" s="103">
        <f t="shared" si="5"/>
        <v>12423050</v>
      </c>
      <c r="BU24" s="103">
        <f t="shared" si="5"/>
        <v>12540400</v>
      </c>
      <c r="BV24" s="103">
        <f t="shared" si="5"/>
        <v>12647100</v>
      </c>
      <c r="BW24" s="103">
        <f t="shared" ref="BW24:EH24" si="6">(BW22-$I$22)</f>
        <v>12766350</v>
      </c>
      <c r="BX24" s="103">
        <f t="shared" si="6"/>
        <v>12872925</v>
      </c>
      <c r="BY24" s="103">
        <f t="shared" si="6"/>
        <v>12990250</v>
      </c>
      <c r="BZ24" s="103">
        <f t="shared" si="6"/>
        <v>13095850</v>
      </c>
      <c r="CA24" s="103">
        <f t="shared" si="6"/>
        <v>13201225</v>
      </c>
      <c r="CB24" s="103">
        <f t="shared" si="6"/>
        <v>13318400</v>
      </c>
      <c r="CC24" s="103">
        <f t="shared" si="6"/>
        <v>13423275</v>
      </c>
      <c r="CD24" s="103">
        <f t="shared" si="6"/>
        <v>13539525</v>
      </c>
      <c r="CE24" s="103">
        <f t="shared" si="6"/>
        <v>13656700</v>
      </c>
      <c r="CF24" s="103">
        <f t="shared" si="6"/>
        <v>13773275</v>
      </c>
      <c r="CG24" s="103">
        <f t="shared" si="6"/>
        <v>13888925</v>
      </c>
      <c r="CH24" s="103">
        <f t="shared" si="6"/>
        <v>14015275</v>
      </c>
      <c r="CI24" s="103">
        <f t="shared" si="6"/>
        <v>14128000</v>
      </c>
      <c r="CJ24" s="103">
        <f t="shared" si="6"/>
        <v>14252250</v>
      </c>
      <c r="CK24" s="103">
        <f t="shared" si="6"/>
        <v>14363475</v>
      </c>
      <c r="CL24" s="103">
        <f t="shared" si="6"/>
        <v>14474975</v>
      </c>
      <c r="CM24" s="103">
        <f t="shared" si="6"/>
        <v>14586400</v>
      </c>
      <c r="CN24" s="103">
        <f t="shared" si="6"/>
        <v>14697575</v>
      </c>
      <c r="CO24" s="103">
        <f t="shared" si="6"/>
        <v>14774987.5</v>
      </c>
      <c r="CP24" s="103">
        <f t="shared" si="6"/>
        <v>14830487.5</v>
      </c>
      <c r="CQ24" s="103">
        <f t="shared" si="6"/>
        <v>14891575</v>
      </c>
      <c r="CR24" s="103">
        <f t="shared" si="6"/>
        <v>14946937.5</v>
      </c>
      <c r="CS24" s="103">
        <f t="shared" si="6"/>
        <v>15002325</v>
      </c>
      <c r="CT24" s="103">
        <f t="shared" si="6"/>
        <v>15063475</v>
      </c>
      <c r="CU24" s="103">
        <f t="shared" si="6"/>
        <v>15124500</v>
      </c>
      <c r="CV24" s="103">
        <f t="shared" si="6"/>
        <v>15174550</v>
      </c>
      <c r="CW24" s="103">
        <f t="shared" si="6"/>
        <v>15235587.5</v>
      </c>
      <c r="CX24" s="103">
        <f t="shared" si="6"/>
        <v>15291375</v>
      </c>
      <c r="CY24" s="103">
        <f t="shared" si="6"/>
        <v>15352512.5</v>
      </c>
      <c r="CZ24" s="103">
        <f t="shared" si="6"/>
        <v>15407962.5</v>
      </c>
      <c r="DA24" s="103">
        <f t="shared" si="6"/>
        <v>15469000</v>
      </c>
      <c r="DB24" s="103">
        <f t="shared" si="6"/>
        <v>15524512.5</v>
      </c>
      <c r="DC24" s="103">
        <f t="shared" si="6"/>
        <v>15585500</v>
      </c>
      <c r="DD24" s="103">
        <f t="shared" si="6"/>
        <v>15640937.5</v>
      </c>
      <c r="DE24" s="103">
        <f t="shared" si="6"/>
        <v>15696375</v>
      </c>
      <c r="DF24" s="103">
        <f t="shared" si="6"/>
        <v>15762900</v>
      </c>
      <c r="DG24" s="103">
        <f t="shared" si="6"/>
        <v>15823825</v>
      </c>
      <c r="DH24" s="103">
        <f t="shared" si="6"/>
        <v>15879225</v>
      </c>
      <c r="DI24" s="103">
        <f t="shared" si="6"/>
        <v>15934637.5</v>
      </c>
      <c r="DJ24" s="103">
        <f t="shared" si="6"/>
        <v>15995550</v>
      </c>
      <c r="DK24" s="103">
        <f t="shared" si="6"/>
        <v>16051000</v>
      </c>
      <c r="DL24" s="103">
        <f t="shared" si="6"/>
        <v>16111975</v>
      </c>
      <c r="DM24" s="103">
        <f t="shared" si="6"/>
        <v>16167487.5</v>
      </c>
      <c r="DN24" s="103">
        <f t="shared" si="6"/>
        <v>16228375</v>
      </c>
      <c r="DO24" s="103">
        <f t="shared" si="6"/>
        <v>16283712.5</v>
      </c>
      <c r="DP24" s="103">
        <f t="shared" si="6"/>
        <v>16339062.5</v>
      </c>
      <c r="DQ24" s="103">
        <f t="shared" si="6"/>
        <v>16388875</v>
      </c>
      <c r="DR24" s="103">
        <f t="shared" si="6"/>
        <v>16444212.5</v>
      </c>
      <c r="DS24" s="103">
        <f t="shared" si="6"/>
        <v>16499787.5</v>
      </c>
      <c r="DT24" s="103">
        <f t="shared" si="6"/>
        <v>16549612.5</v>
      </c>
      <c r="DU24" s="103">
        <f t="shared" si="6"/>
        <v>16605087.5</v>
      </c>
      <c r="DV24" s="103">
        <f t="shared" si="6"/>
        <v>16660462.5</v>
      </c>
      <c r="DW24" s="103">
        <f t="shared" si="6"/>
        <v>16721462.5</v>
      </c>
      <c r="DX24" s="103">
        <f t="shared" si="6"/>
        <v>16776762.5</v>
      </c>
      <c r="DY24" s="103">
        <f t="shared" si="6"/>
        <v>16837625</v>
      </c>
      <c r="DZ24" s="103">
        <f t="shared" si="6"/>
        <v>16893075</v>
      </c>
      <c r="EA24" s="103">
        <f t="shared" si="6"/>
        <v>16954025</v>
      </c>
      <c r="EB24" s="103">
        <f t="shared" si="6"/>
        <v>17009450</v>
      </c>
      <c r="EC24" s="103">
        <f t="shared" si="6"/>
        <v>17064812.5</v>
      </c>
      <c r="ED24" s="103">
        <f t="shared" si="6"/>
        <v>17120162.5</v>
      </c>
      <c r="EE24" s="103">
        <f t="shared" si="6"/>
        <v>17176862.5</v>
      </c>
      <c r="EF24" s="103">
        <f t="shared" si="6"/>
        <v>17232187.5</v>
      </c>
      <c r="EG24" s="103">
        <f t="shared" si="6"/>
        <v>17281987.5</v>
      </c>
      <c r="EH24" s="103">
        <f t="shared" si="6"/>
        <v>17342825</v>
      </c>
      <c r="EI24" s="103">
        <f t="shared" ref="EI24:ES24" si="7">(EI22-$I$22)</f>
        <v>17379275</v>
      </c>
      <c r="EJ24" s="103">
        <f t="shared" si="7"/>
        <v>17406956.25</v>
      </c>
      <c r="EK24" s="103">
        <f t="shared" si="7"/>
        <v>17437368.75</v>
      </c>
      <c r="EL24" s="103">
        <f t="shared" si="7"/>
        <v>17464993.75</v>
      </c>
      <c r="EM24" s="103">
        <f t="shared" si="7"/>
        <v>17492656.25</v>
      </c>
      <c r="EN24" s="103">
        <f t="shared" si="7"/>
        <v>17520331.25</v>
      </c>
      <c r="EO24" s="103">
        <f t="shared" si="7"/>
        <v>17548012.5</v>
      </c>
      <c r="EP24" s="103">
        <f t="shared" si="7"/>
        <v>17575687.5</v>
      </c>
      <c r="EQ24" s="103">
        <f t="shared" si="7"/>
        <v>17603375</v>
      </c>
      <c r="ER24" s="103">
        <f t="shared" si="7"/>
        <v>17631081.25</v>
      </c>
      <c r="ES24" s="103">
        <f t="shared" si="7"/>
        <v>17658725</v>
      </c>
      <c r="ET24" s="104"/>
    </row>
    <row r="25" spans="2:150" x14ac:dyDescent="0.35">
      <c r="B25" s="108" t="s">
        <v>129</v>
      </c>
      <c r="C25" s="109"/>
      <c r="D25" s="109"/>
      <c r="E25" s="109"/>
      <c r="F25" s="109"/>
      <c r="G25" s="109"/>
      <c r="H25" s="109"/>
      <c r="I25" s="109"/>
      <c r="J25" s="109"/>
      <c r="K25" s="109">
        <f>J24/(K23*12)</f>
        <v>4.9578977932636471E-2</v>
      </c>
      <c r="L25" s="109">
        <f t="shared" ref="L25:BW25" si="8">K24/(L23*12)</f>
        <v>0.13291231126596981</v>
      </c>
      <c r="M25" s="109">
        <f t="shared" si="8"/>
        <v>0.22476233589859665</v>
      </c>
      <c r="N25" s="109">
        <f t="shared" si="8"/>
        <v>0.1702309488077372</v>
      </c>
      <c r="O25" s="109">
        <f t="shared" si="8"/>
        <v>0.20525410002024702</v>
      </c>
      <c r="P25" s="109">
        <f t="shared" si="8"/>
        <v>0.26626813624758705</v>
      </c>
      <c r="Q25" s="109">
        <f t="shared" si="8"/>
        <v>0.34855963245793753</v>
      </c>
      <c r="R25" s="109">
        <f t="shared" si="8"/>
        <v>0.42885765365883732</v>
      </c>
      <c r="S25" s="109">
        <f t="shared" si="8"/>
        <v>0.55655479635584137</v>
      </c>
      <c r="T25" s="109">
        <f t="shared" si="8"/>
        <v>0.63860475999465172</v>
      </c>
      <c r="U25" s="109">
        <f t="shared" si="8"/>
        <v>0.4828414934048737</v>
      </c>
      <c r="V25" s="109">
        <f t="shared" si="8"/>
        <v>0.67695803261160115</v>
      </c>
      <c r="W25" s="109">
        <f t="shared" si="8"/>
        <v>0.8199994233984893</v>
      </c>
      <c r="X25" s="109">
        <f t="shared" si="8"/>
        <v>0.8992882153722519</v>
      </c>
      <c r="Y25" s="109">
        <f t="shared" si="8"/>
        <v>0.98211417096959264</v>
      </c>
      <c r="Z25" s="109">
        <f t="shared" si="8"/>
        <v>1.1486825013917239</v>
      </c>
      <c r="AA25" s="109">
        <f t="shared" si="8"/>
        <v>1.2405331340308918</v>
      </c>
      <c r="AB25" s="109">
        <f t="shared" si="8"/>
        <v>1.2268975468975469</v>
      </c>
      <c r="AC25" s="109">
        <f t="shared" si="8"/>
        <v>1.7038016963146438</v>
      </c>
      <c r="AD25" s="109">
        <f t="shared" si="8"/>
        <v>1.4843214263449909</v>
      </c>
      <c r="AE25" s="109">
        <f t="shared" si="8"/>
        <v>1.2610576199789378</v>
      </c>
      <c r="AF25" s="109">
        <f t="shared" si="8"/>
        <v>1.4434124804824207</v>
      </c>
      <c r="AG25" s="109">
        <f t="shared" si="8"/>
        <v>1.9448731138545954</v>
      </c>
      <c r="AH25" s="109">
        <f t="shared" si="8"/>
        <v>2.1870608682789734</v>
      </c>
      <c r="AI25" s="109">
        <f t="shared" si="8"/>
        <v>2.5178805774278215</v>
      </c>
      <c r="AJ25" s="109">
        <f t="shared" si="8"/>
        <v>2.6153719280884049</v>
      </c>
      <c r="AK25" s="109">
        <f t="shared" si="8"/>
        <v>2.6670334148329258</v>
      </c>
      <c r="AL25" s="109">
        <f t="shared" si="8"/>
        <v>2.3934042553191488</v>
      </c>
      <c r="AM25" s="109">
        <f t="shared" si="8"/>
        <v>2.4756841060541612</v>
      </c>
      <c r="AN25" s="109">
        <f t="shared" si="8"/>
        <v>2.9226378430896283</v>
      </c>
      <c r="AO25" s="109">
        <f t="shared" si="8"/>
        <v>2.6359069932552361</v>
      </c>
      <c r="AP25" s="109">
        <f t="shared" si="8"/>
        <v>3.0046677649643052</v>
      </c>
      <c r="AQ25" s="109">
        <f t="shared" si="8"/>
        <v>2.8511335651166161</v>
      </c>
      <c r="AR25" s="109">
        <f t="shared" si="8"/>
        <v>3.1970683396464645</v>
      </c>
      <c r="AS25" s="109">
        <f t="shared" si="8"/>
        <v>2.9425391095066185</v>
      </c>
      <c r="AT25" s="109">
        <f t="shared" si="8"/>
        <v>2.7078740656277716</v>
      </c>
      <c r="AU25" s="109">
        <f t="shared" si="8"/>
        <v>3.3441105039465695</v>
      </c>
      <c r="AV25" s="109">
        <f t="shared" si="8"/>
        <v>3.0435368648065779</v>
      </c>
      <c r="AW25" s="109">
        <f t="shared" si="8"/>
        <v>3.582879647862852</v>
      </c>
      <c r="AX25" s="109">
        <f t="shared" si="8"/>
        <v>8.3334430401965953</v>
      </c>
      <c r="AY25" s="109">
        <f t="shared" si="8"/>
        <v>6.9252419121894855</v>
      </c>
      <c r="AZ25" s="109">
        <f t="shared" si="8"/>
        <v>7.0131331743623093</v>
      </c>
      <c r="BA25" s="109">
        <f t="shared" si="8"/>
        <v>6.0331736085514187</v>
      </c>
      <c r="BB25" s="109">
        <f t="shared" si="8"/>
        <v>6.727785661193324</v>
      </c>
      <c r="BC25" s="109">
        <f t="shared" si="8"/>
        <v>6.8305041675137224</v>
      </c>
      <c r="BD25" s="109">
        <f t="shared" si="8"/>
        <v>6.3249333581303082</v>
      </c>
      <c r="BE25" s="109">
        <f t="shared" si="8"/>
        <v>6.3916249304396215</v>
      </c>
      <c r="BF25" s="109">
        <f t="shared" si="8"/>
        <v>5.9415319148936172</v>
      </c>
      <c r="BG25" s="109">
        <f t="shared" si="8"/>
        <v>6.5078292578292576</v>
      </c>
      <c r="BH25" s="109">
        <f t="shared" si="8"/>
        <v>5.9589982269503547</v>
      </c>
      <c r="BI25" s="109">
        <f t="shared" si="8"/>
        <v>6.5591242632022135</v>
      </c>
      <c r="BJ25" s="109">
        <f t="shared" si="8"/>
        <v>6.5456081081081079</v>
      </c>
      <c r="BK25" s="109">
        <f t="shared" si="8"/>
        <v>7.1805020544427327</v>
      </c>
      <c r="BL25" s="109">
        <f t="shared" si="8"/>
        <v>7.8718082515828289</v>
      </c>
      <c r="BM25" s="109">
        <f t="shared" si="8"/>
        <v>7.0987303656795184</v>
      </c>
      <c r="BN25" s="109">
        <f t="shared" si="8"/>
        <v>7.8359073359073363</v>
      </c>
      <c r="BO25" s="109">
        <f t="shared" si="8"/>
        <v>7.2733451536643026</v>
      </c>
      <c r="BP25" s="109">
        <f t="shared" si="8"/>
        <v>8.227318583455089</v>
      </c>
      <c r="BQ25" s="109">
        <f t="shared" si="8"/>
        <v>8.3630189736049854</v>
      </c>
      <c r="BR25" s="109">
        <f t="shared" si="8"/>
        <v>7.5716594489424462</v>
      </c>
      <c r="BS25" s="109">
        <f t="shared" si="8"/>
        <v>8.443544479058497</v>
      </c>
      <c r="BT25" s="109">
        <f t="shared" si="8"/>
        <v>9.6855193835023989</v>
      </c>
      <c r="BU25" s="109">
        <f t="shared" si="8"/>
        <v>8.8219358045732132</v>
      </c>
      <c r="BV25" s="109">
        <f t="shared" si="8"/>
        <v>9.794126835363949</v>
      </c>
      <c r="BW25" s="109">
        <f t="shared" si="8"/>
        <v>8.8379454926624739</v>
      </c>
      <c r="BX25" s="109">
        <f t="shared" ref="BX25:EI25" si="9">BW24/(BX23*12)</f>
        <v>9.9822894675111424</v>
      </c>
      <c r="BY25" s="109">
        <f t="shared" si="9"/>
        <v>9.1433518005540169</v>
      </c>
      <c r="BZ25" s="109">
        <f t="shared" si="9"/>
        <v>10.251144255050505</v>
      </c>
      <c r="CA25" s="109">
        <f t="shared" si="9"/>
        <v>10.356544088572559</v>
      </c>
      <c r="CB25" s="109">
        <f t="shared" si="9"/>
        <v>9.3885392219614534</v>
      </c>
      <c r="CC25" s="109">
        <f t="shared" si="9"/>
        <v>10.582757250695272</v>
      </c>
      <c r="CD25" s="109">
        <f t="shared" si="9"/>
        <v>9.6224193548387102</v>
      </c>
      <c r="CE25" s="109">
        <f t="shared" si="9"/>
        <v>9.6291337742692562</v>
      </c>
      <c r="CF25" s="109">
        <f t="shared" si="9"/>
        <v>9.7624562155979699</v>
      </c>
      <c r="CG25" s="109">
        <f t="shared" si="9"/>
        <v>9.9245388384493438</v>
      </c>
      <c r="CH25" s="109">
        <f t="shared" si="9"/>
        <v>9.1603515367365791</v>
      </c>
      <c r="CI25" s="109">
        <f t="shared" si="9"/>
        <v>10.36096325866785</v>
      </c>
      <c r="CJ25" s="109">
        <f t="shared" si="9"/>
        <v>9.4755197853789408</v>
      </c>
      <c r="CK25" s="109">
        <f t="shared" si="9"/>
        <v>10.678242301640818</v>
      </c>
      <c r="CL25" s="109">
        <f t="shared" si="9"/>
        <v>10.735033632286996</v>
      </c>
      <c r="CM25" s="109">
        <f t="shared" si="9"/>
        <v>10.825648792162141</v>
      </c>
      <c r="CN25" s="109">
        <f t="shared" si="9"/>
        <v>10.933513229892812</v>
      </c>
      <c r="CO25" s="109">
        <f t="shared" si="9"/>
        <v>15.821707303945315</v>
      </c>
      <c r="CP25" s="109">
        <f t="shared" si="9"/>
        <v>22.184665915915915</v>
      </c>
      <c r="CQ25" s="109">
        <f t="shared" si="9"/>
        <v>20.231208648796127</v>
      </c>
      <c r="CR25" s="109">
        <f t="shared" si="9"/>
        <v>22.415255512907354</v>
      </c>
      <c r="CS25" s="109">
        <f t="shared" si="9"/>
        <v>22.488433762130445</v>
      </c>
      <c r="CT25" s="109">
        <f t="shared" si="9"/>
        <v>20.444705641864267</v>
      </c>
      <c r="CU25" s="109">
        <f t="shared" si="9"/>
        <v>20.570087395876008</v>
      </c>
      <c r="CV25" s="109">
        <f t="shared" si="9"/>
        <v>25.182317682317681</v>
      </c>
      <c r="CW25" s="109">
        <f t="shared" si="9"/>
        <v>20.717523380435523</v>
      </c>
      <c r="CX25" s="109">
        <f t="shared" si="9"/>
        <v>22.758365075808499</v>
      </c>
      <c r="CY25" s="109">
        <f t="shared" si="9"/>
        <v>20.842874667757105</v>
      </c>
      <c r="CZ25" s="109">
        <f t="shared" si="9"/>
        <v>23.072606702735197</v>
      </c>
      <c r="DA25" s="109">
        <f t="shared" si="9"/>
        <v>21.036197010034815</v>
      </c>
      <c r="DB25" s="109">
        <f t="shared" si="9"/>
        <v>23.221496659911431</v>
      </c>
      <c r="DC25" s="109">
        <f t="shared" si="9"/>
        <v>21.212697274031562</v>
      </c>
      <c r="DD25" s="109">
        <f t="shared" si="9"/>
        <v>23.428034573468622</v>
      </c>
      <c r="DE25" s="109">
        <f t="shared" si="9"/>
        <v>23.511367906801954</v>
      </c>
      <c r="DF25" s="109">
        <f t="shared" si="9"/>
        <v>19.662251033446072</v>
      </c>
      <c r="DG25" s="109">
        <f t="shared" si="9"/>
        <v>21.560525235945835</v>
      </c>
      <c r="DH25" s="109">
        <f t="shared" si="9"/>
        <v>23.802384175691937</v>
      </c>
      <c r="DI25" s="109">
        <f t="shared" si="9"/>
        <v>23.880329348071285</v>
      </c>
      <c r="DJ25" s="109">
        <f t="shared" si="9"/>
        <v>21.799900814009167</v>
      </c>
      <c r="DK25" s="109">
        <f t="shared" si="9"/>
        <v>24.038999098286745</v>
      </c>
      <c r="DL25" s="109">
        <f t="shared" si="9"/>
        <v>21.936586032526993</v>
      </c>
      <c r="DM25" s="109">
        <f t="shared" si="9"/>
        <v>24.186707198078512</v>
      </c>
      <c r="DN25" s="109">
        <f t="shared" si="9"/>
        <v>22.127540546089097</v>
      </c>
      <c r="DO25" s="109">
        <f t="shared" si="9"/>
        <v>24.438483547925607</v>
      </c>
      <c r="DP25" s="109">
        <f t="shared" si="9"/>
        <v>24.516278982234265</v>
      </c>
      <c r="DQ25" s="109">
        <f t="shared" si="9"/>
        <v>27.33427436219155</v>
      </c>
      <c r="DR25" s="109">
        <f t="shared" si="9"/>
        <v>24.680182215194638</v>
      </c>
      <c r="DS25" s="109">
        <f t="shared" si="9"/>
        <v>24.657688559004349</v>
      </c>
      <c r="DT25" s="109">
        <f t="shared" si="9"/>
        <v>27.596232647599933</v>
      </c>
      <c r="DU25" s="109">
        <f t="shared" si="9"/>
        <v>24.860466426318162</v>
      </c>
      <c r="DV25" s="109">
        <f t="shared" si="9"/>
        <v>24.988844996237773</v>
      </c>
      <c r="DW25" s="109">
        <f t="shared" si="9"/>
        <v>22.760194672131149</v>
      </c>
      <c r="DX25" s="109">
        <f t="shared" si="9"/>
        <v>25.198105033152501</v>
      </c>
      <c r="DY25" s="109">
        <f t="shared" si="9"/>
        <v>22.970853015677417</v>
      </c>
      <c r="DZ25" s="109">
        <f t="shared" si="9"/>
        <v>25.30451608055305</v>
      </c>
      <c r="EA25" s="109">
        <f t="shared" si="9"/>
        <v>23.096903199343725</v>
      </c>
      <c r="EB25" s="109">
        <f t="shared" si="9"/>
        <v>25.490941211847844</v>
      </c>
      <c r="EC25" s="109">
        <f t="shared" si="9"/>
        <v>25.603145932114096</v>
      </c>
      <c r="ED25" s="109">
        <f t="shared" si="9"/>
        <v>25.692280186690756</v>
      </c>
      <c r="EE25" s="109">
        <f t="shared" si="9"/>
        <v>25.161908436213992</v>
      </c>
      <c r="EF25" s="109">
        <f t="shared" si="9"/>
        <v>25.872665311040819</v>
      </c>
      <c r="EG25" s="109">
        <f t="shared" si="9"/>
        <v>28.835655120481928</v>
      </c>
      <c r="EH25" s="109">
        <f t="shared" si="9"/>
        <v>23.672334086706389</v>
      </c>
      <c r="EI25" s="109">
        <f t="shared" si="9"/>
        <v>39.649805669867398</v>
      </c>
      <c r="EJ25" s="109">
        <f t="shared" ref="EJ25:ES25" si="10">EI24/(EJ23*12)</f>
        <v>52.319635734176259</v>
      </c>
      <c r="EK25" s="109">
        <f t="shared" si="10"/>
        <v>47.696824907521581</v>
      </c>
      <c r="EL25" s="109">
        <f t="shared" si="10"/>
        <v>52.601414027149325</v>
      </c>
      <c r="EM25" s="109">
        <f t="shared" si="10"/>
        <v>52.613326555204097</v>
      </c>
      <c r="EN25" s="109">
        <f t="shared" si="10"/>
        <v>52.672858325805478</v>
      </c>
      <c r="EO25" s="109">
        <f t="shared" si="10"/>
        <v>52.744280123428915</v>
      </c>
      <c r="EP25" s="109">
        <f t="shared" si="10"/>
        <v>52.839543812104786</v>
      </c>
      <c r="EQ25" s="109">
        <f t="shared" si="10"/>
        <v>52.8989841986456</v>
      </c>
      <c r="ER25" s="109">
        <f t="shared" si="10"/>
        <v>52.946462140010524</v>
      </c>
      <c r="ES25" s="109">
        <f t="shared" si="10"/>
        <v>53.149691009118996</v>
      </c>
      <c r="ET25" s="104"/>
    </row>
    <row r="26" spans="2:150" ht="13.3" thickBot="1" x14ac:dyDescent="0.4">
      <c r="B26" s="110" t="s">
        <v>130</v>
      </c>
      <c r="C26" s="111"/>
      <c r="D26" s="111"/>
      <c r="E26" s="111"/>
      <c r="F26" s="111"/>
      <c r="G26" s="111"/>
      <c r="H26" s="111"/>
      <c r="I26" s="111"/>
      <c r="J26" s="111"/>
      <c r="K26" s="111">
        <f>K21*K22</f>
        <v>0</v>
      </c>
      <c r="L26" s="111">
        <f t="shared" ref="L26:AP26" si="11">L21*L22</f>
        <v>0</v>
      </c>
      <c r="M26" s="111">
        <f t="shared" si="11"/>
        <v>0</v>
      </c>
      <c r="N26" s="111">
        <f t="shared" si="11"/>
        <v>0</v>
      </c>
      <c r="O26" s="111">
        <f t="shared" si="11"/>
        <v>0</v>
      </c>
      <c r="P26" s="111">
        <f t="shared" si="11"/>
        <v>0</v>
      </c>
      <c r="Q26" s="111">
        <f t="shared" si="11"/>
        <v>0</v>
      </c>
      <c r="R26" s="111">
        <f t="shared" si="11"/>
        <v>0</v>
      </c>
      <c r="S26" s="111">
        <f t="shared" si="11"/>
        <v>0</v>
      </c>
      <c r="T26" s="111">
        <f t="shared" si="11"/>
        <v>0</v>
      </c>
      <c r="U26" s="111">
        <f t="shared" si="11"/>
        <v>0</v>
      </c>
      <c r="V26" s="111">
        <f t="shared" si="11"/>
        <v>231207</v>
      </c>
      <c r="W26" s="111">
        <f t="shared" si="11"/>
        <v>248550</v>
      </c>
      <c r="X26" s="111">
        <f t="shared" si="11"/>
        <v>842241.5</v>
      </c>
      <c r="Y26" s="111">
        <f t="shared" si="11"/>
        <v>1322538.0000000002</v>
      </c>
      <c r="Z26" s="111">
        <f t="shared" si="11"/>
        <v>1497840</v>
      </c>
      <c r="AA26" s="111">
        <f t="shared" si="11"/>
        <v>2367180</v>
      </c>
      <c r="AB26" s="111">
        <f t="shared" si="11"/>
        <v>5327184</v>
      </c>
      <c r="AC26" s="111">
        <f t="shared" si="11"/>
        <v>4616960</v>
      </c>
      <c r="AD26" s="111">
        <f t="shared" si="11"/>
        <v>16062543</v>
      </c>
      <c r="AE26" s="111">
        <f t="shared" si="11"/>
        <v>55299412</v>
      </c>
      <c r="AF26" s="111">
        <f t="shared" si="11"/>
        <v>119513250.5</v>
      </c>
      <c r="AG26" s="111">
        <f t="shared" si="11"/>
        <v>97343707</v>
      </c>
      <c r="AH26" s="111">
        <f t="shared" si="11"/>
        <v>67198720</v>
      </c>
      <c r="AI26" s="111">
        <f t="shared" si="11"/>
        <v>36392400</v>
      </c>
      <c r="AJ26" s="111">
        <f t="shared" si="11"/>
        <v>25608399</v>
      </c>
      <c r="AK26" s="111">
        <f t="shared" si="11"/>
        <v>19474086</v>
      </c>
      <c r="AL26" s="111">
        <f t="shared" si="11"/>
        <v>35731392</v>
      </c>
      <c r="AM26" s="111">
        <f t="shared" si="11"/>
        <v>47068164</v>
      </c>
      <c r="AN26" s="111">
        <f t="shared" si="11"/>
        <v>42004059</v>
      </c>
      <c r="AO26" s="111">
        <f t="shared" si="11"/>
        <v>42046105</v>
      </c>
      <c r="AP26" s="111">
        <f t="shared" si="11"/>
        <v>45208107.5</v>
      </c>
      <c r="AQ26" s="111">
        <f t="shared" ref="AQ26:BV26" si="12">AQ21*AQ22</f>
        <v>47017146</v>
      </c>
      <c r="AR26" s="111">
        <f t="shared" si="12"/>
        <v>61345669</v>
      </c>
      <c r="AS26" s="111">
        <f t="shared" si="12"/>
        <v>88129370</v>
      </c>
      <c r="AT26" s="111">
        <f t="shared" si="12"/>
        <v>109412624</v>
      </c>
      <c r="AU26" s="111">
        <f t="shared" si="12"/>
        <v>125113352.00000001</v>
      </c>
      <c r="AV26" s="111">
        <f t="shared" si="12"/>
        <v>109984065</v>
      </c>
      <c r="AW26" s="111">
        <f t="shared" si="12"/>
        <v>131304062.5</v>
      </c>
      <c r="AX26" s="111">
        <f t="shared" si="12"/>
        <v>143832161.75</v>
      </c>
      <c r="AY26" s="111">
        <f t="shared" si="12"/>
        <v>211936271.5</v>
      </c>
      <c r="AZ26" s="111">
        <f t="shared" si="12"/>
        <v>329232000</v>
      </c>
      <c r="BA26" s="111">
        <f t="shared" si="12"/>
        <v>1014322625</v>
      </c>
      <c r="BB26" s="111">
        <f t="shared" si="12"/>
        <v>1602800446.5</v>
      </c>
      <c r="BC26" s="111">
        <f t="shared" si="12"/>
        <v>1483340985.0000002</v>
      </c>
      <c r="BD26" s="111">
        <f t="shared" si="12"/>
        <v>1073934393.75</v>
      </c>
      <c r="BE26" s="111">
        <f t="shared" si="12"/>
        <v>1133189505</v>
      </c>
      <c r="BF26" s="111">
        <f t="shared" si="12"/>
        <v>1451642641</v>
      </c>
      <c r="BG26" s="111">
        <f t="shared" si="12"/>
        <v>1494145640</v>
      </c>
      <c r="BH26" s="111">
        <f t="shared" si="12"/>
        <v>2573510400</v>
      </c>
      <c r="BI26" s="111">
        <f t="shared" si="12"/>
        <v>12222896595</v>
      </c>
      <c r="BJ26" s="111">
        <f t="shared" si="12"/>
        <v>8718388250</v>
      </c>
      <c r="BK26" s="111">
        <f t="shared" si="12"/>
        <v>9858680000</v>
      </c>
      <c r="BL26" s="111">
        <f t="shared" si="12"/>
        <v>7281841181.25</v>
      </c>
      <c r="BM26" s="111">
        <f t="shared" si="12"/>
        <v>6283644060</v>
      </c>
      <c r="BN26" s="111">
        <f t="shared" si="12"/>
        <v>5572924550</v>
      </c>
      <c r="BO26" s="111">
        <f t="shared" si="12"/>
        <v>7973966122.499999</v>
      </c>
      <c r="BP26" s="111">
        <f t="shared" si="12"/>
        <v>7772330459</v>
      </c>
      <c r="BQ26" s="111">
        <f t="shared" si="12"/>
        <v>7654314687.5</v>
      </c>
      <c r="BR26" s="111">
        <f t="shared" si="12"/>
        <v>6690240999</v>
      </c>
      <c r="BS26" s="111">
        <f t="shared" si="12"/>
        <v>5335707247.25</v>
      </c>
      <c r="BT26" s="111">
        <f t="shared" si="12"/>
        <v>4638155925</v>
      </c>
      <c r="BU26" s="111">
        <f t="shared" si="12"/>
        <v>5089094264</v>
      </c>
      <c r="BV26" s="111">
        <f t="shared" si="12"/>
        <v>4279884419.9999995</v>
      </c>
      <c r="BW26" s="111">
        <f t="shared" ref="BW26:DB26" si="13">BW21*BW22</f>
        <v>3253784910</v>
      </c>
      <c r="BX26" s="111">
        <f t="shared" si="13"/>
        <v>3499822533.75</v>
      </c>
      <c r="BY26" s="111">
        <f t="shared" si="13"/>
        <v>3392626713</v>
      </c>
      <c r="BZ26" s="111">
        <f t="shared" si="13"/>
        <v>3176457260</v>
      </c>
      <c r="CA26" s="111">
        <f t="shared" si="13"/>
        <v>3359912887</v>
      </c>
      <c r="CB26" s="111">
        <f t="shared" si="13"/>
        <v>3599236396</v>
      </c>
      <c r="CC26" s="111">
        <f t="shared" si="13"/>
        <v>4163047413.75</v>
      </c>
      <c r="CD26" s="111">
        <f t="shared" si="13"/>
        <v>3340823721.75</v>
      </c>
      <c r="CE26" s="111">
        <f t="shared" si="13"/>
        <v>3507203326</v>
      </c>
      <c r="CF26" s="111">
        <f t="shared" si="13"/>
        <v>4505550555.25</v>
      </c>
      <c r="CG26" s="111">
        <f t="shared" si="13"/>
        <v>5333528750</v>
      </c>
      <c r="CH26" s="111">
        <f t="shared" si="13"/>
        <v>6433930929.25</v>
      </c>
      <c r="CI26" s="111">
        <f t="shared" si="13"/>
        <v>5724586296</v>
      </c>
      <c r="CJ26" s="111">
        <f t="shared" si="13"/>
        <v>6591267640.5</v>
      </c>
      <c r="CK26" s="111">
        <f t="shared" si="13"/>
        <v>6392419445.25</v>
      </c>
      <c r="CL26" s="111">
        <f t="shared" si="13"/>
        <v>6967569066.5</v>
      </c>
      <c r="CM26" s="111">
        <f t="shared" si="13"/>
        <v>8213266784</v>
      </c>
      <c r="CN26" s="111">
        <f t="shared" si="13"/>
        <v>10238461283.75</v>
      </c>
      <c r="CO26" s="111">
        <f t="shared" si="13"/>
        <v>10333591872.5</v>
      </c>
      <c r="CP26" s="111">
        <f t="shared" si="13"/>
        <v>9052381406.25</v>
      </c>
      <c r="CQ26" s="111">
        <f t="shared" si="13"/>
        <v>9601682983.75</v>
      </c>
      <c r="CR26" s="111">
        <f t="shared" si="13"/>
        <v>10944474272.625</v>
      </c>
      <c r="CS26" s="111">
        <f t="shared" si="13"/>
        <v>11645342247.75</v>
      </c>
      <c r="CT26" s="111">
        <f t="shared" si="13"/>
        <v>15399551371</v>
      </c>
      <c r="CU26" s="111">
        <f t="shared" si="13"/>
        <v>14716999803</v>
      </c>
      <c r="CV26" s="111">
        <f t="shared" si="13"/>
        <v>18617300487.5</v>
      </c>
      <c r="CW26" s="111">
        <f t="shared" si="13"/>
        <v>16809131417.75</v>
      </c>
      <c r="CX26" s="111">
        <f t="shared" si="13"/>
        <v>21728666475</v>
      </c>
      <c r="CY26" s="111">
        <f t="shared" si="13"/>
        <v>37468648859.25</v>
      </c>
      <c r="CZ26" s="111">
        <f t="shared" si="13"/>
        <v>42000026823.75</v>
      </c>
      <c r="DA26" s="111">
        <f t="shared" si="13"/>
        <v>45888491360</v>
      </c>
      <c r="DB26" s="111">
        <f t="shared" si="13"/>
        <v>75766068205.5</v>
      </c>
      <c r="DC26" s="111">
        <f t="shared" ref="DC26:EH26" si="14">DC21*DC22</f>
        <v>69104811369</v>
      </c>
      <c r="DD26" s="111">
        <f t="shared" si="14"/>
        <v>102173402267.375</v>
      </c>
      <c r="DE26" s="111">
        <f t="shared" si="14"/>
        <v>165702598425</v>
      </c>
      <c r="DF26" s="111">
        <f t="shared" si="14"/>
        <v>238398797121</v>
      </c>
      <c r="DG26" s="111">
        <f t="shared" si="14"/>
        <v>169719311223</v>
      </c>
      <c r="DH26" s="111">
        <f t="shared" si="14"/>
        <v>174279426250.5</v>
      </c>
      <c r="DI26" s="111">
        <f t="shared" si="14"/>
        <v>134713843865.875</v>
      </c>
      <c r="DJ26" s="111">
        <f t="shared" si="14"/>
        <v>151827760612.5</v>
      </c>
      <c r="DK26" s="111">
        <f t="shared" si="14"/>
        <v>126018920544</v>
      </c>
      <c r="DL26" s="111">
        <f t="shared" si="14"/>
        <v>106549865954</v>
      </c>
      <c r="DM26" s="111">
        <f t="shared" si="14"/>
        <v>141208002035.625</v>
      </c>
      <c r="DN26" s="111">
        <f t="shared" si="14"/>
        <v>122010830989.25</v>
      </c>
      <c r="DO26" s="111">
        <f t="shared" si="14"/>
        <v>115621796408</v>
      </c>
      <c r="DP26" s="111">
        <f t="shared" si="14"/>
        <v>109321984452.625</v>
      </c>
      <c r="DQ26" s="111">
        <f t="shared" si="14"/>
        <v>74442361367.75</v>
      </c>
      <c r="DR26" s="111">
        <f t="shared" si="14"/>
        <v>65805648353.5</v>
      </c>
      <c r="DS26" s="111">
        <f t="shared" si="14"/>
        <v>60381144112.75</v>
      </c>
      <c r="DT26" s="111">
        <f t="shared" si="14"/>
        <v>67306966839.375</v>
      </c>
      <c r="DU26" s="111">
        <f t="shared" si="14"/>
        <v>72492480920.625</v>
      </c>
      <c r="DV26" s="111">
        <f t="shared" si="14"/>
        <v>93672005114.625</v>
      </c>
      <c r="DW26" s="111">
        <f t="shared" si="14"/>
        <v>154609249320.5</v>
      </c>
      <c r="DX26" s="111">
        <f t="shared" si="14"/>
        <v>198008452618.125</v>
      </c>
      <c r="DY26" s="111">
        <f t="shared" si="14"/>
        <v>171135525012.25</v>
      </c>
      <c r="DZ26" s="111">
        <f t="shared" si="14"/>
        <v>169795022351.25</v>
      </c>
      <c r="EA26" s="111">
        <f t="shared" si="14"/>
        <v>147747525625</v>
      </c>
      <c r="EB26" s="111">
        <f t="shared" si="14"/>
        <v>166109609874</v>
      </c>
      <c r="EC26" s="111">
        <f t="shared" si="14"/>
        <v>135985797467.875</v>
      </c>
      <c r="ED26" s="111">
        <f t="shared" si="14"/>
        <v>130886745505</v>
      </c>
      <c r="EE26" s="111">
        <f t="shared" si="14"/>
        <v>168763204648.125</v>
      </c>
      <c r="EF26" s="111">
        <f t="shared" si="14"/>
        <v>158925352385.625</v>
      </c>
      <c r="EG26" s="111">
        <f t="shared" si="14"/>
        <v>107651137824.375</v>
      </c>
      <c r="EH26" s="111">
        <f t="shared" si="14"/>
        <v>142509530293.25</v>
      </c>
      <c r="EI26" s="111">
        <f t="shared" ref="EI26:ES26" si="15">EI21*EI22</f>
        <v>175963178854.74997</v>
      </c>
      <c r="EJ26" s="111">
        <f t="shared" si="15"/>
        <v>165823306590.9375</v>
      </c>
      <c r="EK26" s="111">
        <f t="shared" si="15"/>
        <v>205032320396.4375</v>
      </c>
      <c r="EL26" s="111">
        <f t="shared" si="15"/>
        <v>212114041927.75</v>
      </c>
      <c r="EM26" s="111">
        <f t="shared" si="15"/>
        <v>197827952637.5625</v>
      </c>
      <c r="EN26" s="111">
        <f t="shared" si="15"/>
        <v>246238940781.25</v>
      </c>
      <c r="EO26" s="111">
        <f t="shared" si="15"/>
        <v>318049652599.875</v>
      </c>
      <c r="EP26" s="111">
        <f t="shared" si="15"/>
        <v>536296478783.625</v>
      </c>
      <c r="EQ26" s="111">
        <f t="shared" si="15"/>
        <v>638676737819.5</v>
      </c>
      <c r="ER26" s="111">
        <f t="shared" si="15"/>
        <v>872372991418.125</v>
      </c>
      <c r="ES26" s="111">
        <f t="shared" si="15"/>
        <v>1096369662080.25</v>
      </c>
      <c r="ET26" s="104"/>
    </row>
    <row r="27" spans="2:150" x14ac:dyDescent="0.35">
      <c r="B27" s="134" t="s">
        <v>158</v>
      </c>
    </row>
    <row r="28" spans="2:150" x14ac:dyDescent="0.35">
      <c r="B28" s="4"/>
    </row>
    <row r="29" spans="2:150" x14ac:dyDescent="0.35">
      <c r="C29" s="2" t="s">
        <v>132</v>
      </c>
    </row>
    <row r="30" spans="2:150" ht="13.3" thickBot="1" x14ac:dyDescent="0.4">
      <c r="C30" s="3"/>
      <c r="I30" s="4" t="s">
        <v>134</v>
      </c>
    </row>
    <row r="31" spans="2:150" x14ac:dyDescent="0.35">
      <c r="C31" s="3"/>
      <c r="I31" s="96" t="s">
        <v>119</v>
      </c>
      <c r="J31" s="115" cm="1">
        <f t="array" ref="J31">INDEX(LINEST(LN($Y$26:$ES$26),LN($Y$25:$ES$25),TRUE,TRUE),1,1)</f>
        <v>3.0693618927406607</v>
      </c>
    </row>
    <row r="32" spans="2:150" x14ac:dyDescent="0.35">
      <c r="C32" s="3"/>
      <c r="I32" s="14" t="s">
        <v>120</v>
      </c>
      <c r="J32" s="116" cm="1">
        <f t="array" ref="J32">INDEX(LINEST(LN($Y$26:$ES$26),LN($Y$25:$ES$25),TRUE,TRUE),1,2)</f>
        <v>15.204094542003133</v>
      </c>
    </row>
    <row r="33" spans="3:10" x14ac:dyDescent="0.35">
      <c r="C33" s="3"/>
      <c r="I33" s="14" t="s">
        <v>122</v>
      </c>
      <c r="J33" s="116" cm="1">
        <f t="array" ref="J33">INDEX(LINEST(LN($Y$26:$ES$26),LN($Y$25:$ES$25),TRUE,TRUE),3,1)</f>
        <v>0.91572856670241543</v>
      </c>
    </row>
    <row r="34" spans="3:10" ht="13.3" thickBot="1" x14ac:dyDescent="0.4">
      <c r="C34" s="3"/>
      <c r="I34" s="32" t="s">
        <v>121</v>
      </c>
      <c r="J34" s="117" cm="1">
        <f t="array" ref="J34">INDEX(LINEST(LN($Y$26:$ES$26),LN($Y$25:$ES$25),TRUE,TRUE),3,2)</f>
        <v>0.94684573730231958</v>
      </c>
    </row>
    <row r="35" spans="3:10" x14ac:dyDescent="0.35">
      <c r="C35" s="3"/>
      <c r="I35" s="114" t="s">
        <v>135</v>
      </c>
    </row>
    <row r="36" spans="3:10" x14ac:dyDescent="0.35">
      <c r="C36" s="3"/>
      <c r="I36" s="3"/>
      <c r="J36" s="3"/>
    </row>
    <row r="37" spans="3:10" x14ac:dyDescent="0.35">
      <c r="C37" s="3"/>
    </row>
    <row r="38" spans="3:10" x14ac:dyDescent="0.35">
      <c r="C38" s="3"/>
    </row>
    <row r="39" spans="3:10" x14ac:dyDescent="0.35">
      <c r="C39" s="3"/>
    </row>
    <row r="40" spans="3:10" x14ac:dyDescent="0.35">
      <c r="C40" s="3"/>
    </row>
    <row r="41" spans="3:10" x14ac:dyDescent="0.35">
      <c r="C41" s="3"/>
    </row>
    <row r="42" spans="3:10" x14ac:dyDescent="0.35">
      <c r="C42" s="3"/>
    </row>
    <row r="43" spans="3:10" x14ac:dyDescent="0.35">
      <c r="C43" s="3"/>
    </row>
    <row r="44" spans="3:10" x14ac:dyDescent="0.35">
      <c r="C44" s="3"/>
    </row>
    <row r="45" spans="3:10" x14ac:dyDescent="0.35">
      <c r="C45" s="3"/>
    </row>
    <row r="46" spans="3:10" x14ac:dyDescent="0.35">
      <c r="C46" s="3"/>
    </row>
    <row r="47" spans="3:10" x14ac:dyDescent="0.35">
      <c r="C47" s="3"/>
    </row>
    <row r="48" spans="3:10" x14ac:dyDescent="0.35">
      <c r="C48" s="3"/>
    </row>
    <row r="49" spans="2:218" ht="13.3" thickBot="1" x14ac:dyDescent="0.4">
      <c r="B49" s="4" t="s">
        <v>136</v>
      </c>
    </row>
    <row r="50" spans="2:218" x14ac:dyDescent="0.35">
      <c r="B50" s="112" t="s">
        <v>109</v>
      </c>
      <c r="C50" s="113">
        <v>40209</v>
      </c>
      <c r="D50" s="113">
        <v>40237</v>
      </c>
      <c r="E50" s="113">
        <v>40268</v>
      </c>
      <c r="F50" s="113">
        <v>40298</v>
      </c>
      <c r="G50" s="113">
        <v>40329</v>
      </c>
      <c r="H50" s="113">
        <v>40359</v>
      </c>
      <c r="I50" s="113">
        <v>40390</v>
      </c>
      <c r="J50" s="113">
        <v>40421</v>
      </c>
      <c r="K50" s="113">
        <v>40451</v>
      </c>
      <c r="L50" s="113">
        <v>40482</v>
      </c>
      <c r="M50" s="113">
        <v>40512</v>
      </c>
      <c r="N50" s="113">
        <v>40543</v>
      </c>
      <c r="O50" s="113">
        <v>40574</v>
      </c>
      <c r="P50" s="113">
        <v>40602</v>
      </c>
      <c r="Q50" s="113">
        <v>40633</v>
      </c>
      <c r="R50" s="113">
        <v>40663</v>
      </c>
      <c r="S50" s="113">
        <v>40694</v>
      </c>
      <c r="T50" s="113">
        <v>40724</v>
      </c>
      <c r="U50" s="113">
        <v>40755</v>
      </c>
      <c r="V50" s="113">
        <v>40786</v>
      </c>
      <c r="W50" s="113">
        <v>40816</v>
      </c>
      <c r="X50" s="113">
        <v>40847</v>
      </c>
      <c r="Y50" s="113">
        <v>40877</v>
      </c>
      <c r="Z50" s="113">
        <v>40908</v>
      </c>
      <c r="AA50" s="113">
        <v>40939</v>
      </c>
      <c r="AB50" s="113">
        <v>40968</v>
      </c>
      <c r="AC50" s="113">
        <v>40999</v>
      </c>
      <c r="AD50" s="113">
        <v>41029</v>
      </c>
      <c r="AE50" s="113">
        <v>41060</v>
      </c>
      <c r="AF50" s="113">
        <v>41090</v>
      </c>
      <c r="AG50" s="113">
        <v>41121</v>
      </c>
      <c r="AH50" s="113">
        <v>41152</v>
      </c>
      <c r="AI50" s="113">
        <v>41182</v>
      </c>
      <c r="AJ50" s="113">
        <v>41213</v>
      </c>
      <c r="AK50" s="113">
        <v>41243</v>
      </c>
      <c r="AL50" s="113">
        <v>41274</v>
      </c>
      <c r="AM50" s="113">
        <v>41305</v>
      </c>
      <c r="AN50" s="113">
        <v>41333</v>
      </c>
      <c r="AO50" s="113">
        <v>41364</v>
      </c>
      <c r="AP50" s="113">
        <v>41394</v>
      </c>
      <c r="AQ50" s="113">
        <v>41425</v>
      </c>
      <c r="AR50" s="113">
        <v>41455</v>
      </c>
      <c r="AS50" s="113">
        <v>41486</v>
      </c>
      <c r="AT50" s="113">
        <v>41517</v>
      </c>
      <c r="AU50" s="113">
        <v>41547</v>
      </c>
      <c r="AV50" s="113">
        <v>41578</v>
      </c>
      <c r="AW50" s="113">
        <v>41608</v>
      </c>
      <c r="AX50" s="113">
        <v>41639</v>
      </c>
      <c r="AY50" s="113">
        <v>41670</v>
      </c>
      <c r="AZ50" s="113">
        <v>41698</v>
      </c>
      <c r="BA50" s="113">
        <v>41729</v>
      </c>
      <c r="BB50" s="113">
        <v>41759</v>
      </c>
      <c r="BC50" s="113">
        <v>41790</v>
      </c>
      <c r="BD50" s="113">
        <v>41820</v>
      </c>
      <c r="BE50" s="113">
        <v>41851</v>
      </c>
      <c r="BF50" s="113">
        <v>41882</v>
      </c>
      <c r="BG50" s="113">
        <v>41912</v>
      </c>
      <c r="BH50" s="113">
        <v>41943</v>
      </c>
      <c r="BI50" s="113">
        <v>41973</v>
      </c>
      <c r="BJ50" s="113">
        <v>42004</v>
      </c>
      <c r="BK50" s="113">
        <v>42035</v>
      </c>
      <c r="BL50" s="113">
        <v>42063</v>
      </c>
      <c r="BM50" s="113">
        <v>42094</v>
      </c>
      <c r="BN50" s="113">
        <v>42124</v>
      </c>
      <c r="BO50" s="113">
        <v>42155</v>
      </c>
      <c r="BP50" s="113">
        <v>42185</v>
      </c>
      <c r="BQ50" s="113">
        <v>42216</v>
      </c>
      <c r="BR50" s="113">
        <v>42247</v>
      </c>
      <c r="BS50" s="113">
        <v>42277</v>
      </c>
      <c r="BT50" s="113">
        <v>42308</v>
      </c>
      <c r="BU50" s="113">
        <v>42338</v>
      </c>
      <c r="BV50" s="113">
        <v>42369</v>
      </c>
      <c r="BW50" s="113">
        <v>42400</v>
      </c>
      <c r="BX50" s="113">
        <v>42429</v>
      </c>
      <c r="BY50" s="113">
        <v>42460</v>
      </c>
      <c r="BZ50" s="113">
        <v>42490</v>
      </c>
      <c r="CA50" s="113">
        <v>42521</v>
      </c>
      <c r="CB50" s="113">
        <v>42551</v>
      </c>
      <c r="CC50" s="113">
        <v>42582</v>
      </c>
      <c r="CD50" s="113">
        <v>42613</v>
      </c>
      <c r="CE50" s="113">
        <v>42643</v>
      </c>
      <c r="CF50" s="113">
        <v>42674</v>
      </c>
      <c r="CG50" s="113">
        <v>42704</v>
      </c>
      <c r="CH50" s="113">
        <v>42735</v>
      </c>
      <c r="CI50" s="113">
        <v>42766</v>
      </c>
      <c r="CJ50" s="113">
        <v>42794</v>
      </c>
      <c r="CK50" s="113">
        <v>42825</v>
      </c>
      <c r="CL50" s="113">
        <v>42855</v>
      </c>
      <c r="CM50" s="113">
        <v>42886</v>
      </c>
      <c r="CN50" s="113">
        <v>42916</v>
      </c>
      <c r="CO50" s="113">
        <v>42947</v>
      </c>
      <c r="CP50" s="113">
        <v>42978</v>
      </c>
      <c r="CQ50" s="113">
        <v>43008</v>
      </c>
      <c r="CR50" s="113">
        <v>43039</v>
      </c>
      <c r="CS50" s="113">
        <v>43069</v>
      </c>
      <c r="CT50" s="113">
        <v>43100</v>
      </c>
      <c r="CU50" s="113">
        <v>43131</v>
      </c>
      <c r="CV50" s="113">
        <v>43159</v>
      </c>
      <c r="CW50" s="113">
        <v>43190</v>
      </c>
      <c r="CX50" s="113">
        <v>43220</v>
      </c>
      <c r="CY50" s="113">
        <v>43251</v>
      </c>
      <c r="CZ50" s="113">
        <v>43281</v>
      </c>
      <c r="DA50" s="113">
        <v>43312</v>
      </c>
      <c r="DB50" s="113">
        <v>43343</v>
      </c>
      <c r="DC50" s="113">
        <v>43373</v>
      </c>
      <c r="DD50" s="113">
        <v>43404</v>
      </c>
      <c r="DE50" s="113">
        <v>43434</v>
      </c>
      <c r="DF50" s="113">
        <v>43465</v>
      </c>
      <c r="DG50" s="113">
        <v>43496</v>
      </c>
      <c r="DH50" s="113">
        <v>43524</v>
      </c>
      <c r="DI50" s="113">
        <v>43555</v>
      </c>
      <c r="DJ50" s="113">
        <v>43585</v>
      </c>
      <c r="DK50" s="113">
        <v>43616</v>
      </c>
      <c r="DL50" s="113">
        <v>43646</v>
      </c>
      <c r="DM50" s="113">
        <v>43677</v>
      </c>
      <c r="DN50" s="113">
        <v>43708</v>
      </c>
      <c r="DO50" s="113">
        <v>43738</v>
      </c>
      <c r="DP50" s="113">
        <v>43769</v>
      </c>
      <c r="DQ50" s="113">
        <v>43799</v>
      </c>
      <c r="DR50" s="113">
        <v>43830</v>
      </c>
      <c r="DS50" s="113">
        <v>43861</v>
      </c>
      <c r="DT50" s="113">
        <v>43890</v>
      </c>
      <c r="DU50" s="113">
        <v>43921</v>
      </c>
      <c r="DV50" s="113">
        <v>43951</v>
      </c>
      <c r="DW50" s="113">
        <v>43982</v>
      </c>
      <c r="DX50" s="113">
        <v>44012</v>
      </c>
      <c r="DY50" s="113">
        <v>44043</v>
      </c>
      <c r="DZ50" s="113">
        <v>44074</v>
      </c>
      <c r="EA50" s="113">
        <v>44104</v>
      </c>
      <c r="EB50" s="113">
        <v>44135</v>
      </c>
      <c r="EC50" s="113">
        <v>44165</v>
      </c>
      <c r="ED50" s="113">
        <v>44196</v>
      </c>
      <c r="EE50" s="113">
        <v>44227</v>
      </c>
      <c r="EF50" s="113">
        <v>44255</v>
      </c>
      <c r="EG50" s="113">
        <v>44286</v>
      </c>
      <c r="EH50" s="113">
        <v>44316</v>
      </c>
      <c r="EI50" s="113">
        <v>44347</v>
      </c>
      <c r="EJ50" s="113">
        <v>44377</v>
      </c>
      <c r="EK50" s="113">
        <v>44408</v>
      </c>
      <c r="EL50" s="113">
        <v>44439</v>
      </c>
      <c r="EM50" s="113">
        <v>44469</v>
      </c>
      <c r="EN50" s="113">
        <v>44500</v>
      </c>
      <c r="EO50" s="113">
        <v>44530</v>
      </c>
      <c r="EP50" s="113">
        <v>44561</v>
      </c>
      <c r="EQ50" s="113">
        <v>44592</v>
      </c>
      <c r="ER50" s="113">
        <v>44620</v>
      </c>
      <c r="ES50" s="113">
        <v>44651</v>
      </c>
      <c r="ET50" s="113">
        <v>44681</v>
      </c>
      <c r="EU50" s="113">
        <v>44712</v>
      </c>
      <c r="EV50" s="113">
        <v>44742</v>
      </c>
      <c r="EW50" s="113">
        <v>44773</v>
      </c>
      <c r="EX50" s="113">
        <v>44804</v>
      </c>
      <c r="EY50" s="113">
        <v>44834</v>
      </c>
      <c r="EZ50" s="113">
        <v>44865</v>
      </c>
      <c r="FA50" s="113">
        <v>44895</v>
      </c>
      <c r="FB50" s="113">
        <v>44926</v>
      </c>
      <c r="FC50" s="113">
        <v>44957</v>
      </c>
      <c r="FD50" s="113">
        <v>44985</v>
      </c>
      <c r="FE50" s="113">
        <v>45016</v>
      </c>
      <c r="FF50" s="113">
        <v>45046</v>
      </c>
      <c r="FG50" s="113">
        <v>45077</v>
      </c>
      <c r="FH50" s="113">
        <v>45107</v>
      </c>
      <c r="FI50" s="113">
        <v>45138</v>
      </c>
      <c r="FJ50" s="113">
        <v>45169</v>
      </c>
      <c r="FK50" s="113">
        <v>45199</v>
      </c>
      <c r="FL50" s="113">
        <v>45230</v>
      </c>
      <c r="FM50" s="113">
        <v>45260</v>
      </c>
      <c r="FN50" s="113">
        <v>45291</v>
      </c>
      <c r="FO50" s="113">
        <v>45322</v>
      </c>
      <c r="FP50" s="113">
        <v>45351</v>
      </c>
      <c r="FQ50" s="113">
        <v>45382</v>
      </c>
      <c r="FR50" s="113">
        <v>45412</v>
      </c>
      <c r="FS50" s="113">
        <v>45443</v>
      </c>
      <c r="FT50" s="113">
        <v>45473</v>
      </c>
      <c r="FU50" s="113">
        <v>45504</v>
      </c>
      <c r="FV50" s="113">
        <v>45535</v>
      </c>
      <c r="FW50" s="113">
        <v>45565</v>
      </c>
      <c r="FX50" s="113">
        <v>45596</v>
      </c>
      <c r="FY50" s="113">
        <v>45626</v>
      </c>
      <c r="FZ50" s="113">
        <v>45657</v>
      </c>
      <c r="GA50" s="113">
        <v>45688</v>
      </c>
      <c r="GB50" s="113">
        <v>45716</v>
      </c>
      <c r="GC50" s="113">
        <v>45747</v>
      </c>
      <c r="GD50" s="113">
        <v>45777</v>
      </c>
      <c r="GE50" s="113">
        <v>45808</v>
      </c>
      <c r="GF50" s="113">
        <v>45838</v>
      </c>
      <c r="GG50" s="113">
        <v>45869</v>
      </c>
      <c r="GH50" s="113">
        <v>45900</v>
      </c>
      <c r="GI50" s="113">
        <v>45930</v>
      </c>
      <c r="GJ50" s="113">
        <v>45961</v>
      </c>
      <c r="GK50" s="113">
        <v>45991</v>
      </c>
      <c r="GL50" s="113">
        <v>46022</v>
      </c>
      <c r="GM50" s="113">
        <v>46053</v>
      </c>
      <c r="GN50" s="113">
        <v>46081</v>
      </c>
      <c r="GO50" s="113">
        <v>46112</v>
      </c>
      <c r="GP50" s="113">
        <v>46142</v>
      </c>
      <c r="GQ50" s="113">
        <v>46173</v>
      </c>
      <c r="GR50" s="113">
        <v>46203</v>
      </c>
      <c r="GS50" s="113">
        <v>46234</v>
      </c>
      <c r="GT50" s="113">
        <v>46265</v>
      </c>
      <c r="GU50" s="113">
        <v>46295</v>
      </c>
      <c r="GV50" s="113">
        <v>46326</v>
      </c>
      <c r="GW50" s="113">
        <v>46356</v>
      </c>
      <c r="GX50" s="113">
        <v>46387</v>
      </c>
      <c r="GY50" s="113">
        <v>46418</v>
      </c>
      <c r="GZ50" s="113">
        <v>46446</v>
      </c>
      <c r="HA50" s="113">
        <v>46477</v>
      </c>
      <c r="HB50" s="113">
        <v>46507</v>
      </c>
      <c r="HC50" s="113">
        <v>46538</v>
      </c>
      <c r="HD50" s="113">
        <v>46568</v>
      </c>
      <c r="HE50" s="113">
        <v>46599</v>
      </c>
      <c r="HF50" s="113">
        <v>46630</v>
      </c>
      <c r="HG50" s="113">
        <v>46660</v>
      </c>
      <c r="HH50" s="113">
        <v>46691</v>
      </c>
      <c r="HI50" s="113">
        <v>46721</v>
      </c>
      <c r="HJ50" s="113">
        <v>46752</v>
      </c>
    </row>
    <row r="51" spans="2:218" ht="14.15" x14ac:dyDescent="0.35">
      <c r="B51" s="3" t="s">
        <v>422</v>
      </c>
      <c r="C51" s="100">
        <f>INDEX(BTCUSD!$M:$M,MATCH(C$50,BTCUSD!$L:$L,0))</f>
        <v>8.9229716227018301</v>
      </c>
      <c r="D51" s="100">
        <f>INDEX(BTCUSD!$M:$M,MATCH(D$50,BTCUSD!$L:$L,0))</f>
        <v>7.1934856326967598</v>
      </c>
      <c r="E51" s="100">
        <f>INDEX(BTCUSD!$M:$M,MATCH(E$50,BTCUSD!$L:$L,0))</f>
        <v>8.5847593411523402</v>
      </c>
      <c r="F51" s="100">
        <f>INDEX(BTCUSD!$M:$M,MATCH(F$50,BTCUSD!$L:$L,0))</f>
        <v>7.7426078642285097</v>
      </c>
      <c r="G51" s="100">
        <f>INDEX(BTCUSD!$M:$M,MATCH(G$50,BTCUSD!$L:$L,0))</f>
        <v>9.0399696356275303</v>
      </c>
      <c r="H51" s="100">
        <f>INDEX(BTCUSD!$M:$M,MATCH(H$50,BTCUSD!$L:$L,0))</f>
        <v>9.0999016715830798</v>
      </c>
      <c r="I51" s="100">
        <f>INDEX(BTCUSD!$M:$M,MATCH(I$50,BTCUSD!$L:$L,0))</f>
        <v>5.6702962962962902</v>
      </c>
      <c r="J51" s="100">
        <f>INDEX(BTCUSD!$M:$M,MATCH(J$50,BTCUSD!$L:$L,0))</f>
        <v>7.4202099955673697</v>
      </c>
      <c r="K51" s="100">
        <f>INDEX(BTCUSD!$M:$M,MATCH(K$50,BTCUSD!$L:$L,0))</f>
        <v>7.7908926961226301</v>
      </c>
      <c r="L51" s="100">
        <f>INDEX(BTCUSD!$M:$M,MATCH(L$50,BTCUSD!$L:$L,0))</f>
        <v>7.5706785411365498</v>
      </c>
      <c r="M51" s="100">
        <f>INDEX(BTCUSD!$M:$M,MATCH(M$50,BTCUSD!$L:$L,0))</f>
        <v>7.3097534833869204</v>
      </c>
      <c r="N51" s="100">
        <f>INDEX(BTCUSD!$M:$M,MATCH(N$50,BTCUSD!$L:$L,0))</f>
        <v>7.9627258678078903</v>
      </c>
      <c r="O51" s="100">
        <f>INDEX(BTCUSD!$M:$M,MATCH(O$50,BTCUSD!$L:$L,0))</f>
        <v>8.6475489246270101</v>
      </c>
      <c r="P51" s="100">
        <f>INDEX(BTCUSD!$M:$M,MATCH(P$50,BTCUSD!$L:$L,0))</f>
        <v>7.24241525931249</v>
      </c>
      <c r="Q51" s="100">
        <f>INDEX(BTCUSD!$M:$M,MATCH(Q$50,BTCUSD!$L:$L,0))</f>
        <v>9.1065653474772201</v>
      </c>
      <c r="R51" s="100">
        <f>INDEX(BTCUSD!$M:$M,MATCH(R$50,BTCUSD!$L:$L,0))</f>
        <v>8.4947851153039799</v>
      </c>
      <c r="S51" s="100">
        <f>INDEX(BTCUSD!$M:$M,MATCH(S$50,BTCUSD!$L:$L,0))</f>
        <v>6.6241034772715999</v>
      </c>
      <c r="T51" s="100">
        <f>INDEX(BTCUSD!$M:$M,MATCH(T$50,BTCUSD!$L:$L,0))</f>
        <v>6.9035672421142298</v>
      </c>
      <c r="U51" s="100">
        <f>INDEX(BTCUSD!$M:$M,MATCH(U$50,BTCUSD!$L:$L,0))</f>
        <v>9.0866910866910793</v>
      </c>
      <c r="V51" s="100">
        <f>INDEX(BTCUSD!$M:$M,MATCH(V$50,BTCUSD!$L:$L,0))</f>
        <v>10.2049394008689</v>
      </c>
      <c r="W51" s="100">
        <f>INDEX(BTCUSD!$M:$M,MATCH(W$50,BTCUSD!$L:$L,0))</f>
        <v>10.390690401732</v>
      </c>
      <c r="X51" s="100">
        <f>INDEX(BTCUSD!$M:$M,MATCH(X$50,BTCUSD!$L:$L,0))</f>
        <v>11.911723126166899</v>
      </c>
      <c r="Y51" s="100">
        <f>INDEX(BTCUSD!$M:$M,MATCH(Y$50,BTCUSD!$L:$L,0))</f>
        <v>10.4430223189106</v>
      </c>
      <c r="Z51" s="100">
        <f>INDEX(BTCUSD!$M:$M,MATCH(Z$50,BTCUSD!$L:$L,0))</f>
        <v>9.7358306070519802</v>
      </c>
      <c r="AA51" s="100">
        <f>INDEX(BTCUSD!$M:$M,MATCH(AA$50,BTCUSD!$L:$L,0))</f>
        <v>9.4085827712197805</v>
      </c>
      <c r="AB51" s="100">
        <f>INDEX(BTCUSD!$M:$M,MATCH(AB$50,BTCUSD!$L:$L,0))</f>
        <v>9.5905128205128207</v>
      </c>
      <c r="AC51" s="100">
        <f>INDEX(BTCUSD!$M:$M,MATCH(AC$50,BTCUSD!$L:$L,0))</f>
        <v>9.5609695152423697</v>
      </c>
      <c r="AD51" s="100">
        <f>INDEX(BTCUSD!$M:$M,MATCH(AD$50,BTCUSD!$L:$L,0))</f>
        <v>10.260479018210599</v>
      </c>
      <c r="AE51" s="100">
        <f>INDEX(BTCUSD!$M:$M,MATCH(AE$50,BTCUSD!$L:$L,0))</f>
        <v>10.1112331974022</v>
      </c>
      <c r="AF51" s="100">
        <f>INDEX(BTCUSD!$M:$M,MATCH(AF$50,BTCUSD!$L:$L,0))</f>
        <v>9.52748254318265</v>
      </c>
      <c r="AG51" s="100">
        <f>INDEX(BTCUSD!$M:$M,MATCH(AG$50,BTCUSD!$L:$L,0))</f>
        <v>9.3527131782945698</v>
      </c>
      <c r="AH51" s="100">
        <f>INDEX(BTCUSD!$M:$M,MATCH(AH$50,BTCUSD!$L:$L,0))</f>
        <v>9.1498736079797691</v>
      </c>
      <c r="AI51" s="100">
        <f>INDEX(BTCUSD!$M:$M,MATCH(AI$50,BTCUSD!$L:$L,0))</f>
        <v>9.19907703230386</v>
      </c>
      <c r="AJ51" s="100">
        <f>INDEX(BTCUSD!$M:$M,MATCH(AJ$50,BTCUSD!$L:$L,0))</f>
        <v>9.6897533275462902</v>
      </c>
      <c r="AK51" s="100">
        <f>INDEX(BTCUSD!$M:$M,MATCH(AK$50,BTCUSD!$L:$L,0))</f>
        <v>9.7441172045437394</v>
      </c>
      <c r="AL51" s="100">
        <f>INDEX(BTCUSD!$M:$M,MATCH(AL$50,BTCUSD!$L:$L,0))</f>
        <v>10.6005973573858</v>
      </c>
      <c r="AM51" s="100">
        <f>INDEX(BTCUSD!$M:$M,MATCH(AM$50,BTCUSD!$L:$L,0))</f>
        <v>10.046650915091501</v>
      </c>
      <c r="AN51" s="100">
        <f>INDEX(BTCUSD!$M:$M,MATCH(AN$50,BTCUSD!$L:$L,0))</f>
        <v>8.6544654358093602</v>
      </c>
      <c r="AO51" s="100">
        <f>INDEX(BTCUSD!$M:$M,MATCH(AO$50,BTCUSD!$L:$L,0))</f>
        <v>8.3556990454800601</v>
      </c>
      <c r="AP51" s="100">
        <f>INDEX(BTCUSD!$M:$M,MATCH(AP$50,BTCUSD!$L:$L,0))</f>
        <v>8.6978961143547409</v>
      </c>
      <c r="AQ51" s="100">
        <f>INDEX(BTCUSD!$M:$M,MATCH(AQ$50,BTCUSD!$L:$L,0))</f>
        <v>8.9685218672560403</v>
      </c>
      <c r="AR51" s="100">
        <f>INDEX(BTCUSD!$M:$M,MATCH(AR$50,BTCUSD!$L:$L,0))</f>
        <v>8.2945724526369595</v>
      </c>
      <c r="AS51" s="100">
        <f>INDEX(BTCUSD!$M:$M,MATCH(AS$50,BTCUSD!$L:$L,0))</f>
        <v>8.3175582479030705</v>
      </c>
      <c r="AT51" s="100">
        <f>INDEX(BTCUSD!$M:$M,MATCH(AT$50,BTCUSD!$L:$L,0))</f>
        <v>7.6495174461766799</v>
      </c>
      <c r="AU51" s="100">
        <f>INDEX(BTCUSD!$M:$M,MATCH(AU$50,BTCUSD!$L:$L,0))</f>
        <v>7.6790030211480298</v>
      </c>
      <c r="AV51" s="100">
        <f>INDEX(BTCUSD!$M:$M,MATCH(AV$50,BTCUSD!$L:$L,0))</f>
        <v>7.20126902188525</v>
      </c>
      <c r="AW51" s="100">
        <f>INDEX(BTCUSD!$M:$M,MATCH(AW$50,BTCUSD!$L:$L,0))</f>
        <v>8.30306561376476</v>
      </c>
      <c r="AX51" s="100">
        <f>INDEX(BTCUSD!$M:$M,MATCH(AX$50,BTCUSD!$L:$L,0))</f>
        <v>7.9625415479582102</v>
      </c>
      <c r="AY51" s="100">
        <f>INDEX(BTCUSD!$M:$M,MATCH(AY$50,BTCUSD!$L:$L,0))</f>
        <v>8.1604928118908298</v>
      </c>
      <c r="AZ51" s="100">
        <f>INDEX(BTCUSD!$M:$M,MATCH(AZ$50,BTCUSD!$L:$L,0))</f>
        <v>8.2233510131918894</v>
      </c>
      <c r="BA51" s="100">
        <f>INDEX(BTCUSD!$M:$M,MATCH(BA$50,BTCUSD!$L:$L,0))</f>
        <v>8.7309016233131196</v>
      </c>
      <c r="BB51" s="100">
        <f>INDEX(BTCUSD!$M:$M,MATCH(BB$50,BTCUSD!$L:$L,0))</f>
        <v>8.5893770709078794</v>
      </c>
      <c r="BC51" s="100">
        <f>INDEX(BTCUSD!$M:$M,MATCH(BC$50,BTCUSD!$L:$L,0))</f>
        <v>8.8582126083217503</v>
      </c>
      <c r="BD51" s="100">
        <f>INDEX(BTCUSD!$M:$M,MATCH(BD$50,BTCUSD!$L:$L,0))</f>
        <v>8.4351236979166604</v>
      </c>
      <c r="BE51" s="100">
        <f>INDEX(BTCUSD!$M:$M,MATCH(BE$50,BTCUSD!$L:$L,0))</f>
        <v>9.4373485488870106</v>
      </c>
      <c r="BF51" s="100">
        <f>INDEX(BTCUSD!$M:$M,MATCH(BF$50,BTCUSD!$L:$L,0))</f>
        <v>8.7050256810350408</v>
      </c>
      <c r="BG51" s="100">
        <f>INDEX(BTCUSD!$M:$M,MATCH(BG$50,BTCUSD!$L:$L,0))</f>
        <v>9.1172365273673801</v>
      </c>
      <c r="BH51" s="100">
        <f>INDEX(BTCUSD!$M:$M,MATCH(BH$50,BTCUSD!$L:$L,0))</f>
        <v>9.5608815132048495</v>
      </c>
      <c r="BI51" s="100">
        <f>INDEX(BTCUSD!$M:$M,MATCH(BI$50,BTCUSD!$L:$L,0))</f>
        <v>9.7648734177215193</v>
      </c>
      <c r="BJ51" s="100">
        <f>INDEX(BTCUSD!$M:$M,MATCH(BJ$50,BTCUSD!$L:$L,0))</f>
        <v>9.9248258485252698</v>
      </c>
      <c r="BK51" s="100">
        <f>INDEX(BTCUSD!$M:$M,MATCH(BK$50,BTCUSD!$L:$L,0))</f>
        <v>9.8510556904288897</v>
      </c>
      <c r="BL51" s="100">
        <f>INDEX(BTCUSD!$M:$M,MATCH(BL$50,BTCUSD!$L:$L,0))</f>
        <v>9.5554317768823491</v>
      </c>
      <c r="BM51" s="100">
        <f>INDEX(BTCUSD!$M:$M,MATCH(BM$50,BTCUSD!$L:$L,0))</f>
        <v>9.8116860763202194</v>
      </c>
      <c r="BN51" s="100">
        <f>INDEX(BTCUSD!$M:$M,MATCH(BN$50,BTCUSD!$L:$L,0))</f>
        <v>10.152805202946199</v>
      </c>
      <c r="BO51" s="100">
        <f>INDEX(BTCUSD!$M:$M,MATCH(BO$50,BTCUSD!$L:$L,0))</f>
        <v>9.9998021649869298</v>
      </c>
      <c r="BP51" s="100">
        <f>INDEX(BTCUSD!$M:$M,MATCH(BP$50,BTCUSD!$L:$L,0))</f>
        <v>9.8546135706678797</v>
      </c>
      <c r="BQ51" s="100">
        <f>INDEX(BTCUSD!$M:$M,MATCH(BQ$50,BTCUSD!$L:$L,0))</f>
        <v>9.7401156447741606</v>
      </c>
      <c r="BR51" s="100">
        <f>INDEX(BTCUSD!$M:$M,MATCH(BR$50,BTCUSD!$L:$L,0))</f>
        <v>9.7171200580340908</v>
      </c>
      <c r="BS51" s="100">
        <f>INDEX(BTCUSD!$M:$M,MATCH(BS$50,BTCUSD!$L:$L,0))</f>
        <v>9.6683598120384797</v>
      </c>
      <c r="BT51" s="100">
        <f>INDEX(BTCUSD!$M:$M,MATCH(BT$50,BTCUSD!$L:$L,0))</f>
        <v>9.7861293859649106</v>
      </c>
      <c r="BU51" s="100">
        <f>INDEX(BTCUSD!$M:$M,MATCH(BU$50,BTCUSD!$L:$L,0))</f>
        <v>9.2941707894170698</v>
      </c>
      <c r="BV51" s="100">
        <f>INDEX(BTCUSD!$M:$M,MATCH(BV$50,BTCUSD!$L:$L,0))</f>
        <v>8.8135789057870806</v>
      </c>
      <c r="BW51" s="100">
        <f>INDEX(BTCUSD!$M:$M,MATCH(BW$50,BTCUSD!$L:$L,0))</f>
        <v>9.1765529758235704</v>
      </c>
      <c r="BX51" s="100">
        <f>INDEX(BTCUSD!$M:$M,MATCH(BX$50,BTCUSD!$L:$L,0))</f>
        <v>9.1670181605155197</v>
      </c>
      <c r="BY51" s="100">
        <f>INDEX(BTCUSD!$M:$M,MATCH(BY$50,BTCUSD!$L:$L,0))</f>
        <v>9.7554572593563407</v>
      </c>
      <c r="BZ51" s="100">
        <f>INDEX(BTCUSD!$M:$M,MATCH(BZ$50,BTCUSD!$L:$L,0))</f>
        <v>9.6860731105628997</v>
      </c>
      <c r="CA51" s="100">
        <f>INDEX(BTCUSD!$M:$M,MATCH(CA$50,BTCUSD!$L:$L,0))</f>
        <v>9.6660497835497807</v>
      </c>
      <c r="CB51" s="100">
        <f>INDEX(BTCUSD!$M:$M,MATCH(CB$50,BTCUSD!$L:$L,0))</f>
        <v>9.6760022396416492</v>
      </c>
      <c r="CC51" s="100">
        <f>INDEX(BTCUSD!$M:$M,MATCH(CC$50,BTCUSD!$L:$L,0))</f>
        <v>10.224131347842601</v>
      </c>
      <c r="CD51" s="100">
        <f>INDEX(BTCUSD!$M:$M,MATCH(CD$50,BTCUSD!$L:$L,0))</f>
        <v>9.6033448053344799</v>
      </c>
      <c r="CE51" s="100">
        <f>INDEX(BTCUSD!$M:$M,MATCH(CE$50,BTCUSD!$L:$L,0))</f>
        <v>9.4987574224763502</v>
      </c>
      <c r="CF51" s="100">
        <f>INDEX(BTCUSD!$M:$M,MATCH(CF$50,BTCUSD!$L:$L,0))</f>
        <v>9.8249999999999993</v>
      </c>
      <c r="CG51" s="100">
        <f>INDEX(BTCUSD!$M:$M,MATCH(CG$50,BTCUSD!$L:$L,0))</f>
        <v>9.5730851613856203</v>
      </c>
      <c r="CH51" s="100">
        <f>INDEX(BTCUSD!$M:$M,MATCH(CH$50,BTCUSD!$L:$L,0))</f>
        <v>9.5127628587666901</v>
      </c>
      <c r="CI51" s="100">
        <f>INDEX(BTCUSD!$M:$M,MATCH(CI$50,BTCUSD!$L:$L,0))</f>
        <v>9.0903637350705697</v>
      </c>
      <c r="CJ51" s="100">
        <f>INDEX(BTCUSD!$M:$M,MATCH(CJ$50,BTCUSD!$L:$L,0))</f>
        <v>9.4751312181746901</v>
      </c>
      <c r="CK51" s="100">
        <f>INDEX(BTCUSD!$M:$M,MATCH(CK$50,BTCUSD!$L:$L,0))</f>
        <v>9.6375143926309708</v>
      </c>
      <c r="CL51" s="100">
        <f>INDEX(BTCUSD!$M:$M,MATCH(CL$50,BTCUSD!$L:$L,0))</f>
        <v>9.73431726002703</v>
      </c>
      <c r="CM51" s="100">
        <f>INDEX(BTCUSD!$M:$M,MATCH(CM$50,BTCUSD!$L:$L,0))</f>
        <v>9.2004225061830098</v>
      </c>
      <c r="CN51" s="100">
        <f>INDEX(BTCUSD!$M:$M,MATCH(CN$50,BTCUSD!$L:$L,0))</f>
        <v>9.6630284052784603</v>
      </c>
      <c r="CO51" s="100">
        <f>INDEX(BTCUSD!$M:$M,MATCH(CO$50,BTCUSD!$L:$L,0))</f>
        <v>9.1361781962068491</v>
      </c>
      <c r="CP51" s="100">
        <f>INDEX(BTCUSD!$M:$M,MATCH(CP$50,BTCUSD!$L:$L,0))</f>
        <v>10.1289453775155</v>
      </c>
      <c r="CQ51" s="100">
        <f>INDEX(BTCUSD!$M:$M,MATCH(CQ$50,BTCUSD!$L:$L,0))</f>
        <v>8.8977136972193591</v>
      </c>
      <c r="CR51" s="100">
        <f>INDEX(BTCUSD!$M:$M,MATCH(CR$50,BTCUSD!$L:$L,0))</f>
        <v>9.2680849591808503</v>
      </c>
      <c r="CS51" s="100">
        <f>INDEX(BTCUSD!$M:$M,MATCH(CS$50,BTCUSD!$L:$L,0))</f>
        <v>9.8729614388050599</v>
      </c>
      <c r="CT51" s="100">
        <f>INDEX(BTCUSD!$M:$M,MATCH(CT$50,BTCUSD!$L:$L,0))</f>
        <v>8.8777954530390399</v>
      </c>
      <c r="CU51" s="100">
        <f>INDEX(BTCUSD!$M:$M,MATCH(CU$50,BTCUSD!$L:$L,0))</f>
        <v>8.8291106276371298</v>
      </c>
      <c r="CV51" s="100">
        <f>INDEX(BTCUSD!$M:$M,MATCH(CV$50,BTCUSD!$L:$L,0))</f>
        <v>9.2311589227130497</v>
      </c>
      <c r="CW51" s="100">
        <f>INDEX(BTCUSD!$M:$M,MATCH(CW$50,BTCUSD!$L:$L,0))</f>
        <v>9.5871213748657294</v>
      </c>
      <c r="CX51" s="100">
        <f>INDEX(BTCUSD!$M:$M,MATCH(CX$50,BTCUSD!$L:$L,0))</f>
        <v>9.3717642805495291</v>
      </c>
      <c r="CY51" s="100">
        <f>INDEX(BTCUSD!$M:$M,MATCH(CY$50,BTCUSD!$L:$L,0))</f>
        <v>9.4654971380114397</v>
      </c>
      <c r="CZ51" s="100">
        <f>INDEX(BTCUSD!$M:$M,MATCH(CZ$50,BTCUSD!$L:$L,0))</f>
        <v>9.3905056871694494</v>
      </c>
      <c r="DA51" s="100">
        <f>INDEX(BTCUSD!$M:$M,MATCH(DA$50,BTCUSD!$L:$L,0))</f>
        <v>9.6080912416612794</v>
      </c>
      <c r="DB51" s="100">
        <f>INDEX(BTCUSD!$M:$M,MATCH(DB$50,BTCUSD!$L:$L,0))</f>
        <v>9.2987787954482304</v>
      </c>
      <c r="DC51" s="100">
        <f>INDEX(BTCUSD!$M:$M,MATCH(DC$50,BTCUSD!$L:$L,0))</f>
        <v>9.7711613876319703</v>
      </c>
      <c r="DD51" s="100">
        <f>INDEX(BTCUSD!$M:$M,MATCH(DD$50,BTCUSD!$L:$L,0))</f>
        <v>10.1968371774377</v>
      </c>
      <c r="DE51" s="100">
        <f>INDEX(BTCUSD!$M:$M,MATCH(DE$50,BTCUSD!$L:$L,0))</f>
        <v>11.163738913286799</v>
      </c>
      <c r="DF51" s="100">
        <f>INDEX(BTCUSD!$M:$M,MATCH(DF$50,BTCUSD!$L:$L,0))</f>
        <v>10.203405714285701</v>
      </c>
      <c r="DG51" s="100">
        <f>INDEX(BTCUSD!$M:$M,MATCH(DG$50,BTCUSD!$L:$L,0))</f>
        <v>9.8606777163904198</v>
      </c>
      <c r="DH51" s="100">
        <f>INDEX(BTCUSD!$M:$M,MATCH(DH$50,BTCUSD!$L:$L,0))</f>
        <v>9.7796525252525193</v>
      </c>
      <c r="DI51" s="100">
        <f>INDEX(BTCUSD!$M:$M,MATCH(DI$50,BTCUSD!$L:$L,0))</f>
        <v>9.8070476190476192</v>
      </c>
      <c r="DJ51" s="100">
        <f>INDEX(BTCUSD!$M:$M,MATCH(DJ$50,BTCUSD!$L:$L,0))</f>
        <v>9.9626018134316894</v>
      </c>
      <c r="DK51" s="100">
        <f>INDEX(BTCUSD!$M:$M,MATCH(DK$50,BTCUSD!$L:$L,0))</f>
        <v>9.4543105274306196</v>
      </c>
      <c r="DL51" s="100">
        <f>INDEX(BTCUSD!$M:$M,MATCH(DL$50,BTCUSD!$L:$L,0))</f>
        <v>9.5597883012465807</v>
      </c>
      <c r="DM51" s="100">
        <f>INDEX(BTCUSD!$M:$M,MATCH(DM$50,BTCUSD!$L:$L,0))</f>
        <v>9.3592452830188595</v>
      </c>
      <c r="DN51" s="100">
        <f>INDEX(BTCUSD!$M:$M,MATCH(DN$50,BTCUSD!$L:$L,0))</f>
        <v>9.5475335044197305</v>
      </c>
      <c r="DO51" s="100">
        <f>INDEX(BTCUSD!$M:$M,MATCH(DO$50,BTCUSD!$L:$L,0))</f>
        <v>9.3166019417475692</v>
      </c>
      <c r="DP51" s="100">
        <f>INDEX(BTCUSD!$M:$M,MATCH(DP$50,BTCUSD!$L:$L,0))</f>
        <v>9.8713417329796602</v>
      </c>
      <c r="DQ51" s="100">
        <f>INDEX(BTCUSD!$M:$M,MATCH(DQ$50,BTCUSD!$L:$L,0))</f>
        <v>10.1650455330507</v>
      </c>
      <c r="DR51" s="100">
        <f>INDEX(BTCUSD!$M:$M,MATCH(DR$50,BTCUSD!$L:$L,0))</f>
        <v>9.7025852704757707</v>
      </c>
      <c r="DS51" s="100">
        <f>INDEX(BTCUSD!$M:$M,MATCH(DS$50,BTCUSD!$L:$L,0))</f>
        <v>9.4260517799352694</v>
      </c>
      <c r="DT51" s="100">
        <f>INDEX(BTCUSD!$M:$M,MATCH(DT$50,BTCUSD!$L:$L,0))</f>
        <v>10.057577216205299</v>
      </c>
      <c r="DU51" s="100">
        <f>INDEX(BTCUSD!$M:$M,MATCH(DU$50,BTCUSD!$L:$L,0))</f>
        <v>10.4888432017543</v>
      </c>
      <c r="DV51" s="100">
        <f>INDEX(BTCUSD!$M:$M,MATCH(DV$50,BTCUSD!$L:$L,0))</f>
        <v>8.1416666666666604</v>
      </c>
      <c r="DW51" s="100" t="str">
        <f>INDEX(BTCUSD!$M:$M,MATCH(DW$50,BTCUSD!$L:$L,0))</f>
        <v>n/a</v>
      </c>
      <c r="DX51" s="100" t="str">
        <f>INDEX(BTCUSD!$M:$M,MATCH(DX$50,BTCUSD!$L:$L,0))</f>
        <v>n/a</v>
      </c>
      <c r="DY51" s="100" t="str">
        <f>INDEX(BTCUSD!$M:$M,MATCH(DY$50,BTCUSD!$L:$L,0))</f>
        <v>n/a</v>
      </c>
      <c r="DZ51" s="100" t="str">
        <f>INDEX(BTCUSD!$M:$M,MATCH(DZ$50,BTCUSD!$L:$L,0))</f>
        <v>n/a</v>
      </c>
      <c r="EA51" s="100" t="str">
        <f>INDEX(BTCUSD!$M:$M,MATCH(EA$50,BTCUSD!$L:$L,0))</f>
        <v>n/a</v>
      </c>
      <c r="EB51" s="100" t="str">
        <f>INDEX(BTCUSD!$M:$M,MATCH(EB$50,BTCUSD!$L:$L,0))</f>
        <v>n/a</v>
      </c>
      <c r="EC51" s="100" t="str">
        <f>INDEX(BTCUSD!$M:$M,MATCH(EC$50,BTCUSD!$L:$L,0))</f>
        <v>n/a</v>
      </c>
      <c r="ED51" s="100" t="str">
        <f>INDEX(BTCUSD!$M:$M,MATCH(ED$50,BTCUSD!$L:$L,0))</f>
        <v>n/a</v>
      </c>
      <c r="EE51" s="100" t="str">
        <f>INDEX(BTCUSD!$M:$M,MATCH(EE$50,BTCUSD!$L:$L,0))</f>
        <v>n/a</v>
      </c>
      <c r="EF51" s="100" t="str">
        <f>INDEX(BTCUSD!$M:$M,MATCH(EF$50,BTCUSD!$L:$L,0))</f>
        <v>n/a</v>
      </c>
      <c r="EG51" s="100" t="str">
        <f>INDEX(BTCUSD!$M:$M,MATCH(EG$50,BTCUSD!$L:$L,0))</f>
        <v>n/a</v>
      </c>
      <c r="EH51" s="100">
        <f>AVERAGE($C$51:$EG$51)</f>
        <v>9.2108325835322198</v>
      </c>
      <c r="EI51" s="100">
        <f>EH51</f>
        <v>9.2108325835322198</v>
      </c>
      <c r="EJ51" s="100">
        <f t="shared" ref="EJ51:GU51" si="16">EI51</f>
        <v>9.2108325835322198</v>
      </c>
      <c r="EK51" s="100">
        <f t="shared" si="16"/>
        <v>9.2108325835322198</v>
      </c>
      <c r="EL51" s="100">
        <f t="shared" si="16"/>
        <v>9.2108325835322198</v>
      </c>
      <c r="EM51" s="100">
        <f t="shared" si="16"/>
        <v>9.2108325835322198</v>
      </c>
      <c r="EN51" s="100">
        <f t="shared" si="16"/>
        <v>9.2108325835322198</v>
      </c>
      <c r="EO51" s="100">
        <f t="shared" si="16"/>
        <v>9.2108325835322198</v>
      </c>
      <c r="EP51" s="100">
        <f t="shared" si="16"/>
        <v>9.2108325835322198</v>
      </c>
      <c r="EQ51" s="100">
        <f t="shared" si="16"/>
        <v>9.2108325835322198</v>
      </c>
      <c r="ER51" s="100">
        <f t="shared" si="16"/>
        <v>9.2108325835322198</v>
      </c>
      <c r="ES51" s="100">
        <f t="shared" si="16"/>
        <v>9.2108325835322198</v>
      </c>
      <c r="ET51" s="100">
        <f t="shared" si="16"/>
        <v>9.2108325835322198</v>
      </c>
      <c r="EU51" s="100">
        <f t="shared" si="16"/>
        <v>9.2108325835322198</v>
      </c>
      <c r="EV51" s="100">
        <f t="shared" si="16"/>
        <v>9.2108325835322198</v>
      </c>
      <c r="EW51" s="100">
        <f t="shared" si="16"/>
        <v>9.2108325835322198</v>
      </c>
      <c r="EX51" s="100">
        <f t="shared" si="16"/>
        <v>9.2108325835322198</v>
      </c>
      <c r="EY51" s="100">
        <f t="shared" si="16"/>
        <v>9.2108325835322198</v>
      </c>
      <c r="EZ51" s="100">
        <f t="shared" si="16"/>
        <v>9.2108325835322198</v>
      </c>
      <c r="FA51" s="100">
        <f t="shared" si="16"/>
        <v>9.2108325835322198</v>
      </c>
      <c r="FB51" s="100">
        <f t="shared" si="16"/>
        <v>9.2108325835322198</v>
      </c>
      <c r="FC51" s="100">
        <f t="shared" si="16"/>
        <v>9.2108325835322198</v>
      </c>
      <c r="FD51" s="100">
        <f t="shared" si="16"/>
        <v>9.2108325835322198</v>
      </c>
      <c r="FE51" s="100">
        <f t="shared" si="16"/>
        <v>9.2108325835322198</v>
      </c>
      <c r="FF51" s="100">
        <f t="shared" si="16"/>
        <v>9.2108325835322198</v>
      </c>
      <c r="FG51" s="100">
        <f t="shared" si="16"/>
        <v>9.2108325835322198</v>
      </c>
      <c r="FH51" s="100">
        <f t="shared" si="16"/>
        <v>9.2108325835322198</v>
      </c>
      <c r="FI51" s="100">
        <f t="shared" si="16"/>
        <v>9.2108325835322198</v>
      </c>
      <c r="FJ51" s="100">
        <f t="shared" si="16"/>
        <v>9.2108325835322198</v>
      </c>
      <c r="FK51" s="100">
        <f t="shared" si="16"/>
        <v>9.2108325835322198</v>
      </c>
      <c r="FL51" s="100">
        <f t="shared" si="16"/>
        <v>9.2108325835322198</v>
      </c>
      <c r="FM51" s="100">
        <f t="shared" si="16"/>
        <v>9.2108325835322198</v>
      </c>
      <c r="FN51" s="100">
        <f t="shared" si="16"/>
        <v>9.2108325835322198</v>
      </c>
      <c r="FO51" s="100">
        <f t="shared" si="16"/>
        <v>9.2108325835322198</v>
      </c>
      <c r="FP51" s="100">
        <f t="shared" si="16"/>
        <v>9.2108325835322198</v>
      </c>
      <c r="FQ51" s="100">
        <f t="shared" si="16"/>
        <v>9.2108325835322198</v>
      </c>
      <c r="FR51" s="100">
        <f t="shared" si="16"/>
        <v>9.2108325835322198</v>
      </c>
      <c r="FS51" s="100">
        <f t="shared" si="16"/>
        <v>9.2108325835322198</v>
      </c>
      <c r="FT51" s="100">
        <f t="shared" si="16"/>
        <v>9.2108325835322198</v>
      </c>
      <c r="FU51" s="100">
        <f t="shared" si="16"/>
        <v>9.2108325835322198</v>
      </c>
      <c r="FV51" s="100">
        <f t="shared" si="16"/>
        <v>9.2108325835322198</v>
      </c>
      <c r="FW51" s="100">
        <f t="shared" si="16"/>
        <v>9.2108325835322198</v>
      </c>
      <c r="FX51" s="100">
        <f t="shared" si="16"/>
        <v>9.2108325835322198</v>
      </c>
      <c r="FY51" s="100">
        <f t="shared" si="16"/>
        <v>9.2108325835322198</v>
      </c>
      <c r="FZ51" s="100">
        <f t="shared" si="16"/>
        <v>9.2108325835322198</v>
      </c>
      <c r="GA51" s="100">
        <f t="shared" si="16"/>
        <v>9.2108325835322198</v>
      </c>
      <c r="GB51" s="100">
        <f t="shared" si="16"/>
        <v>9.2108325835322198</v>
      </c>
      <c r="GC51" s="100">
        <f t="shared" si="16"/>
        <v>9.2108325835322198</v>
      </c>
      <c r="GD51" s="100">
        <f t="shared" si="16"/>
        <v>9.2108325835322198</v>
      </c>
      <c r="GE51" s="100">
        <f t="shared" si="16"/>
        <v>9.2108325835322198</v>
      </c>
      <c r="GF51" s="100">
        <f t="shared" si="16"/>
        <v>9.2108325835322198</v>
      </c>
      <c r="GG51" s="100">
        <f t="shared" si="16"/>
        <v>9.2108325835322198</v>
      </c>
      <c r="GH51" s="100">
        <f t="shared" si="16"/>
        <v>9.2108325835322198</v>
      </c>
      <c r="GI51" s="100">
        <f t="shared" si="16"/>
        <v>9.2108325835322198</v>
      </c>
      <c r="GJ51" s="100">
        <f t="shared" si="16"/>
        <v>9.2108325835322198</v>
      </c>
      <c r="GK51" s="100">
        <f t="shared" si="16"/>
        <v>9.2108325835322198</v>
      </c>
      <c r="GL51" s="100">
        <f t="shared" si="16"/>
        <v>9.2108325835322198</v>
      </c>
      <c r="GM51" s="100">
        <f t="shared" si="16"/>
        <v>9.2108325835322198</v>
      </c>
      <c r="GN51" s="100">
        <f t="shared" si="16"/>
        <v>9.2108325835322198</v>
      </c>
      <c r="GO51" s="100">
        <f t="shared" si="16"/>
        <v>9.2108325835322198</v>
      </c>
      <c r="GP51" s="100">
        <f t="shared" si="16"/>
        <v>9.2108325835322198</v>
      </c>
      <c r="GQ51" s="100">
        <f t="shared" si="16"/>
        <v>9.2108325835322198</v>
      </c>
      <c r="GR51" s="100">
        <f t="shared" si="16"/>
        <v>9.2108325835322198</v>
      </c>
      <c r="GS51" s="100">
        <f t="shared" si="16"/>
        <v>9.2108325835322198</v>
      </c>
      <c r="GT51" s="100">
        <f t="shared" si="16"/>
        <v>9.2108325835322198</v>
      </c>
      <c r="GU51" s="100">
        <f t="shared" si="16"/>
        <v>9.2108325835322198</v>
      </c>
      <c r="GV51" s="100">
        <f t="shared" ref="GV51:HJ51" si="17">GU51</f>
        <v>9.2108325835322198</v>
      </c>
      <c r="GW51" s="100">
        <f t="shared" si="17"/>
        <v>9.2108325835322198</v>
      </c>
      <c r="GX51" s="100">
        <f t="shared" si="17"/>
        <v>9.2108325835322198</v>
      </c>
      <c r="GY51" s="100">
        <f t="shared" si="17"/>
        <v>9.2108325835322198</v>
      </c>
      <c r="GZ51" s="100">
        <f t="shared" si="17"/>
        <v>9.2108325835322198</v>
      </c>
      <c r="HA51" s="100">
        <f t="shared" si="17"/>
        <v>9.2108325835322198</v>
      </c>
      <c r="HB51" s="100">
        <f t="shared" si="17"/>
        <v>9.2108325835322198</v>
      </c>
      <c r="HC51" s="100">
        <f t="shared" si="17"/>
        <v>9.2108325835322198</v>
      </c>
      <c r="HD51" s="100">
        <f t="shared" si="17"/>
        <v>9.2108325835322198</v>
      </c>
      <c r="HE51" s="100">
        <f t="shared" si="17"/>
        <v>9.2108325835322198</v>
      </c>
      <c r="HF51" s="100">
        <f t="shared" si="17"/>
        <v>9.2108325835322198</v>
      </c>
      <c r="HG51" s="100">
        <f t="shared" si="17"/>
        <v>9.2108325835322198</v>
      </c>
      <c r="HH51" s="100">
        <f t="shared" si="17"/>
        <v>9.2108325835322198</v>
      </c>
      <c r="HI51" s="100">
        <f t="shared" si="17"/>
        <v>9.2108325835322198</v>
      </c>
      <c r="HJ51" s="100">
        <f t="shared" si="17"/>
        <v>9.2108325835322198</v>
      </c>
    </row>
    <row r="52" spans="2:218" x14ac:dyDescent="0.35">
      <c r="B52" s="3" t="s">
        <v>150</v>
      </c>
      <c r="C52" s="65">
        <f t="shared" ref="C52:BN52" si="18">DATEDIF(DATE(YEAR(C50),MONTH(C50),1),C50,"d")+1</f>
        <v>31</v>
      </c>
      <c r="D52" s="65">
        <f t="shared" si="18"/>
        <v>28</v>
      </c>
      <c r="E52" s="65">
        <f t="shared" si="18"/>
        <v>31</v>
      </c>
      <c r="F52" s="65">
        <f t="shared" si="18"/>
        <v>30</v>
      </c>
      <c r="G52" s="65">
        <f t="shared" si="18"/>
        <v>31</v>
      </c>
      <c r="H52" s="65">
        <f t="shared" si="18"/>
        <v>30</v>
      </c>
      <c r="I52" s="65">
        <f t="shared" si="18"/>
        <v>31</v>
      </c>
      <c r="J52" s="65">
        <f t="shared" si="18"/>
        <v>31</v>
      </c>
      <c r="K52" s="65">
        <f t="shared" si="18"/>
        <v>30</v>
      </c>
      <c r="L52" s="65">
        <f t="shared" si="18"/>
        <v>31</v>
      </c>
      <c r="M52" s="65">
        <f t="shared" si="18"/>
        <v>30</v>
      </c>
      <c r="N52" s="65">
        <f t="shared" si="18"/>
        <v>31</v>
      </c>
      <c r="O52" s="65">
        <f t="shared" si="18"/>
        <v>31</v>
      </c>
      <c r="P52" s="65">
        <f t="shared" si="18"/>
        <v>28</v>
      </c>
      <c r="Q52" s="65">
        <f t="shared" si="18"/>
        <v>31</v>
      </c>
      <c r="R52" s="65">
        <f t="shared" si="18"/>
        <v>30</v>
      </c>
      <c r="S52" s="65">
        <f t="shared" si="18"/>
        <v>31</v>
      </c>
      <c r="T52" s="65">
        <f t="shared" si="18"/>
        <v>30</v>
      </c>
      <c r="U52" s="65">
        <f t="shared" si="18"/>
        <v>31</v>
      </c>
      <c r="V52" s="65">
        <f t="shared" si="18"/>
        <v>31</v>
      </c>
      <c r="W52" s="65">
        <f t="shared" si="18"/>
        <v>30</v>
      </c>
      <c r="X52" s="65">
        <f t="shared" si="18"/>
        <v>31</v>
      </c>
      <c r="Y52" s="65">
        <f t="shared" si="18"/>
        <v>30</v>
      </c>
      <c r="Z52" s="65">
        <f t="shared" si="18"/>
        <v>31</v>
      </c>
      <c r="AA52" s="65">
        <f t="shared" si="18"/>
        <v>31</v>
      </c>
      <c r="AB52" s="65">
        <f t="shared" si="18"/>
        <v>29</v>
      </c>
      <c r="AC52" s="65">
        <f t="shared" si="18"/>
        <v>31</v>
      </c>
      <c r="AD52" s="65">
        <f t="shared" si="18"/>
        <v>30</v>
      </c>
      <c r="AE52" s="65">
        <f t="shared" si="18"/>
        <v>31</v>
      </c>
      <c r="AF52" s="65">
        <f t="shared" si="18"/>
        <v>30</v>
      </c>
      <c r="AG52" s="65">
        <f t="shared" si="18"/>
        <v>31</v>
      </c>
      <c r="AH52" s="65">
        <f t="shared" si="18"/>
        <v>31</v>
      </c>
      <c r="AI52" s="65">
        <f t="shared" si="18"/>
        <v>30</v>
      </c>
      <c r="AJ52" s="65">
        <f t="shared" si="18"/>
        <v>31</v>
      </c>
      <c r="AK52" s="65">
        <f t="shared" si="18"/>
        <v>30</v>
      </c>
      <c r="AL52" s="65">
        <f t="shared" si="18"/>
        <v>31</v>
      </c>
      <c r="AM52" s="65">
        <f t="shared" si="18"/>
        <v>31</v>
      </c>
      <c r="AN52" s="65">
        <f t="shared" si="18"/>
        <v>28</v>
      </c>
      <c r="AO52" s="65">
        <f t="shared" si="18"/>
        <v>31</v>
      </c>
      <c r="AP52" s="65">
        <f t="shared" si="18"/>
        <v>30</v>
      </c>
      <c r="AQ52" s="65">
        <f t="shared" si="18"/>
        <v>31</v>
      </c>
      <c r="AR52" s="65">
        <f t="shared" si="18"/>
        <v>30</v>
      </c>
      <c r="AS52" s="65">
        <f t="shared" si="18"/>
        <v>31</v>
      </c>
      <c r="AT52" s="65">
        <f t="shared" si="18"/>
        <v>31</v>
      </c>
      <c r="AU52" s="65">
        <f t="shared" si="18"/>
        <v>30</v>
      </c>
      <c r="AV52" s="65">
        <f t="shared" si="18"/>
        <v>31</v>
      </c>
      <c r="AW52" s="65">
        <f t="shared" si="18"/>
        <v>30</v>
      </c>
      <c r="AX52" s="65">
        <f t="shared" si="18"/>
        <v>31</v>
      </c>
      <c r="AY52" s="65">
        <f t="shared" si="18"/>
        <v>31</v>
      </c>
      <c r="AZ52" s="65">
        <f t="shared" si="18"/>
        <v>28</v>
      </c>
      <c r="BA52" s="65">
        <f t="shared" si="18"/>
        <v>31</v>
      </c>
      <c r="BB52" s="65">
        <f t="shared" si="18"/>
        <v>30</v>
      </c>
      <c r="BC52" s="65">
        <f t="shared" si="18"/>
        <v>31</v>
      </c>
      <c r="BD52" s="65">
        <f t="shared" si="18"/>
        <v>30</v>
      </c>
      <c r="BE52" s="65">
        <f t="shared" si="18"/>
        <v>31</v>
      </c>
      <c r="BF52" s="65">
        <f t="shared" si="18"/>
        <v>31</v>
      </c>
      <c r="BG52" s="65">
        <f t="shared" si="18"/>
        <v>30</v>
      </c>
      <c r="BH52" s="65">
        <f t="shared" si="18"/>
        <v>31</v>
      </c>
      <c r="BI52" s="65">
        <f t="shared" si="18"/>
        <v>30</v>
      </c>
      <c r="BJ52" s="65">
        <f t="shared" si="18"/>
        <v>31</v>
      </c>
      <c r="BK52" s="65">
        <f t="shared" si="18"/>
        <v>31</v>
      </c>
      <c r="BL52" s="65">
        <f t="shared" si="18"/>
        <v>28</v>
      </c>
      <c r="BM52" s="65">
        <f t="shared" si="18"/>
        <v>31</v>
      </c>
      <c r="BN52" s="65">
        <f t="shared" si="18"/>
        <v>30</v>
      </c>
      <c r="BO52" s="65">
        <f t="shared" ref="BO52:DZ52" si="19">DATEDIF(DATE(YEAR(BO50),MONTH(BO50),1),BO50,"d")+1</f>
        <v>31</v>
      </c>
      <c r="BP52" s="65">
        <f t="shared" si="19"/>
        <v>30</v>
      </c>
      <c r="BQ52" s="65">
        <f t="shared" si="19"/>
        <v>31</v>
      </c>
      <c r="BR52" s="65">
        <f t="shared" si="19"/>
        <v>31</v>
      </c>
      <c r="BS52" s="65">
        <f t="shared" si="19"/>
        <v>30</v>
      </c>
      <c r="BT52" s="65">
        <f t="shared" si="19"/>
        <v>31</v>
      </c>
      <c r="BU52" s="65">
        <f t="shared" si="19"/>
        <v>30</v>
      </c>
      <c r="BV52" s="65">
        <f t="shared" si="19"/>
        <v>31</v>
      </c>
      <c r="BW52" s="65">
        <f t="shared" si="19"/>
        <v>31</v>
      </c>
      <c r="BX52" s="65">
        <f t="shared" si="19"/>
        <v>29</v>
      </c>
      <c r="BY52" s="65">
        <f t="shared" si="19"/>
        <v>31</v>
      </c>
      <c r="BZ52" s="65">
        <f t="shared" si="19"/>
        <v>30</v>
      </c>
      <c r="CA52" s="65">
        <f t="shared" si="19"/>
        <v>31</v>
      </c>
      <c r="CB52" s="65">
        <f t="shared" si="19"/>
        <v>30</v>
      </c>
      <c r="CC52" s="65">
        <f t="shared" si="19"/>
        <v>31</v>
      </c>
      <c r="CD52" s="65">
        <f t="shared" si="19"/>
        <v>31</v>
      </c>
      <c r="CE52" s="65">
        <f t="shared" si="19"/>
        <v>30</v>
      </c>
      <c r="CF52" s="65">
        <f t="shared" si="19"/>
        <v>31</v>
      </c>
      <c r="CG52" s="65">
        <f t="shared" si="19"/>
        <v>30</v>
      </c>
      <c r="CH52" s="65">
        <f t="shared" si="19"/>
        <v>31</v>
      </c>
      <c r="CI52" s="65">
        <f t="shared" si="19"/>
        <v>31</v>
      </c>
      <c r="CJ52" s="65">
        <f t="shared" si="19"/>
        <v>28</v>
      </c>
      <c r="CK52" s="65">
        <f t="shared" si="19"/>
        <v>31</v>
      </c>
      <c r="CL52" s="65">
        <f t="shared" si="19"/>
        <v>30</v>
      </c>
      <c r="CM52" s="65">
        <f t="shared" si="19"/>
        <v>31</v>
      </c>
      <c r="CN52" s="65">
        <f t="shared" si="19"/>
        <v>30</v>
      </c>
      <c r="CO52" s="65">
        <f t="shared" si="19"/>
        <v>31</v>
      </c>
      <c r="CP52" s="65">
        <f t="shared" si="19"/>
        <v>31</v>
      </c>
      <c r="CQ52" s="65">
        <f t="shared" si="19"/>
        <v>30</v>
      </c>
      <c r="CR52" s="65">
        <f t="shared" si="19"/>
        <v>31</v>
      </c>
      <c r="CS52" s="65">
        <f t="shared" si="19"/>
        <v>30</v>
      </c>
      <c r="CT52" s="65">
        <f t="shared" si="19"/>
        <v>31</v>
      </c>
      <c r="CU52" s="65">
        <f t="shared" si="19"/>
        <v>31</v>
      </c>
      <c r="CV52" s="65">
        <f t="shared" si="19"/>
        <v>28</v>
      </c>
      <c r="CW52" s="65">
        <f t="shared" si="19"/>
        <v>31</v>
      </c>
      <c r="CX52" s="65">
        <f t="shared" si="19"/>
        <v>30</v>
      </c>
      <c r="CY52" s="65">
        <f t="shared" si="19"/>
        <v>31</v>
      </c>
      <c r="CZ52" s="65">
        <f t="shared" si="19"/>
        <v>30</v>
      </c>
      <c r="DA52" s="65">
        <f t="shared" si="19"/>
        <v>31</v>
      </c>
      <c r="DB52" s="65">
        <f t="shared" si="19"/>
        <v>31</v>
      </c>
      <c r="DC52" s="65">
        <f t="shared" si="19"/>
        <v>30</v>
      </c>
      <c r="DD52" s="65">
        <f t="shared" si="19"/>
        <v>31</v>
      </c>
      <c r="DE52" s="65">
        <f t="shared" si="19"/>
        <v>30</v>
      </c>
      <c r="DF52" s="65">
        <f t="shared" si="19"/>
        <v>31</v>
      </c>
      <c r="DG52" s="65">
        <f t="shared" si="19"/>
        <v>31</v>
      </c>
      <c r="DH52" s="65">
        <f t="shared" si="19"/>
        <v>28</v>
      </c>
      <c r="DI52" s="65">
        <f t="shared" si="19"/>
        <v>31</v>
      </c>
      <c r="DJ52" s="65">
        <f t="shared" si="19"/>
        <v>30</v>
      </c>
      <c r="DK52" s="65">
        <f t="shared" si="19"/>
        <v>31</v>
      </c>
      <c r="DL52" s="65">
        <f t="shared" si="19"/>
        <v>30</v>
      </c>
      <c r="DM52" s="65">
        <f t="shared" si="19"/>
        <v>31</v>
      </c>
      <c r="DN52" s="65">
        <f t="shared" si="19"/>
        <v>31</v>
      </c>
      <c r="DO52" s="65">
        <f t="shared" si="19"/>
        <v>30</v>
      </c>
      <c r="DP52" s="65">
        <f t="shared" si="19"/>
        <v>31</v>
      </c>
      <c r="DQ52" s="65">
        <f t="shared" si="19"/>
        <v>30</v>
      </c>
      <c r="DR52" s="65">
        <f t="shared" si="19"/>
        <v>31</v>
      </c>
      <c r="DS52" s="65">
        <f t="shared" si="19"/>
        <v>31</v>
      </c>
      <c r="DT52" s="65">
        <f t="shared" si="19"/>
        <v>29</v>
      </c>
      <c r="DU52" s="65">
        <f t="shared" si="19"/>
        <v>31</v>
      </c>
      <c r="DV52" s="65">
        <f t="shared" si="19"/>
        <v>30</v>
      </c>
      <c r="DW52" s="65">
        <f t="shared" si="19"/>
        <v>31</v>
      </c>
      <c r="DX52" s="65">
        <f t="shared" si="19"/>
        <v>30</v>
      </c>
      <c r="DY52" s="65">
        <f t="shared" si="19"/>
        <v>31</v>
      </c>
      <c r="DZ52" s="65">
        <f t="shared" si="19"/>
        <v>31</v>
      </c>
      <c r="EA52" s="65">
        <f t="shared" ref="EA52:EG52" si="20">DATEDIF(DATE(YEAR(EA50),MONTH(EA50),1),EA50,"d")+1</f>
        <v>30</v>
      </c>
      <c r="EB52" s="65">
        <f t="shared" si="20"/>
        <v>31</v>
      </c>
      <c r="EC52" s="65">
        <f t="shared" si="20"/>
        <v>30</v>
      </c>
      <c r="ED52" s="65">
        <f t="shared" si="20"/>
        <v>31</v>
      </c>
      <c r="EE52" s="65">
        <f t="shared" si="20"/>
        <v>31</v>
      </c>
      <c r="EF52" s="65">
        <f t="shared" si="20"/>
        <v>28</v>
      </c>
      <c r="EG52" s="65">
        <f t="shared" si="20"/>
        <v>31</v>
      </c>
      <c r="EH52" s="156">
        <f>DATEDIF(DATE(YEAR(EH50),MONTH(EH50),1),EH50,"d")+1</f>
        <v>30</v>
      </c>
      <c r="EI52" s="65">
        <f t="shared" ref="EI52:GT52" si="21">DATEDIF(DATE(YEAR(EI50),MONTH(EI50),1),EI50,"d")+1</f>
        <v>31</v>
      </c>
      <c r="EJ52" s="65">
        <f t="shared" si="21"/>
        <v>30</v>
      </c>
      <c r="EK52" s="65">
        <f t="shared" si="21"/>
        <v>31</v>
      </c>
      <c r="EL52" s="65">
        <f t="shared" si="21"/>
        <v>31</v>
      </c>
      <c r="EM52" s="65">
        <f t="shared" si="21"/>
        <v>30</v>
      </c>
      <c r="EN52" s="65">
        <f t="shared" si="21"/>
        <v>31</v>
      </c>
      <c r="EO52" s="65">
        <f t="shared" si="21"/>
        <v>30</v>
      </c>
      <c r="EP52" s="65">
        <f t="shared" si="21"/>
        <v>31</v>
      </c>
      <c r="EQ52" s="65">
        <f t="shared" si="21"/>
        <v>31</v>
      </c>
      <c r="ER52" s="65">
        <f t="shared" si="21"/>
        <v>28</v>
      </c>
      <c r="ES52" s="65">
        <f t="shared" si="21"/>
        <v>31</v>
      </c>
      <c r="ET52" s="65">
        <f t="shared" si="21"/>
        <v>30</v>
      </c>
      <c r="EU52" s="65">
        <f t="shared" si="21"/>
        <v>31</v>
      </c>
      <c r="EV52" s="65">
        <f t="shared" si="21"/>
        <v>30</v>
      </c>
      <c r="EW52" s="65">
        <f t="shared" si="21"/>
        <v>31</v>
      </c>
      <c r="EX52" s="65">
        <f t="shared" si="21"/>
        <v>31</v>
      </c>
      <c r="EY52" s="65">
        <f t="shared" si="21"/>
        <v>30</v>
      </c>
      <c r="EZ52" s="65">
        <f t="shared" si="21"/>
        <v>31</v>
      </c>
      <c r="FA52" s="65">
        <f t="shared" si="21"/>
        <v>30</v>
      </c>
      <c r="FB52" s="65">
        <f t="shared" si="21"/>
        <v>31</v>
      </c>
      <c r="FC52" s="65">
        <f t="shared" si="21"/>
        <v>31</v>
      </c>
      <c r="FD52" s="65">
        <f t="shared" si="21"/>
        <v>28</v>
      </c>
      <c r="FE52" s="65">
        <f t="shared" si="21"/>
        <v>31</v>
      </c>
      <c r="FF52" s="65">
        <f t="shared" si="21"/>
        <v>30</v>
      </c>
      <c r="FG52" s="65">
        <f t="shared" si="21"/>
        <v>31</v>
      </c>
      <c r="FH52" s="65">
        <f t="shared" si="21"/>
        <v>30</v>
      </c>
      <c r="FI52" s="65">
        <f t="shared" si="21"/>
        <v>31</v>
      </c>
      <c r="FJ52" s="65">
        <f t="shared" si="21"/>
        <v>31</v>
      </c>
      <c r="FK52" s="65">
        <f t="shared" si="21"/>
        <v>30</v>
      </c>
      <c r="FL52" s="65">
        <f t="shared" si="21"/>
        <v>31</v>
      </c>
      <c r="FM52" s="65">
        <f t="shared" si="21"/>
        <v>30</v>
      </c>
      <c r="FN52" s="65">
        <f t="shared" si="21"/>
        <v>31</v>
      </c>
      <c r="FO52" s="65">
        <f t="shared" si="21"/>
        <v>31</v>
      </c>
      <c r="FP52" s="65">
        <f t="shared" si="21"/>
        <v>29</v>
      </c>
      <c r="FQ52" s="65">
        <f t="shared" si="21"/>
        <v>31</v>
      </c>
      <c r="FR52" s="65">
        <f t="shared" si="21"/>
        <v>30</v>
      </c>
      <c r="FS52" s="65">
        <f t="shared" si="21"/>
        <v>31</v>
      </c>
      <c r="FT52" s="65">
        <f t="shared" si="21"/>
        <v>30</v>
      </c>
      <c r="FU52" s="65">
        <f t="shared" si="21"/>
        <v>31</v>
      </c>
      <c r="FV52" s="65">
        <f t="shared" si="21"/>
        <v>31</v>
      </c>
      <c r="FW52" s="65">
        <f t="shared" si="21"/>
        <v>30</v>
      </c>
      <c r="FX52" s="65">
        <f t="shared" si="21"/>
        <v>31</v>
      </c>
      <c r="FY52" s="65">
        <f t="shared" si="21"/>
        <v>30</v>
      </c>
      <c r="FZ52" s="65">
        <f t="shared" si="21"/>
        <v>31</v>
      </c>
      <c r="GA52" s="65">
        <f t="shared" si="21"/>
        <v>31</v>
      </c>
      <c r="GB52" s="65">
        <f t="shared" si="21"/>
        <v>28</v>
      </c>
      <c r="GC52" s="65">
        <f t="shared" si="21"/>
        <v>31</v>
      </c>
      <c r="GD52" s="65">
        <f t="shared" si="21"/>
        <v>30</v>
      </c>
      <c r="GE52" s="65">
        <f t="shared" si="21"/>
        <v>31</v>
      </c>
      <c r="GF52" s="65">
        <f t="shared" si="21"/>
        <v>30</v>
      </c>
      <c r="GG52" s="65">
        <f t="shared" si="21"/>
        <v>31</v>
      </c>
      <c r="GH52" s="65">
        <f t="shared" si="21"/>
        <v>31</v>
      </c>
      <c r="GI52" s="65">
        <f t="shared" si="21"/>
        <v>30</v>
      </c>
      <c r="GJ52" s="65">
        <f t="shared" si="21"/>
        <v>31</v>
      </c>
      <c r="GK52" s="65">
        <f t="shared" si="21"/>
        <v>30</v>
      </c>
      <c r="GL52" s="65">
        <f t="shared" si="21"/>
        <v>31</v>
      </c>
      <c r="GM52" s="65">
        <f t="shared" si="21"/>
        <v>31</v>
      </c>
      <c r="GN52" s="65">
        <f t="shared" si="21"/>
        <v>28</v>
      </c>
      <c r="GO52" s="65">
        <f t="shared" si="21"/>
        <v>31</v>
      </c>
      <c r="GP52" s="65">
        <f t="shared" si="21"/>
        <v>30</v>
      </c>
      <c r="GQ52" s="65">
        <f t="shared" si="21"/>
        <v>31</v>
      </c>
      <c r="GR52" s="65">
        <f t="shared" si="21"/>
        <v>30</v>
      </c>
      <c r="GS52" s="65">
        <f t="shared" si="21"/>
        <v>31</v>
      </c>
      <c r="GT52" s="65">
        <f t="shared" si="21"/>
        <v>31</v>
      </c>
      <c r="GU52" s="65">
        <f t="shared" ref="GU52:HJ52" si="22">DATEDIF(DATE(YEAR(GU50),MONTH(GU50),1),GU50,"d")+1</f>
        <v>30</v>
      </c>
      <c r="GV52" s="65">
        <f t="shared" si="22"/>
        <v>31</v>
      </c>
      <c r="GW52" s="65">
        <f t="shared" si="22"/>
        <v>30</v>
      </c>
      <c r="GX52" s="65">
        <f t="shared" si="22"/>
        <v>31</v>
      </c>
      <c r="GY52" s="65">
        <f t="shared" si="22"/>
        <v>31</v>
      </c>
      <c r="GZ52" s="65">
        <f t="shared" si="22"/>
        <v>28</v>
      </c>
      <c r="HA52" s="65">
        <f t="shared" si="22"/>
        <v>31</v>
      </c>
      <c r="HB52" s="65">
        <f t="shared" si="22"/>
        <v>30</v>
      </c>
      <c r="HC52" s="65">
        <f t="shared" si="22"/>
        <v>31</v>
      </c>
      <c r="HD52" s="65">
        <f t="shared" si="22"/>
        <v>30</v>
      </c>
      <c r="HE52" s="65">
        <f t="shared" si="22"/>
        <v>31</v>
      </c>
      <c r="HF52" s="65">
        <f t="shared" si="22"/>
        <v>31</v>
      </c>
      <c r="HG52" s="65">
        <f t="shared" si="22"/>
        <v>30</v>
      </c>
      <c r="HH52" s="65">
        <f t="shared" si="22"/>
        <v>31</v>
      </c>
      <c r="HI52" s="65">
        <f t="shared" si="22"/>
        <v>30</v>
      </c>
      <c r="HJ52" s="65">
        <f t="shared" si="22"/>
        <v>31</v>
      </c>
    </row>
    <row r="53" spans="2:218" x14ac:dyDescent="0.35">
      <c r="B53" s="3" t="s">
        <v>149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EH53" s="85">
        <f>EH52*24*60/EH51</f>
        <v>4690.1297584363901</v>
      </c>
      <c r="EI53" s="85">
        <f t="shared" ref="EI53:EJ53" si="23">EI52*24*60/EI51</f>
        <v>4846.4674170509361</v>
      </c>
      <c r="EJ53" s="85">
        <f t="shared" si="23"/>
        <v>4690.1297584363901</v>
      </c>
      <c r="EK53" s="85">
        <f t="shared" ref="EK53:EL53" si="24">EK52*24*60/EK51</f>
        <v>4846.4674170509361</v>
      </c>
      <c r="EL53" s="85">
        <f t="shared" si="24"/>
        <v>4846.4674170509361</v>
      </c>
      <c r="EM53" s="85">
        <f t="shared" ref="EM53:EN53" si="25">EM52*24*60/EM51</f>
        <v>4690.1297584363901</v>
      </c>
      <c r="EN53" s="85">
        <f t="shared" si="25"/>
        <v>4846.4674170509361</v>
      </c>
      <c r="EO53" s="85">
        <f t="shared" ref="EO53" si="26">EO52*24*60/EO51</f>
        <v>4690.1297584363901</v>
      </c>
      <c r="EP53" s="85">
        <f t="shared" ref="EP53" si="27">EP52*24*60/EP51</f>
        <v>4846.4674170509361</v>
      </c>
      <c r="EQ53" s="85">
        <f t="shared" ref="EQ53" si="28">EQ52*24*60/EQ51</f>
        <v>4846.4674170509361</v>
      </c>
      <c r="ER53" s="85">
        <f t="shared" ref="ER53" si="29">ER52*24*60/ER51</f>
        <v>4377.4544412072974</v>
      </c>
      <c r="ES53" s="85">
        <f t="shared" ref="ES53" si="30">ES52*24*60/ES51</f>
        <v>4846.4674170509361</v>
      </c>
      <c r="ET53" s="85">
        <f t="shared" ref="ET53" si="31">ET52*24*60/ET51</f>
        <v>4690.1297584363901</v>
      </c>
      <c r="EU53" s="85">
        <f t="shared" ref="EU53" si="32">EU52*24*60/EU51</f>
        <v>4846.4674170509361</v>
      </c>
      <c r="EV53" s="85">
        <f t="shared" ref="EV53" si="33">EV52*24*60/EV51</f>
        <v>4690.1297584363901</v>
      </c>
      <c r="EW53" s="85">
        <f t="shared" ref="EW53" si="34">EW52*24*60/EW51</f>
        <v>4846.4674170509361</v>
      </c>
      <c r="EX53" s="85">
        <f t="shared" ref="EX53" si="35">EX52*24*60/EX51</f>
        <v>4846.4674170509361</v>
      </c>
      <c r="EY53" s="85">
        <f t="shared" ref="EY53" si="36">EY52*24*60/EY51</f>
        <v>4690.1297584363901</v>
      </c>
      <c r="EZ53" s="85">
        <f t="shared" ref="EZ53" si="37">EZ52*24*60/EZ51</f>
        <v>4846.4674170509361</v>
      </c>
      <c r="FA53" s="85">
        <f t="shared" ref="FA53" si="38">FA52*24*60/FA51</f>
        <v>4690.1297584363901</v>
      </c>
      <c r="FB53" s="85">
        <f t="shared" ref="FB53" si="39">FB52*24*60/FB51</f>
        <v>4846.4674170509361</v>
      </c>
      <c r="FC53" s="85">
        <f t="shared" ref="FC53" si="40">FC52*24*60/FC51</f>
        <v>4846.4674170509361</v>
      </c>
      <c r="FD53" s="85">
        <f t="shared" ref="FD53" si="41">FD52*24*60/FD51</f>
        <v>4377.4544412072974</v>
      </c>
      <c r="FE53" s="85">
        <f t="shared" ref="FE53" si="42">FE52*24*60/FE51</f>
        <v>4846.4674170509361</v>
      </c>
      <c r="FF53" s="85">
        <f t="shared" ref="FF53" si="43">FF52*24*60/FF51</f>
        <v>4690.1297584363901</v>
      </c>
      <c r="FG53" s="85">
        <f t="shared" ref="FG53" si="44">FG52*24*60/FG51</f>
        <v>4846.4674170509361</v>
      </c>
      <c r="FH53" s="85">
        <f t="shared" ref="FH53" si="45">FH52*24*60/FH51</f>
        <v>4690.1297584363901</v>
      </c>
      <c r="FI53" s="85">
        <f t="shared" ref="FI53" si="46">FI52*24*60/FI51</f>
        <v>4846.4674170509361</v>
      </c>
      <c r="FJ53" s="85">
        <f t="shared" ref="FJ53" si="47">FJ52*24*60/FJ51</f>
        <v>4846.4674170509361</v>
      </c>
      <c r="FK53" s="85">
        <f t="shared" ref="FK53" si="48">FK52*24*60/FK51</f>
        <v>4690.1297584363901</v>
      </c>
      <c r="FL53" s="85">
        <f t="shared" ref="FL53" si="49">FL52*24*60/FL51</f>
        <v>4846.4674170509361</v>
      </c>
      <c r="FM53" s="85">
        <f t="shared" ref="FM53" si="50">FM52*24*60/FM51</f>
        <v>4690.1297584363901</v>
      </c>
      <c r="FN53" s="85">
        <f t="shared" ref="FN53" si="51">FN52*24*60/FN51</f>
        <v>4846.4674170509361</v>
      </c>
      <c r="FO53" s="85">
        <f t="shared" ref="FO53" si="52">FO52*24*60/FO51</f>
        <v>4846.4674170509361</v>
      </c>
      <c r="FP53" s="85">
        <f t="shared" ref="FP53" si="53">FP52*24*60/FP51</f>
        <v>4533.7920998218433</v>
      </c>
      <c r="FQ53" s="85">
        <f t="shared" ref="FQ53" si="54">FQ52*24*60/FQ51</f>
        <v>4846.4674170509361</v>
      </c>
      <c r="FR53" s="85">
        <f t="shared" ref="FR53" si="55">FR52*24*60/FR51</f>
        <v>4690.1297584363901</v>
      </c>
      <c r="FS53" s="85">
        <f t="shared" ref="FS53" si="56">FS52*24*60/FS51</f>
        <v>4846.4674170509361</v>
      </c>
      <c r="FT53" s="85">
        <f t="shared" ref="FT53" si="57">FT52*24*60/FT51</f>
        <v>4690.1297584363901</v>
      </c>
      <c r="FU53" s="85">
        <f t="shared" ref="FU53" si="58">FU52*24*60/FU51</f>
        <v>4846.4674170509361</v>
      </c>
      <c r="FV53" s="85">
        <f t="shared" ref="FV53" si="59">FV52*24*60/FV51</f>
        <v>4846.4674170509361</v>
      </c>
      <c r="FW53" s="85">
        <f t="shared" ref="FW53" si="60">FW52*24*60/FW51</f>
        <v>4690.1297584363901</v>
      </c>
      <c r="FX53" s="85">
        <f t="shared" ref="FX53" si="61">FX52*24*60/FX51</f>
        <v>4846.4674170509361</v>
      </c>
      <c r="FY53" s="85">
        <f t="shared" ref="FY53" si="62">FY52*24*60/FY51</f>
        <v>4690.1297584363901</v>
      </c>
      <c r="FZ53" s="85">
        <f t="shared" ref="FZ53" si="63">FZ52*24*60/FZ51</f>
        <v>4846.4674170509361</v>
      </c>
      <c r="GA53" s="85">
        <f t="shared" ref="GA53" si="64">GA52*24*60/GA51</f>
        <v>4846.4674170509361</v>
      </c>
      <c r="GB53" s="85">
        <f t="shared" ref="GB53" si="65">GB52*24*60/GB51</f>
        <v>4377.4544412072974</v>
      </c>
      <c r="GC53" s="85">
        <f t="shared" ref="GC53" si="66">GC52*24*60/GC51</f>
        <v>4846.4674170509361</v>
      </c>
      <c r="GD53" s="85">
        <f t="shared" ref="GD53" si="67">GD52*24*60/GD51</f>
        <v>4690.1297584363901</v>
      </c>
      <c r="GE53" s="85">
        <f t="shared" ref="GE53" si="68">GE52*24*60/GE51</f>
        <v>4846.4674170509361</v>
      </c>
      <c r="GF53" s="85">
        <f t="shared" ref="GF53" si="69">GF52*24*60/GF51</f>
        <v>4690.1297584363901</v>
      </c>
      <c r="GG53" s="85">
        <f t="shared" ref="GG53" si="70">GG52*24*60/GG51</f>
        <v>4846.4674170509361</v>
      </c>
      <c r="GH53" s="85">
        <f t="shared" ref="GH53" si="71">GH52*24*60/GH51</f>
        <v>4846.4674170509361</v>
      </c>
      <c r="GI53" s="85">
        <f t="shared" ref="GI53" si="72">GI52*24*60/GI51</f>
        <v>4690.1297584363901</v>
      </c>
      <c r="GJ53" s="85">
        <f t="shared" ref="GJ53" si="73">GJ52*24*60/GJ51</f>
        <v>4846.4674170509361</v>
      </c>
      <c r="GK53" s="85">
        <f t="shared" ref="GK53" si="74">GK52*24*60/GK51</f>
        <v>4690.1297584363901</v>
      </c>
      <c r="GL53" s="85">
        <f t="shared" ref="GL53" si="75">GL52*24*60/GL51</f>
        <v>4846.4674170509361</v>
      </c>
      <c r="GM53" s="85">
        <f t="shared" ref="GM53" si="76">GM52*24*60/GM51</f>
        <v>4846.4674170509361</v>
      </c>
      <c r="GN53" s="85">
        <f t="shared" ref="GN53" si="77">GN52*24*60/GN51</f>
        <v>4377.4544412072974</v>
      </c>
      <c r="GO53" s="85">
        <f t="shared" ref="GO53" si="78">GO52*24*60/GO51</f>
        <v>4846.4674170509361</v>
      </c>
      <c r="GP53" s="85">
        <f t="shared" ref="GP53" si="79">GP52*24*60/GP51</f>
        <v>4690.1297584363901</v>
      </c>
      <c r="GQ53" s="85">
        <f t="shared" ref="GQ53" si="80">GQ52*24*60/GQ51</f>
        <v>4846.4674170509361</v>
      </c>
      <c r="GR53" s="85">
        <f t="shared" ref="GR53" si="81">GR52*24*60/GR51</f>
        <v>4690.1297584363901</v>
      </c>
      <c r="GS53" s="85">
        <f t="shared" ref="GS53" si="82">GS52*24*60/GS51</f>
        <v>4846.4674170509361</v>
      </c>
      <c r="GT53" s="85">
        <f t="shared" ref="GT53" si="83">GT52*24*60/GT51</f>
        <v>4846.4674170509361</v>
      </c>
      <c r="GU53" s="85">
        <f t="shared" ref="GU53" si="84">GU52*24*60/GU51</f>
        <v>4690.1297584363901</v>
      </c>
      <c r="GV53" s="85">
        <f t="shared" ref="GV53" si="85">GV52*24*60/GV51</f>
        <v>4846.4674170509361</v>
      </c>
      <c r="GW53" s="85">
        <f t="shared" ref="GW53" si="86">GW52*24*60/GW51</f>
        <v>4690.1297584363901</v>
      </c>
      <c r="GX53" s="85">
        <f t="shared" ref="GX53" si="87">GX52*24*60/GX51</f>
        <v>4846.4674170509361</v>
      </c>
      <c r="GY53" s="85">
        <f t="shared" ref="GY53" si="88">GY52*24*60/GY51</f>
        <v>4846.4674170509361</v>
      </c>
      <c r="GZ53" s="85">
        <f t="shared" ref="GZ53" si="89">GZ52*24*60/GZ51</f>
        <v>4377.4544412072974</v>
      </c>
      <c r="HA53" s="85">
        <f t="shared" ref="HA53" si="90">HA52*24*60/HA51</f>
        <v>4846.4674170509361</v>
      </c>
      <c r="HB53" s="85">
        <f t="shared" ref="HB53" si="91">HB52*24*60/HB51</f>
        <v>4690.1297584363901</v>
      </c>
      <c r="HC53" s="85">
        <f t="shared" ref="HC53" si="92">HC52*24*60/HC51</f>
        <v>4846.4674170509361</v>
      </c>
      <c r="HD53" s="85">
        <f t="shared" ref="HD53" si="93">HD52*24*60/HD51</f>
        <v>4690.1297584363901</v>
      </c>
      <c r="HE53" s="85">
        <f t="shared" ref="HE53" si="94">HE52*24*60/HE51</f>
        <v>4846.4674170509361</v>
      </c>
      <c r="HF53" s="85">
        <f t="shared" ref="HF53" si="95">HF52*24*60/HF51</f>
        <v>4846.4674170509361</v>
      </c>
      <c r="HG53" s="85">
        <f t="shared" ref="HG53" si="96">HG52*24*60/HG51</f>
        <v>4690.1297584363901</v>
      </c>
      <c r="HH53" s="85">
        <f t="shared" ref="HH53" si="97">HH52*24*60/HH51</f>
        <v>4846.4674170509361</v>
      </c>
      <c r="HI53" s="85">
        <f t="shared" ref="HI53" si="98">HI52*24*60/HI51</f>
        <v>4690.1297584363901</v>
      </c>
      <c r="HJ53" s="85">
        <f t="shared" ref="HJ53" si="99">HJ52*24*60/HJ51</f>
        <v>4846.4674170509361</v>
      </c>
    </row>
    <row r="54" spans="2:218" x14ac:dyDescent="0.35">
      <c r="B54" s="3" t="s">
        <v>143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EH54" s="65">
        <f t="shared" ref="EH54:FM54" si="100">IF(EH50&lt;$D$14,$F$13,IF(EH50&lt;$D$16,$F$14,$F$16))</f>
        <v>6.25</v>
      </c>
      <c r="EI54" s="65">
        <f t="shared" si="100"/>
        <v>6.25</v>
      </c>
      <c r="EJ54" s="65">
        <f t="shared" si="100"/>
        <v>6.25</v>
      </c>
      <c r="EK54" s="65">
        <f t="shared" si="100"/>
        <v>6.25</v>
      </c>
      <c r="EL54" s="65">
        <f t="shared" si="100"/>
        <v>6.25</v>
      </c>
      <c r="EM54" s="65">
        <f t="shared" si="100"/>
        <v>6.25</v>
      </c>
      <c r="EN54" s="65">
        <f t="shared" si="100"/>
        <v>6.25</v>
      </c>
      <c r="EO54" s="65">
        <f t="shared" si="100"/>
        <v>6.25</v>
      </c>
      <c r="EP54" s="65">
        <f t="shared" si="100"/>
        <v>6.25</v>
      </c>
      <c r="EQ54" s="65">
        <f t="shared" si="100"/>
        <v>6.25</v>
      </c>
      <c r="ER54" s="65">
        <f t="shared" si="100"/>
        <v>6.25</v>
      </c>
      <c r="ES54" s="65">
        <f t="shared" si="100"/>
        <v>6.25</v>
      </c>
      <c r="ET54" s="65">
        <f t="shared" si="100"/>
        <v>6.25</v>
      </c>
      <c r="EU54" s="65">
        <f t="shared" si="100"/>
        <v>6.25</v>
      </c>
      <c r="EV54" s="65">
        <f t="shared" si="100"/>
        <v>6.25</v>
      </c>
      <c r="EW54" s="65">
        <f t="shared" si="100"/>
        <v>6.25</v>
      </c>
      <c r="EX54" s="65">
        <f t="shared" si="100"/>
        <v>6.25</v>
      </c>
      <c r="EY54" s="65">
        <f t="shared" si="100"/>
        <v>6.25</v>
      </c>
      <c r="EZ54" s="65">
        <f t="shared" si="100"/>
        <v>6.25</v>
      </c>
      <c r="FA54" s="65">
        <f t="shared" si="100"/>
        <v>6.25</v>
      </c>
      <c r="FB54" s="65">
        <f t="shared" si="100"/>
        <v>6.25</v>
      </c>
      <c r="FC54" s="65">
        <f t="shared" si="100"/>
        <v>6.25</v>
      </c>
      <c r="FD54" s="65">
        <f t="shared" si="100"/>
        <v>6.25</v>
      </c>
      <c r="FE54" s="65">
        <f t="shared" si="100"/>
        <v>6.25</v>
      </c>
      <c r="FF54" s="65">
        <f t="shared" si="100"/>
        <v>6.25</v>
      </c>
      <c r="FG54" s="65">
        <f t="shared" si="100"/>
        <v>6.25</v>
      </c>
      <c r="FH54" s="65">
        <f t="shared" si="100"/>
        <v>6.25</v>
      </c>
      <c r="FI54" s="65">
        <f t="shared" si="100"/>
        <v>6.25</v>
      </c>
      <c r="FJ54" s="65">
        <f t="shared" si="100"/>
        <v>6.25</v>
      </c>
      <c r="FK54" s="65">
        <f t="shared" si="100"/>
        <v>6.25</v>
      </c>
      <c r="FL54" s="65">
        <f t="shared" si="100"/>
        <v>6.25</v>
      </c>
      <c r="FM54" s="65">
        <f t="shared" si="100"/>
        <v>6.25</v>
      </c>
      <c r="FN54" s="65">
        <f t="shared" ref="FN54:GS54" si="101">IF(FN50&lt;$D$14,$F$13,IF(FN50&lt;$D$16,$F$14,$F$16))</f>
        <v>6.25</v>
      </c>
      <c r="FO54" s="65">
        <f t="shared" si="101"/>
        <v>6.25</v>
      </c>
      <c r="FP54" s="65">
        <f t="shared" si="101"/>
        <v>6.25</v>
      </c>
      <c r="FQ54" s="65">
        <f t="shared" si="101"/>
        <v>3.125</v>
      </c>
      <c r="FR54" s="65">
        <f t="shared" si="101"/>
        <v>3.125</v>
      </c>
      <c r="FS54" s="65">
        <f t="shared" si="101"/>
        <v>3.125</v>
      </c>
      <c r="FT54" s="65">
        <f t="shared" si="101"/>
        <v>3.125</v>
      </c>
      <c r="FU54" s="65">
        <f t="shared" si="101"/>
        <v>3.125</v>
      </c>
      <c r="FV54" s="65">
        <f t="shared" si="101"/>
        <v>3.125</v>
      </c>
      <c r="FW54" s="65">
        <f t="shared" si="101"/>
        <v>3.125</v>
      </c>
      <c r="FX54" s="65">
        <f t="shared" si="101"/>
        <v>3.125</v>
      </c>
      <c r="FY54" s="65">
        <f t="shared" si="101"/>
        <v>3.125</v>
      </c>
      <c r="FZ54" s="65">
        <f t="shared" si="101"/>
        <v>3.125</v>
      </c>
      <c r="GA54" s="65">
        <f t="shared" si="101"/>
        <v>3.125</v>
      </c>
      <c r="GB54" s="65">
        <f t="shared" si="101"/>
        <v>3.125</v>
      </c>
      <c r="GC54" s="65">
        <f t="shared" si="101"/>
        <v>3.125</v>
      </c>
      <c r="GD54" s="65">
        <f t="shared" si="101"/>
        <v>3.125</v>
      </c>
      <c r="GE54" s="65">
        <f t="shared" si="101"/>
        <v>3.125</v>
      </c>
      <c r="GF54" s="65">
        <f t="shared" si="101"/>
        <v>3.125</v>
      </c>
      <c r="GG54" s="65">
        <f t="shared" si="101"/>
        <v>3.125</v>
      </c>
      <c r="GH54" s="65">
        <f t="shared" si="101"/>
        <v>3.125</v>
      </c>
      <c r="GI54" s="65">
        <f t="shared" si="101"/>
        <v>3.125</v>
      </c>
      <c r="GJ54" s="65">
        <f t="shared" si="101"/>
        <v>3.125</v>
      </c>
      <c r="GK54" s="65">
        <f t="shared" si="101"/>
        <v>3.125</v>
      </c>
      <c r="GL54" s="65">
        <f t="shared" si="101"/>
        <v>3.125</v>
      </c>
      <c r="GM54" s="65">
        <f t="shared" si="101"/>
        <v>3.125</v>
      </c>
      <c r="GN54" s="65">
        <f t="shared" si="101"/>
        <v>3.125</v>
      </c>
      <c r="GO54" s="65">
        <f t="shared" si="101"/>
        <v>3.125</v>
      </c>
      <c r="GP54" s="65">
        <f t="shared" si="101"/>
        <v>3.125</v>
      </c>
      <c r="GQ54" s="65">
        <f t="shared" si="101"/>
        <v>3.125</v>
      </c>
      <c r="GR54" s="65">
        <f t="shared" si="101"/>
        <v>3.125</v>
      </c>
      <c r="GS54" s="65">
        <f t="shared" si="101"/>
        <v>3.125</v>
      </c>
      <c r="GT54" s="65">
        <f t="shared" ref="GT54:HJ54" si="102">IF(GT50&lt;$D$14,$F$13,IF(GT50&lt;$D$16,$F$14,$F$16))</f>
        <v>3.125</v>
      </c>
      <c r="GU54" s="65">
        <f t="shared" si="102"/>
        <v>3.125</v>
      </c>
      <c r="GV54" s="65">
        <f t="shared" si="102"/>
        <v>3.125</v>
      </c>
      <c r="GW54" s="65">
        <f t="shared" si="102"/>
        <v>3.125</v>
      </c>
      <c r="GX54" s="65">
        <f t="shared" si="102"/>
        <v>3.125</v>
      </c>
      <c r="GY54" s="65">
        <f t="shared" si="102"/>
        <v>3.125</v>
      </c>
      <c r="GZ54" s="65">
        <f t="shared" si="102"/>
        <v>3.125</v>
      </c>
      <c r="HA54" s="65">
        <f t="shared" si="102"/>
        <v>3.125</v>
      </c>
      <c r="HB54" s="65">
        <f t="shared" si="102"/>
        <v>3.125</v>
      </c>
      <c r="HC54" s="65">
        <f t="shared" si="102"/>
        <v>3.125</v>
      </c>
      <c r="HD54" s="65">
        <f t="shared" si="102"/>
        <v>3.125</v>
      </c>
      <c r="HE54" s="65">
        <f t="shared" si="102"/>
        <v>3.125</v>
      </c>
      <c r="HF54" s="65">
        <f t="shared" si="102"/>
        <v>3.125</v>
      </c>
      <c r="HG54" s="65">
        <f t="shared" si="102"/>
        <v>3.125</v>
      </c>
      <c r="HH54" s="65">
        <f t="shared" si="102"/>
        <v>3.125</v>
      </c>
      <c r="HI54" s="65">
        <f t="shared" si="102"/>
        <v>3.125</v>
      </c>
      <c r="HJ54" s="65">
        <f t="shared" si="102"/>
        <v>3.125</v>
      </c>
    </row>
    <row r="55" spans="2:218" x14ac:dyDescent="0.35">
      <c r="B55" s="3" t="s">
        <v>424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EH55" s="85">
        <f>EH53*EH54</f>
        <v>29313.310990227437</v>
      </c>
      <c r="EI55" s="85">
        <f>EI53*EI54</f>
        <v>30290.421356568349</v>
      </c>
      <c r="EJ55" s="85">
        <f t="shared" ref="EJ55:EO55" si="103">EJ53*EJ54</f>
        <v>29313.310990227437</v>
      </c>
      <c r="EK55" s="85">
        <f t="shared" si="103"/>
        <v>30290.421356568349</v>
      </c>
      <c r="EL55" s="85">
        <f t="shared" si="103"/>
        <v>30290.421356568349</v>
      </c>
      <c r="EM55" s="85">
        <f t="shared" si="103"/>
        <v>29313.310990227437</v>
      </c>
      <c r="EN55" s="85">
        <f t="shared" si="103"/>
        <v>30290.421356568349</v>
      </c>
      <c r="EO55" s="85">
        <f t="shared" si="103"/>
        <v>29313.310990227437</v>
      </c>
      <c r="EP55" s="85">
        <f t="shared" ref="EP55" si="104">EP53*EP54</f>
        <v>30290.421356568349</v>
      </c>
      <c r="EQ55" s="85">
        <f t="shared" ref="EQ55" si="105">EQ53*EQ54</f>
        <v>30290.421356568349</v>
      </c>
      <c r="ER55" s="85">
        <f t="shared" ref="ER55" si="106">ER53*ER54</f>
        <v>27359.090257545609</v>
      </c>
      <c r="ES55" s="85">
        <f t="shared" ref="ES55" si="107">ES53*ES54</f>
        <v>30290.421356568349</v>
      </c>
      <c r="ET55" s="85">
        <f t="shared" ref="ET55" si="108">ET53*ET54</f>
        <v>29313.310990227437</v>
      </c>
      <c r="EU55" s="85">
        <f t="shared" ref="EU55" si="109">EU53*EU54</f>
        <v>30290.421356568349</v>
      </c>
      <c r="EV55" s="85">
        <f t="shared" ref="EV55" si="110">EV53*EV54</f>
        <v>29313.310990227437</v>
      </c>
      <c r="EW55" s="85">
        <f t="shared" ref="EW55" si="111">EW53*EW54</f>
        <v>30290.421356568349</v>
      </c>
      <c r="EX55" s="85">
        <f t="shared" ref="EX55" si="112">EX53*EX54</f>
        <v>30290.421356568349</v>
      </c>
      <c r="EY55" s="85">
        <f t="shared" ref="EY55" si="113">EY53*EY54</f>
        <v>29313.310990227437</v>
      </c>
      <c r="EZ55" s="85">
        <f t="shared" ref="EZ55" si="114">EZ53*EZ54</f>
        <v>30290.421356568349</v>
      </c>
      <c r="FA55" s="85">
        <f t="shared" ref="FA55" si="115">FA53*FA54</f>
        <v>29313.310990227437</v>
      </c>
      <c r="FB55" s="85">
        <f t="shared" ref="FB55" si="116">FB53*FB54</f>
        <v>30290.421356568349</v>
      </c>
      <c r="FC55" s="85">
        <f t="shared" ref="FC55" si="117">FC53*FC54</f>
        <v>30290.421356568349</v>
      </c>
      <c r="FD55" s="85">
        <f t="shared" ref="FD55" si="118">FD53*FD54</f>
        <v>27359.090257545609</v>
      </c>
      <c r="FE55" s="85">
        <f t="shared" ref="FE55" si="119">FE53*FE54</f>
        <v>30290.421356568349</v>
      </c>
      <c r="FF55" s="85">
        <f t="shared" ref="FF55" si="120">FF53*FF54</f>
        <v>29313.310990227437</v>
      </c>
      <c r="FG55" s="85">
        <f t="shared" ref="FG55" si="121">FG53*FG54</f>
        <v>30290.421356568349</v>
      </c>
      <c r="FH55" s="85">
        <f t="shared" ref="FH55" si="122">FH53*FH54</f>
        <v>29313.310990227437</v>
      </c>
      <c r="FI55" s="85">
        <f t="shared" ref="FI55" si="123">FI53*FI54</f>
        <v>30290.421356568349</v>
      </c>
      <c r="FJ55" s="85">
        <f t="shared" ref="FJ55" si="124">FJ53*FJ54</f>
        <v>30290.421356568349</v>
      </c>
      <c r="FK55" s="85">
        <f t="shared" ref="FK55" si="125">FK53*FK54</f>
        <v>29313.310990227437</v>
      </c>
      <c r="FL55" s="85">
        <f t="shared" ref="FL55" si="126">FL53*FL54</f>
        <v>30290.421356568349</v>
      </c>
      <c r="FM55" s="85">
        <f t="shared" ref="FM55" si="127">FM53*FM54</f>
        <v>29313.310990227437</v>
      </c>
      <c r="FN55" s="85">
        <f t="shared" ref="FN55" si="128">FN53*FN54</f>
        <v>30290.421356568349</v>
      </c>
      <c r="FO55" s="85">
        <f t="shared" ref="FO55" si="129">FO53*FO54</f>
        <v>30290.421356568349</v>
      </c>
      <c r="FP55" s="85">
        <f t="shared" ref="FP55" si="130">FP53*FP54</f>
        <v>28336.200623886521</v>
      </c>
      <c r="FQ55" s="85">
        <f t="shared" ref="FQ55" si="131">FQ53*FQ54</f>
        <v>15145.210678284175</v>
      </c>
      <c r="FR55" s="85">
        <f t="shared" ref="FR55" si="132">FR53*FR54</f>
        <v>14656.655495113719</v>
      </c>
      <c r="FS55" s="85">
        <f t="shared" ref="FS55" si="133">FS53*FS54</f>
        <v>15145.210678284175</v>
      </c>
      <c r="FT55" s="85">
        <f t="shared" ref="FT55" si="134">FT53*FT54</f>
        <v>14656.655495113719</v>
      </c>
      <c r="FU55" s="85">
        <f t="shared" ref="FU55" si="135">FU53*FU54</f>
        <v>15145.210678284175</v>
      </c>
      <c r="FV55" s="85">
        <f t="shared" ref="FV55" si="136">FV53*FV54</f>
        <v>15145.210678284175</v>
      </c>
      <c r="FW55" s="85">
        <f t="shared" ref="FW55" si="137">FW53*FW54</f>
        <v>14656.655495113719</v>
      </c>
      <c r="FX55" s="85">
        <f t="shared" ref="FX55" si="138">FX53*FX54</f>
        <v>15145.210678284175</v>
      </c>
      <c r="FY55" s="85">
        <f t="shared" ref="FY55" si="139">FY53*FY54</f>
        <v>14656.655495113719</v>
      </c>
      <c r="FZ55" s="85">
        <f t="shared" ref="FZ55" si="140">FZ53*FZ54</f>
        <v>15145.210678284175</v>
      </c>
      <c r="GA55" s="85">
        <f t="shared" ref="GA55" si="141">GA53*GA54</f>
        <v>15145.210678284175</v>
      </c>
      <c r="GB55" s="85">
        <f t="shared" ref="GB55" si="142">GB53*GB54</f>
        <v>13679.545128772805</v>
      </c>
      <c r="GC55" s="85">
        <f t="shared" ref="GC55" si="143">GC53*GC54</f>
        <v>15145.210678284175</v>
      </c>
      <c r="GD55" s="85">
        <f t="shared" ref="GD55" si="144">GD53*GD54</f>
        <v>14656.655495113719</v>
      </c>
      <c r="GE55" s="85">
        <f t="shared" ref="GE55" si="145">GE53*GE54</f>
        <v>15145.210678284175</v>
      </c>
      <c r="GF55" s="85">
        <f t="shared" ref="GF55" si="146">GF53*GF54</f>
        <v>14656.655495113719</v>
      </c>
      <c r="GG55" s="85">
        <f t="shared" ref="GG55" si="147">GG53*GG54</f>
        <v>15145.210678284175</v>
      </c>
      <c r="GH55" s="85">
        <f t="shared" ref="GH55" si="148">GH53*GH54</f>
        <v>15145.210678284175</v>
      </c>
      <c r="GI55" s="85">
        <f t="shared" ref="GI55" si="149">GI53*GI54</f>
        <v>14656.655495113719</v>
      </c>
      <c r="GJ55" s="85">
        <f t="shared" ref="GJ55" si="150">GJ53*GJ54</f>
        <v>15145.210678284175</v>
      </c>
      <c r="GK55" s="85">
        <f t="shared" ref="GK55" si="151">GK53*GK54</f>
        <v>14656.655495113719</v>
      </c>
      <c r="GL55" s="85">
        <f t="shared" ref="GL55" si="152">GL53*GL54</f>
        <v>15145.210678284175</v>
      </c>
      <c r="GM55" s="85">
        <f t="shared" ref="GM55" si="153">GM53*GM54</f>
        <v>15145.210678284175</v>
      </c>
      <c r="GN55" s="85">
        <f t="shared" ref="GN55" si="154">GN53*GN54</f>
        <v>13679.545128772805</v>
      </c>
      <c r="GO55" s="85">
        <f t="shared" ref="GO55" si="155">GO53*GO54</f>
        <v>15145.210678284175</v>
      </c>
      <c r="GP55" s="85">
        <f t="shared" ref="GP55" si="156">GP53*GP54</f>
        <v>14656.655495113719</v>
      </c>
      <c r="GQ55" s="85">
        <f t="shared" ref="GQ55" si="157">GQ53*GQ54</f>
        <v>15145.210678284175</v>
      </c>
      <c r="GR55" s="85">
        <f t="shared" ref="GR55" si="158">GR53*GR54</f>
        <v>14656.655495113719</v>
      </c>
      <c r="GS55" s="85">
        <f t="shared" ref="GS55" si="159">GS53*GS54</f>
        <v>15145.210678284175</v>
      </c>
      <c r="GT55" s="85">
        <f t="shared" ref="GT55" si="160">GT53*GT54</f>
        <v>15145.210678284175</v>
      </c>
      <c r="GU55" s="85">
        <f t="shared" ref="GU55" si="161">GU53*GU54</f>
        <v>14656.655495113719</v>
      </c>
      <c r="GV55" s="85">
        <f t="shared" ref="GV55" si="162">GV53*GV54</f>
        <v>15145.210678284175</v>
      </c>
      <c r="GW55" s="85">
        <f t="shared" ref="GW55" si="163">GW53*GW54</f>
        <v>14656.655495113719</v>
      </c>
      <c r="GX55" s="85">
        <f t="shared" ref="GX55" si="164">GX53*GX54</f>
        <v>15145.210678284175</v>
      </c>
      <c r="GY55" s="85">
        <f t="shared" ref="GY55" si="165">GY53*GY54</f>
        <v>15145.210678284175</v>
      </c>
      <c r="GZ55" s="85">
        <f t="shared" ref="GZ55" si="166">GZ53*GZ54</f>
        <v>13679.545128772805</v>
      </c>
      <c r="HA55" s="85">
        <f t="shared" ref="HA55" si="167">HA53*HA54</f>
        <v>15145.210678284175</v>
      </c>
      <c r="HB55" s="85">
        <f t="shared" ref="HB55" si="168">HB53*HB54</f>
        <v>14656.655495113719</v>
      </c>
      <c r="HC55" s="85">
        <f t="shared" ref="HC55" si="169">HC53*HC54</f>
        <v>15145.210678284175</v>
      </c>
      <c r="HD55" s="85">
        <f t="shared" ref="HD55" si="170">HD53*HD54</f>
        <v>14656.655495113719</v>
      </c>
      <c r="HE55" s="85">
        <f t="shared" ref="HE55" si="171">HE53*HE54</f>
        <v>15145.210678284175</v>
      </c>
      <c r="HF55" s="85">
        <f t="shared" ref="HF55" si="172">HF53*HF54</f>
        <v>15145.210678284175</v>
      </c>
      <c r="HG55" s="85">
        <f t="shared" ref="HG55" si="173">HG53*HG54</f>
        <v>14656.655495113719</v>
      </c>
      <c r="HH55" s="85">
        <f t="shared" ref="HH55" si="174">HH53*HH54</f>
        <v>15145.210678284175</v>
      </c>
      <c r="HI55" s="85">
        <f t="shared" ref="HI55" si="175">HI53*HI54</f>
        <v>14656.655495113719</v>
      </c>
      <c r="HJ55" s="85">
        <f t="shared" ref="HJ55" si="176">HJ53*HJ54</f>
        <v>15145.210678284175</v>
      </c>
    </row>
    <row r="56" spans="2:218" x14ac:dyDescent="0.35">
      <c r="B56" s="3" t="s">
        <v>151</v>
      </c>
      <c r="C56" s="85">
        <f t="shared" ref="C56:AH56" si="177">INDEX($24:$24,MATCH(C$50,$20:$20,0))</f>
        <v>855200</v>
      </c>
      <c r="D56" s="85">
        <f t="shared" si="177"/>
        <v>1122850</v>
      </c>
      <c r="E56" s="85">
        <f t="shared" si="177"/>
        <v>1391300</v>
      </c>
      <c r="F56" s="85">
        <f t="shared" si="177"/>
        <v>1661650</v>
      </c>
      <c r="G56" s="85">
        <f t="shared" si="177"/>
        <v>1910450</v>
      </c>
      <c r="H56" s="85">
        <f t="shared" si="177"/>
        <v>2159750</v>
      </c>
      <c r="I56" s="85">
        <f t="shared" si="177"/>
        <v>2532500</v>
      </c>
      <c r="J56" s="85">
        <f t="shared" si="177"/>
        <v>2844250</v>
      </c>
      <c r="K56" s="85">
        <f t="shared" si="177"/>
        <v>3133300</v>
      </c>
      <c r="L56" s="85">
        <f t="shared" si="177"/>
        <v>3423650</v>
      </c>
      <c r="M56" s="85">
        <f t="shared" si="177"/>
        <v>3714150</v>
      </c>
      <c r="N56" s="85">
        <f t="shared" si="177"/>
        <v>3983600</v>
      </c>
      <c r="O56" s="85">
        <f t="shared" si="177"/>
        <v>4251200</v>
      </c>
      <c r="P56" s="85">
        <f t="shared" si="177"/>
        <v>4539950</v>
      </c>
      <c r="Q56" s="85">
        <f t="shared" si="177"/>
        <v>4762000</v>
      </c>
      <c r="R56" s="85">
        <f t="shared" si="177"/>
        <v>5029350</v>
      </c>
      <c r="S56" s="85">
        <f t="shared" si="177"/>
        <v>5361700</v>
      </c>
      <c r="T56" s="85">
        <f t="shared" si="177"/>
        <v>5671250</v>
      </c>
      <c r="U56" s="85">
        <f t="shared" si="177"/>
        <v>5914250</v>
      </c>
      <c r="V56" s="85">
        <f t="shared" si="177"/>
        <v>6139600</v>
      </c>
      <c r="W56" s="85">
        <f t="shared" si="177"/>
        <v>6342800</v>
      </c>
      <c r="X56" s="85">
        <f t="shared" si="177"/>
        <v>6544900</v>
      </c>
      <c r="Y56" s="85">
        <f t="shared" si="177"/>
        <v>6749400</v>
      </c>
      <c r="Z56" s="85">
        <f t="shared" si="177"/>
        <v>6984400</v>
      </c>
      <c r="AA56" s="85">
        <f t="shared" si="177"/>
        <v>7219500</v>
      </c>
      <c r="AB56" s="85">
        <f t="shared" si="177"/>
        <v>7425350</v>
      </c>
      <c r="AC56" s="85">
        <f t="shared" si="177"/>
        <v>7660100</v>
      </c>
      <c r="AD56" s="85">
        <f t="shared" si="177"/>
        <v>7872550</v>
      </c>
      <c r="AE56" s="85">
        <f t="shared" si="177"/>
        <v>8102650</v>
      </c>
      <c r="AF56" s="85">
        <f t="shared" si="177"/>
        <v>8313850</v>
      </c>
      <c r="AG56" s="85">
        <f t="shared" si="177"/>
        <v>8549300</v>
      </c>
      <c r="AH56" s="85">
        <f t="shared" si="177"/>
        <v>8812400</v>
      </c>
      <c r="AI56" s="85">
        <f t="shared" ref="AI56:BN56" si="178">INDEX($24:$24,MATCH(AI$50,$20:$20,0))</f>
        <v>9032000</v>
      </c>
      <c r="AJ56" s="85">
        <f t="shared" si="178"/>
        <v>9279300</v>
      </c>
      <c r="AK56" s="85">
        <f t="shared" si="178"/>
        <v>9495125</v>
      </c>
      <c r="AL56" s="85">
        <f t="shared" si="178"/>
        <v>9590075</v>
      </c>
      <c r="AM56" s="85">
        <f t="shared" si="178"/>
        <v>9705475</v>
      </c>
      <c r="AN56" s="85">
        <f t="shared" si="178"/>
        <v>9820800</v>
      </c>
      <c r="AO56" s="85">
        <f t="shared" si="178"/>
        <v>9956450</v>
      </c>
      <c r="AP56" s="85">
        <f t="shared" si="178"/>
        <v>10079775</v>
      </c>
      <c r="AQ56" s="85">
        <f t="shared" si="178"/>
        <v>10202750</v>
      </c>
      <c r="AR56" s="85">
        <f t="shared" si="178"/>
        <v>10337175</v>
      </c>
      <c r="AS56" s="85">
        <f t="shared" si="178"/>
        <v>10471950</v>
      </c>
      <c r="AT56" s="85">
        <f t="shared" si="178"/>
        <v>10618825</v>
      </c>
      <c r="AU56" s="85">
        <f t="shared" si="178"/>
        <v>10754800</v>
      </c>
      <c r="AV56" s="85">
        <f t="shared" si="178"/>
        <v>10905200</v>
      </c>
      <c r="AW56" s="85">
        <f t="shared" si="178"/>
        <v>11043750</v>
      </c>
      <c r="AX56" s="85">
        <f t="shared" si="178"/>
        <v>11184350</v>
      </c>
      <c r="AY56" s="85">
        <f t="shared" si="178"/>
        <v>11314150</v>
      </c>
      <c r="AZ56" s="85">
        <f t="shared" si="178"/>
        <v>11433925</v>
      </c>
      <c r="BA56" s="85">
        <f t="shared" si="178"/>
        <v>11568150</v>
      </c>
      <c r="BB56" s="85">
        <f t="shared" si="178"/>
        <v>11691175</v>
      </c>
      <c r="BC56" s="85">
        <f t="shared" si="178"/>
        <v>11825125</v>
      </c>
      <c r="BD56" s="85">
        <f t="shared" si="178"/>
        <v>11944900</v>
      </c>
      <c r="BE56" s="85">
        <f t="shared" si="178"/>
        <v>12063925</v>
      </c>
      <c r="BF56" s="85">
        <f t="shared" si="178"/>
        <v>12196700</v>
      </c>
      <c r="BG56" s="85">
        <f t="shared" si="178"/>
        <v>12317075</v>
      </c>
      <c r="BH56" s="85">
        <f t="shared" si="178"/>
        <v>12423050</v>
      </c>
      <c r="BI56" s="85">
        <f t="shared" si="178"/>
        <v>12540400</v>
      </c>
      <c r="BJ56" s="85">
        <f t="shared" si="178"/>
        <v>12647100</v>
      </c>
      <c r="BK56" s="85">
        <f t="shared" si="178"/>
        <v>12766350</v>
      </c>
      <c r="BL56" s="85">
        <f t="shared" si="178"/>
        <v>12872925</v>
      </c>
      <c r="BM56" s="85">
        <f t="shared" si="178"/>
        <v>12990250</v>
      </c>
      <c r="BN56" s="85">
        <f t="shared" si="178"/>
        <v>13095850</v>
      </c>
      <c r="BO56" s="85">
        <f t="shared" ref="BO56:CT56" si="179">INDEX($24:$24,MATCH(BO$50,$20:$20,0))</f>
        <v>13201225</v>
      </c>
      <c r="BP56" s="85">
        <f t="shared" si="179"/>
        <v>13318400</v>
      </c>
      <c r="BQ56" s="85">
        <f t="shared" si="179"/>
        <v>13423275</v>
      </c>
      <c r="BR56" s="85">
        <f t="shared" si="179"/>
        <v>13539525</v>
      </c>
      <c r="BS56" s="85">
        <f t="shared" si="179"/>
        <v>13656700</v>
      </c>
      <c r="BT56" s="85">
        <f t="shared" si="179"/>
        <v>13773275</v>
      </c>
      <c r="BU56" s="85">
        <f t="shared" si="179"/>
        <v>13888925</v>
      </c>
      <c r="BV56" s="85">
        <f t="shared" si="179"/>
        <v>14015275</v>
      </c>
      <c r="BW56" s="85">
        <f t="shared" si="179"/>
        <v>14128000</v>
      </c>
      <c r="BX56" s="85">
        <f t="shared" si="179"/>
        <v>14252250</v>
      </c>
      <c r="BY56" s="85">
        <f t="shared" si="179"/>
        <v>14363475</v>
      </c>
      <c r="BZ56" s="85">
        <f t="shared" si="179"/>
        <v>14474975</v>
      </c>
      <c r="CA56" s="85">
        <f t="shared" si="179"/>
        <v>14586400</v>
      </c>
      <c r="CB56" s="85">
        <f t="shared" si="179"/>
        <v>14697575</v>
      </c>
      <c r="CC56" s="85">
        <f t="shared" si="179"/>
        <v>14774987.5</v>
      </c>
      <c r="CD56" s="85">
        <f t="shared" si="179"/>
        <v>14830487.5</v>
      </c>
      <c r="CE56" s="85">
        <f t="shared" si="179"/>
        <v>14891575</v>
      </c>
      <c r="CF56" s="85">
        <f t="shared" si="179"/>
        <v>14946937.5</v>
      </c>
      <c r="CG56" s="85">
        <f t="shared" si="179"/>
        <v>15002325</v>
      </c>
      <c r="CH56" s="85">
        <f t="shared" si="179"/>
        <v>15063475</v>
      </c>
      <c r="CI56" s="85">
        <f t="shared" si="179"/>
        <v>15124500</v>
      </c>
      <c r="CJ56" s="85">
        <f t="shared" si="179"/>
        <v>15174550</v>
      </c>
      <c r="CK56" s="85">
        <f t="shared" si="179"/>
        <v>15235587.5</v>
      </c>
      <c r="CL56" s="85">
        <f t="shared" si="179"/>
        <v>15291375</v>
      </c>
      <c r="CM56" s="85">
        <f t="shared" si="179"/>
        <v>15352512.5</v>
      </c>
      <c r="CN56" s="85">
        <f t="shared" si="179"/>
        <v>15407962.5</v>
      </c>
      <c r="CO56" s="85">
        <f t="shared" si="179"/>
        <v>15469000</v>
      </c>
      <c r="CP56" s="85">
        <f t="shared" si="179"/>
        <v>15524512.5</v>
      </c>
      <c r="CQ56" s="85">
        <f t="shared" si="179"/>
        <v>15585500</v>
      </c>
      <c r="CR56" s="85">
        <f t="shared" si="179"/>
        <v>15640937.5</v>
      </c>
      <c r="CS56" s="85">
        <f t="shared" si="179"/>
        <v>15696375</v>
      </c>
      <c r="CT56" s="85">
        <f t="shared" si="179"/>
        <v>15762900</v>
      </c>
      <c r="CU56" s="85">
        <f t="shared" ref="CU56:DZ56" si="180">INDEX($24:$24,MATCH(CU$50,$20:$20,0))</f>
        <v>15823825</v>
      </c>
      <c r="CV56" s="85">
        <f t="shared" si="180"/>
        <v>15879225</v>
      </c>
      <c r="CW56" s="85">
        <f t="shared" si="180"/>
        <v>15934637.5</v>
      </c>
      <c r="CX56" s="85">
        <f t="shared" si="180"/>
        <v>15995550</v>
      </c>
      <c r="CY56" s="85">
        <f t="shared" si="180"/>
        <v>16051000</v>
      </c>
      <c r="CZ56" s="85">
        <f t="shared" si="180"/>
        <v>16111975</v>
      </c>
      <c r="DA56" s="85">
        <f t="shared" si="180"/>
        <v>16167487.5</v>
      </c>
      <c r="DB56" s="85">
        <f t="shared" si="180"/>
        <v>16228375</v>
      </c>
      <c r="DC56" s="85">
        <f t="shared" si="180"/>
        <v>16283712.5</v>
      </c>
      <c r="DD56" s="85">
        <f t="shared" si="180"/>
        <v>16339062.5</v>
      </c>
      <c r="DE56" s="85">
        <f t="shared" si="180"/>
        <v>16388875</v>
      </c>
      <c r="DF56" s="85">
        <f t="shared" si="180"/>
        <v>16444212.5</v>
      </c>
      <c r="DG56" s="85">
        <f t="shared" si="180"/>
        <v>16499787.5</v>
      </c>
      <c r="DH56" s="85">
        <f t="shared" si="180"/>
        <v>16549612.5</v>
      </c>
      <c r="DI56" s="85">
        <f t="shared" si="180"/>
        <v>16605087.5</v>
      </c>
      <c r="DJ56" s="85">
        <f t="shared" si="180"/>
        <v>16660462.5</v>
      </c>
      <c r="DK56" s="85">
        <f t="shared" si="180"/>
        <v>16721462.5</v>
      </c>
      <c r="DL56" s="85">
        <f t="shared" si="180"/>
        <v>16776762.5</v>
      </c>
      <c r="DM56" s="85">
        <f t="shared" si="180"/>
        <v>16837625</v>
      </c>
      <c r="DN56" s="85">
        <f t="shared" si="180"/>
        <v>16893075</v>
      </c>
      <c r="DO56" s="85">
        <f t="shared" si="180"/>
        <v>16954025</v>
      </c>
      <c r="DP56" s="85">
        <f t="shared" si="180"/>
        <v>17009450</v>
      </c>
      <c r="DQ56" s="85">
        <f t="shared" si="180"/>
        <v>17064812.5</v>
      </c>
      <c r="DR56" s="85">
        <f t="shared" si="180"/>
        <v>17120162.5</v>
      </c>
      <c r="DS56" s="85">
        <f t="shared" si="180"/>
        <v>17176862.5</v>
      </c>
      <c r="DT56" s="85">
        <f t="shared" si="180"/>
        <v>17232187.5</v>
      </c>
      <c r="DU56" s="85">
        <f t="shared" si="180"/>
        <v>17281987.5</v>
      </c>
      <c r="DV56" s="85">
        <f t="shared" si="180"/>
        <v>17342825</v>
      </c>
      <c r="DW56" s="85">
        <f t="shared" si="180"/>
        <v>17379275</v>
      </c>
      <c r="DX56" s="85">
        <f t="shared" si="180"/>
        <v>17406956.25</v>
      </c>
      <c r="DY56" s="85">
        <f t="shared" si="180"/>
        <v>17437368.75</v>
      </c>
      <c r="DZ56" s="85">
        <f t="shared" si="180"/>
        <v>17464993.75</v>
      </c>
      <c r="EA56" s="85">
        <f t="shared" ref="EA56:EG56" si="181">INDEX($24:$24,MATCH(EA$50,$20:$20,0))</f>
        <v>17492656.25</v>
      </c>
      <c r="EB56" s="85">
        <f t="shared" si="181"/>
        <v>17520331.25</v>
      </c>
      <c r="EC56" s="85">
        <f t="shared" si="181"/>
        <v>17548012.5</v>
      </c>
      <c r="ED56" s="85">
        <f t="shared" si="181"/>
        <v>17575687.5</v>
      </c>
      <c r="EE56" s="85">
        <f t="shared" si="181"/>
        <v>17603375</v>
      </c>
      <c r="EF56" s="85">
        <f t="shared" si="181"/>
        <v>17631081.25</v>
      </c>
      <c r="EG56" s="85">
        <f t="shared" si="181"/>
        <v>17658725</v>
      </c>
      <c r="EH56" s="85">
        <f>EG56+EH55</f>
        <v>17688038.310990229</v>
      </c>
      <c r="EI56" s="85">
        <f>EH56+EI55</f>
        <v>17718328.732346799</v>
      </c>
      <c r="EJ56" s="85">
        <f t="shared" ref="EJ56:EO56" si="182">EI56+EJ55</f>
        <v>17747642.043337028</v>
      </c>
      <c r="EK56" s="85">
        <f t="shared" si="182"/>
        <v>17777932.464693598</v>
      </c>
      <c r="EL56" s="85">
        <f t="shared" si="182"/>
        <v>17808222.886050168</v>
      </c>
      <c r="EM56" s="85">
        <f t="shared" si="182"/>
        <v>17837536.197040398</v>
      </c>
      <c r="EN56" s="85">
        <f t="shared" si="182"/>
        <v>17867826.618396968</v>
      </c>
      <c r="EO56" s="85">
        <f t="shared" si="182"/>
        <v>17897139.929387197</v>
      </c>
      <c r="EP56" s="85">
        <f t="shared" ref="EP56" si="183">EO56+EP55</f>
        <v>17927430.350743767</v>
      </c>
      <c r="EQ56" s="85">
        <f t="shared" ref="EQ56" si="184">EP56+EQ55</f>
        <v>17957720.772100337</v>
      </c>
      <c r="ER56" s="85">
        <f t="shared" ref="ER56" si="185">EQ56+ER55</f>
        <v>17985079.862357881</v>
      </c>
      <c r="ES56" s="85">
        <f t="shared" ref="ES56" si="186">ER56+ES55</f>
        <v>18015370.283714451</v>
      </c>
      <c r="ET56" s="85">
        <f t="shared" ref="ET56" si="187">ES56+ET55</f>
        <v>18044683.59470468</v>
      </c>
      <c r="EU56" s="85">
        <f t="shared" ref="EU56" si="188">ET56+EU55</f>
        <v>18074974.01606125</v>
      </c>
      <c r="EV56" s="85">
        <f t="shared" ref="EV56" si="189">EU56+EV55</f>
        <v>18104287.327051479</v>
      </c>
      <c r="EW56" s="85">
        <f t="shared" ref="EW56" si="190">EV56+EW55</f>
        <v>18134577.748408049</v>
      </c>
      <c r="EX56" s="85">
        <f t="shared" ref="EX56" si="191">EW56+EX55</f>
        <v>18164868.169764619</v>
      </c>
      <c r="EY56" s="85">
        <f t="shared" ref="EY56" si="192">EX56+EY55</f>
        <v>18194181.480754849</v>
      </c>
      <c r="EZ56" s="85">
        <f t="shared" ref="EZ56" si="193">EY56+EZ55</f>
        <v>18224471.902111419</v>
      </c>
      <c r="FA56" s="85">
        <f t="shared" ref="FA56" si="194">EZ56+FA55</f>
        <v>18253785.213101648</v>
      </c>
      <c r="FB56" s="85">
        <f t="shared" ref="FB56" si="195">FA56+FB55</f>
        <v>18284075.634458218</v>
      </c>
      <c r="FC56" s="85">
        <f t="shared" ref="FC56" si="196">FB56+FC55</f>
        <v>18314366.055814788</v>
      </c>
      <c r="FD56" s="85">
        <f t="shared" ref="FD56" si="197">FC56+FD55</f>
        <v>18341725.146072332</v>
      </c>
      <c r="FE56" s="85">
        <f t="shared" ref="FE56" si="198">FD56+FE55</f>
        <v>18372015.567428902</v>
      </c>
      <c r="FF56" s="85">
        <f t="shared" ref="FF56" si="199">FE56+FF55</f>
        <v>18401328.878419131</v>
      </c>
      <c r="FG56" s="85">
        <f t="shared" ref="FG56" si="200">FF56+FG55</f>
        <v>18431619.299775701</v>
      </c>
      <c r="FH56" s="85">
        <f t="shared" ref="FH56" si="201">FG56+FH55</f>
        <v>18460932.61076593</v>
      </c>
      <c r="FI56" s="85">
        <f t="shared" ref="FI56" si="202">FH56+FI55</f>
        <v>18491223.0321225</v>
      </c>
      <c r="FJ56" s="85">
        <f t="shared" ref="FJ56" si="203">FI56+FJ55</f>
        <v>18521513.45347907</v>
      </c>
      <c r="FK56" s="85">
        <f t="shared" ref="FK56" si="204">FJ56+FK55</f>
        <v>18550826.764469299</v>
      </c>
      <c r="FL56" s="85">
        <f t="shared" ref="FL56" si="205">FK56+FL55</f>
        <v>18581117.185825869</v>
      </c>
      <c r="FM56" s="85">
        <f t="shared" ref="FM56" si="206">FL56+FM55</f>
        <v>18610430.496816099</v>
      </c>
      <c r="FN56" s="85">
        <f t="shared" ref="FN56" si="207">FM56+FN55</f>
        <v>18640720.918172669</v>
      </c>
      <c r="FO56" s="85">
        <f t="shared" ref="FO56" si="208">FN56+FO55</f>
        <v>18671011.339529239</v>
      </c>
      <c r="FP56" s="85">
        <f t="shared" ref="FP56" si="209">FO56+FP55</f>
        <v>18699347.540153123</v>
      </c>
      <c r="FQ56" s="85">
        <f t="shared" ref="FQ56" si="210">FP56+FQ55</f>
        <v>18714492.750831407</v>
      </c>
      <c r="FR56" s="85">
        <f t="shared" ref="FR56" si="211">FQ56+FR55</f>
        <v>18729149.406326521</v>
      </c>
      <c r="FS56" s="85">
        <f t="shared" ref="FS56" si="212">FR56+FS55</f>
        <v>18744294.617004804</v>
      </c>
      <c r="FT56" s="85">
        <f t="shared" ref="FT56" si="213">FS56+FT55</f>
        <v>18758951.272499919</v>
      </c>
      <c r="FU56" s="85">
        <f t="shared" ref="FU56" si="214">FT56+FU55</f>
        <v>18774096.483178202</v>
      </c>
      <c r="FV56" s="85">
        <f t="shared" ref="FV56" si="215">FU56+FV55</f>
        <v>18789241.693856485</v>
      </c>
      <c r="FW56" s="85">
        <f t="shared" ref="FW56" si="216">FV56+FW55</f>
        <v>18803898.3493516</v>
      </c>
      <c r="FX56" s="85">
        <f t="shared" ref="FX56" si="217">FW56+FX55</f>
        <v>18819043.560029883</v>
      </c>
      <c r="FY56" s="85">
        <f t="shared" ref="FY56" si="218">FX56+FY55</f>
        <v>18833700.215524998</v>
      </c>
      <c r="FZ56" s="85">
        <f t="shared" ref="FZ56" si="219">FY56+FZ55</f>
        <v>18848845.426203281</v>
      </c>
      <c r="GA56" s="85">
        <f t="shared" ref="GA56" si="220">FZ56+GA55</f>
        <v>18863990.636881564</v>
      </c>
      <c r="GB56" s="85">
        <f t="shared" ref="GB56" si="221">GA56+GB55</f>
        <v>18877670.182010338</v>
      </c>
      <c r="GC56" s="85">
        <f t="shared" ref="GC56" si="222">GB56+GC55</f>
        <v>18892815.392688621</v>
      </c>
      <c r="GD56" s="85">
        <f t="shared" ref="GD56" si="223">GC56+GD55</f>
        <v>18907472.048183735</v>
      </c>
      <c r="GE56" s="85">
        <f t="shared" ref="GE56" si="224">GD56+GE55</f>
        <v>18922617.258862019</v>
      </c>
      <c r="GF56" s="85">
        <f t="shared" ref="GF56" si="225">GE56+GF55</f>
        <v>18937273.914357133</v>
      </c>
      <c r="GG56" s="85">
        <f t="shared" ref="GG56" si="226">GF56+GG55</f>
        <v>18952419.125035416</v>
      </c>
      <c r="GH56" s="85">
        <f t="shared" ref="GH56" si="227">GG56+GH55</f>
        <v>18967564.335713699</v>
      </c>
      <c r="GI56" s="85">
        <f t="shared" ref="GI56" si="228">GH56+GI55</f>
        <v>18982220.991208814</v>
      </c>
      <c r="GJ56" s="85">
        <f t="shared" ref="GJ56" si="229">GI56+GJ55</f>
        <v>18997366.201887097</v>
      </c>
      <c r="GK56" s="85">
        <f t="shared" ref="GK56" si="230">GJ56+GK55</f>
        <v>19012022.857382212</v>
      </c>
      <c r="GL56" s="85">
        <f t="shared" ref="GL56" si="231">GK56+GL55</f>
        <v>19027168.068060495</v>
      </c>
      <c r="GM56" s="85">
        <f t="shared" ref="GM56" si="232">GL56+GM55</f>
        <v>19042313.278738778</v>
      </c>
      <c r="GN56" s="85">
        <f t="shared" ref="GN56" si="233">GM56+GN55</f>
        <v>19055992.823867552</v>
      </c>
      <c r="GO56" s="85">
        <f t="shared" ref="GO56" si="234">GN56+GO55</f>
        <v>19071138.034545835</v>
      </c>
      <c r="GP56" s="85">
        <f t="shared" ref="GP56" si="235">GO56+GP55</f>
        <v>19085794.69004095</v>
      </c>
      <c r="GQ56" s="85">
        <f t="shared" ref="GQ56" si="236">GP56+GQ55</f>
        <v>19100939.900719233</v>
      </c>
      <c r="GR56" s="85">
        <f t="shared" ref="GR56" si="237">GQ56+GR55</f>
        <v>19115596.556214347</v>
      </c>
      <c r="GS56" s="85">
        <f t="shared" ref="GS56" si="238">GR56+GS55</f>
        <v>19130741.766892631</v>
      </c>
      <c r="GT56" s="85">
        <f t="shared" ref="GT56" si="239">GS56+GT55</f>
        <v>19145886.977570914</v>
      </c>
      <c r="GU56" s="85">
        <f t="shared" ref="GU56" si="240">GT56+GU55</f>
        <v>19160543.633066028</v>
      </c>
      <c r="GV56" s="85">
        <f t="shared" ref="GV56" si="241">GU56+GV55</f>
        <v>19175688.843744311</v>
      </c>
      <c r="GW56" s="85">
        <f t="shared" ref="GW56" si="242">GV56+GW55</f>
        <v>19190345.499239426</v>
      </c>
      <c r="GX56" s="85">
        <f t="shared" ref="GX56" si="243">GW56+GX55</f>
        <v>19205490.709917709</v>
      </c>
      <c r="GY56" s="85">
        <f t="shared" ref="GY56" si="244">GX56+GY55</f>
        <v>19220635.920595992</v>
      </c>
      <c r="GZ56" s="85">
        <f t="shared" ref="GZ56" si="245">GY56+GZ55</f>
        <v>19234315.465724766</v>
      </c>
      <c r="HA56" s="85">
        <f t="shared" ref="HA56" si="246">GZ56+HA55</f>
        <v>19249460.676403049</v>
      </c>
      <c r="HB56" s="85">
        <f t="shared" ref="HB56" si="247">HA56+HB55</f>
        <v>19264117.331898164</v>
      </c>
      <c r="HC56" s="85">
        <f t="shared" ref="HC56" si="248">HB56+HC55</f>
        <v>19279262.542576447</v>
      </c>
      <c r="HD56" s="85">
        <f t="shared" ref="HD56" si="249">HC56+HD55</f>
        <v>19293919.198071562</v>
      </c>
      <c r="HE56" s="85">
        <f t="shared" ref="HE56" si="250">HD56+HE55</f>
        <v>19309064.408749845</v>
      </c>
      <c r="HF56" s="85">
        <f t="shared" ref="HF56" si="251">HE56+HF55</f>
        <v>19324209.619428128</v>
      </c>
      <c r="HG56" s="85">
        <f t="shared" ref="HG56" si="252">HF56+HG55</f>
        <v>19338866.274923243</v>
      </c>
      <c r="HH56" s="85">
        <f t="shared" ref="HH56" si="253">HG56+HH55</f>
        <v>19354011.485601526</v>
      </c>
      <c r="HI56" s="85">
        <f t="shared" ref="HI56" si="254">HH56+HI55</f>
        <v>19368668.14109664</v>
      </c>
      <c r="HJ56" s="85">
        <f t="shared" ref="HJ56" si="255">HI56+HJ55</f>
        <v>19383813.351774924</v>
      </c>
    </row>
    <row r="57" spans="2:218" x14ac:dyDescent="0.35">
      <c r="B57" s="7" t="s">
        <v>129</v>
      </c>
      <c r="C57" s="129">
        <f t="shared" ref="C57:AH57" si="256">INDEX($25:$25,MATCH(C$50,$20:$20,0))</f>
        <v>0.20525410002024702</v>
      </c>
      <c r="D57" s="129">
        <f t="shared" si="256"/>
        <v>0.26626813624758705</v>
      </c>
      <c r="E57" s="129">
        <f t="shared" si="256"/>
        <v>0.34855963245793753</v>
      </c>
      <c r="F57" s="129">
        <f t="shared" si="256"/>
        <v>0.42885765365883732</v>
      </c>
      <c r="G57" s="129">
        <f t="shared" si="256"/>
        <v>0.55655479635584137</v>
      </c>
      <c r="H57" s="129">
        <f t="shared" si="256"/>
        <v>0.63860475999465172</v>
      </c>
      <c r="I57" s="129">
        <f t="shared" si="256"/>
        <v>0.4828414934048737</v>
      </c>
      <c r="J57" s="129">
        <f t="shared" si="256"/>
        <v>0.67695803261160115</v>
      </c>
      <c r="K57" s="129">
        <f t="shared" si="256"/>
        <v>0.8199994233984893</v>
      </c>
      <c r="L57" s="129">
        <f t="shared" si="256"/>
        <v>0.8992882153722519</v>
      </c>
      <c r="M57" s="129">
        <f t="shared" si="256"/>
        <v>0.98211417096959264</v>
      </c>
      <c r="N57" s="129">
        <f t="shared" si="256"/>
        <v>1.1486825013917239</v>
      </c>
      <c r="O57" s="129">
        <f t="shared" si="256"/>
        <v>1.2405331340308918</v>
      </c>
      <c r="P57" s="129">
        <f t="shared" si="256"/>
        <v>1.2268975468975469</v>
      </c>
      <c r="Q57" s="129">
        <f t="shared" si="256"/>
        <v>1.7038016963146438</v>
      </c>
      <c r="R57" s="129">
        <f t="shared" si="256"/>
        <v>1.4843214263449909</v>
      </c>
      <c r="S57" s="129">
        <f t="shared" si="256"/>
        <v>1.2610576199789378</v>
      </c>
      <c r="T57" s="129">
        <f t="shared" si="256"/>
        <v>1.4434124804824207</v>
      </c>
      <c r="U57" s="129">
        <f t="shared" si="256"/>
        <v>1.9448731138545954</v>
      </c>
      <c r="V57" s="129">
        <f t="shared" si="256"/>
        <v>2.1870608682789734</v>
      </c>
      <c r="W57" s="129">
        <f t="shared" si="256"/>
        <v>2.5178805774278215</v>
      </c>
      <c r="X57" s="129">
        <f t="shared" si="256"/>
        <v>2.6153719280884049</v>
      </c>
      <c r="Y57" s="129">
        <f t="shared" si="256"/>
        <v>2.6670334148329258</v>
      </c>
      <c r="Z57" s="129">
        <f t="shared" si="256"/>
        <v>2.3934042553191488</v>
      </c>
      <c r="AA57" s="129">
        <f t="shared" si="256"/>
        <v>2.4756841060541612</v>
      </c>
      <c r="AB57" s="129">
        <f t="shared" si="256"/>
        <v>2.9226378430896283</v>
      </c>
      <c r="AC57" s="129">
        <f t="shared" si="256"/>
        <v>2.6359069932552361</v>
      </c>
      <c r="AD57" s="129">
        <f t="shared" si="256"/>
        <v>3.0046677649643052</v>
      </c>
      <c r="AE57" s="129">
        <f t="shared" si="256"/>
        <v>2.8511335651166161</v>
      </c>
      <c r="AF57" s="129">
        <f t="shared" si="256"/>
        <v>3.1970683396464645</v>
      </c>
      <c r="AG57" s="129">
        <f t="shared" si="256"/>
        <v>2.9425391095066185</v>
      </c>
      <c r="AH57" s="129">
        <f t="shared" si="256"/>
        <v>2.7078740656277716</v>
      </c>
      <c r="AI57" s="129">
        <f t="shared" ref="AI57:BN57" si="257">INDEX($25:$25,MATCH(AI$50,$20:$20,0))</f>
        <v>3.3441105039465695</v>
      </c>
      <c r="AJ57" s="129">
        <f t="shared" si="257"/>
        <v>3.0435368648065779</v>
      </c>
      <c r="AK57" s="129">
        <f t="shared" si="257"/>
        <v>3.582879647862852</v>
      </c>
      <c r="AL57" s="129">
        <f t="shared" si="257"/>
        <v>8.3334430401965953</v>
      </c>
      <c r="AM57" s="129">
        <f t="shared" si="257"/>
        <v>6.9252419121894855</v>
      </c>
      <c r="AN57" s="129">
        <f t="shared" si="257"/>
        <v>7.0131331743623093</v>
      </c>
      <c r="AO57" s="129">
        <f t="shared" si="257"/>
        <v>6.0331736085514187</v>
      </c>
      <c r="AP57" s="129">
        <f t="shared" si="257"/>
        <v>6.727785661193324</v>
      </c>
      <c r="AQ57" s="129">
        <f t="shared" si="257"/>
        <v>6.8305041675137224</v>
      </c>
      <c r="AR57" s="129">
        <f t="shared" si="257"/>
        <v>6.3249333581303082</v>
      </c>
      <c r="AS57" s="129">
        <f t="shared" si="257"/>
        <v>6.3916249304396215</v>
      </c>
      <c r="AT57" s="129">
        <f t="shared" si="257"/>
        <v>5.9415319148936172</v>
      </c>
      <c r="AU57" s="129">
        <f t="shared" si="257"/>
        <v>6.5078292578292576</v>
      </c>
      <c r="AV57" s="129">
        <f t="shared" si="257"/>
        <v>5.9589982269503547</v>
      </c>
      <c r="AW57" s="129">
        <f t="shared" si="257"/>
        <v>6.5591242632022135</v>
      </c>
      <c r="AX57" s="129">
        <f t="shared" si="257"/>
        <v>6.5456081081081079</v>
      </c>
      <c r="AY57" s="129">
        <f t="shared" si="257"/>
        <v>7.1805020544427327</v>
      </c>
      <c r="AZ57" s="129">
        <f t="shared" si="257"/>
        <v>7.8718082515828289</v>
      </c>
      <c r="BA57" s="129">
        <f t="shared" si="257"/>
        <v>7.0987303656795184</v>
      </c>
      <c r="BB57" s="129">
        <f t="shared" si="257"/>
        <v>7.8359073359073363</v>
      </c>
      <c r="BC57" s="129">
        <f t="shared" si="257"/>
        <v>7.2733451536643026</v>
      </c>
      <c r="BD57" s="129">
        <f t="shared" si="257"/>
        <v>8.227318583455089</v>
      </c>
      <c r="BE57" s="129">
        <f t="shared" si="257"/>
        <v>8.3630189736049854</v>
      </c>
      <c r="BF57" s="129">
        <f t="shared" si="257"/>
        <v>7.5716594489424462</v>
      </c>
      <c r="BG57" s="129">
        <f t="shared" si="257"/>
        <v>8.443544479058497</v>
      </c>
      <c r="BH57" s="129">
        <f t="shared" si="257"/>
        <v>9.6855193835023989</v>
      </c>
      <c r="BI57" s="129">
        <f t="shared" si="257"/>
        <v>8.8219358045732132</v>
      </c>
      <c r="BJ57" s="129">
        <f t="shared" si="257"/>
        <v>9.794126835363949</v>
      </c>
      <c r="BK57" s="129">
        <f t="shared" si="257"/>
        <v>8.8379454926624739</v>
      </c>
      <c r="BL57" s="129">
        <f t="shared" si="257"/>
        <v>9.9822894675111424</v>
      </c>
      <c r="BM57" s="129">
        <f t="shared" si="257"/>
        <v>9.1433518005540169</v>
      </c>
      <c r="BN57" s="129">
        <f t="shared" si="257"/>
        <v>10.251144255050505</v>
      </c>
      <c r="BO57" s="129">
        <f t="shared" ref="BO57:CT57" si="258">INDEX($25:$25,MATCH(BO$50,$20:$20,0))</f>
        <v>10.356544088572559</v>
      </c>
      <c r="BP57" s="129">
        <f t="shared" si="258"/>
        <v>9.3885392219614534</v>
      </c>
      <c r="BQ57" s="129">
        <f t="shared" si="258"/>
        <v>10.582757250695272</v>
      </c>
      <c r="BR57" s="129">
        <f t="shared" si="258"/>
        <v>9.6224193548387102</v>
      </c>
      <c r="BS57" s="129">
        <f t="shared" si="258"/>
        <v>9.6291337742692562</v>
      </c>
      <c r="BT57" s="129">
        <f t="shared" si="258"/>
        <v>9.7624562155979699</v>
      </c>
      <c r="BU57" s="129">
        <f t="shared" si="258"/>
        <v>9.9245388384493438</v>
      </c>
      <c r="BV57" s="129">
        <f t="shared" si="258"/>
        <v>9.1603515367365791</v>
      </c>
      <c r="BW57" s="129">
        <f t="shared" si="258"/>
        <v>10.36096325866785</v>
      </c>
      <c r="BX57" s="129">
        <f t="shared" si="258"/>
        <v>9.4755197853789408</v>
      </c>
      <c r="BY57" s="129">
        <f t="shared" si="258"/>
        <v>10.678242301640818</v>
      </c>
      <c r="BZ57" s="129">
        <f t="shared" si="258"/>
        <v>10.735033632286996</v>
      </c>
      <c r="CA57" s="129">
        <f t="shared" si="258"/>
        <v>10.825648792162141</v>
      </c>
      <c r="CB57" s="129">
        <f t="shared" si="258"/>
        <v>10.933513229892812</v>
      </c>
      <c r="CC57" s="129">
        <f t="shared" si="258"/>
        <v>15.821707303945315</v>
      </c>
      <c r="CD57" s="129">
        <f t="shared" si="258"/>
        <v>22.184665915915915</v>
      </c>
      <c r="CE57" s="129">
        <f t="shared" si="258"/>
        <v>20.231208648796127</v>
      </c>
      <c r="CF57" s="129">
        <f t="shared" si="258"/>
        <v>22.415255512907354</v>
      </c>
      <c r="CG57" s="129">
        <f t="shared" si="258"/>
        <v>22.488433762130445</v>
      </c>
      <c r="CH57" s="129">
        <f t="shared" si="258"/>
        <v>20.444705641864267</v>
      </c>
      <c r="CI57" s="129">
        <f t="shared" si="258"/>
        <v>20.570087395876008</v>
      </c>
      <c r="CJ57" s="129">
        <f t="shared" si="258"/>
        <v>25.182317682317681</v>
      </c>
      <c r="CK57" s="129">
        <f t="shared" si="258"/>
        <v>20.717523380435523</v>
      </c>
      <c r="CL57" s="129">
        <f t="shared" si="258"/>
        <v>22.758365075808499</v>
      </c>
      <c r="CM57" s="129">
        <f t="shared" si="258"/>
        <v>20.842874667757105</v>
      </c>
      <c r="CN57" s="129">
        <f t="shared" si="258"/>
        <v>23.072606702735197</v>
      </c>
      <c r="CO57" s="129">
        <f t="shared" si="258"/>
        <v>21.036197010034815</v>
      </c>
      <c r="CP57" s="129">
        <f t="shared" si="258"/>
        <v>23.221496659911431</v>
      </c>
      <c r="CQ57" s="129">
        <f t="shared" si="258"/>
        <v>21.212697274031562</v>
      </c>
      <c r="CR57" s="129">
        <f t="shared" si="258"/>
        <v>23.428034573468622</v>
      </c>
      <c r="CS57" s="129">
        <f t="shared" si="258"/>
        <v>23.511367906801954</v>
      </c>
      <c r="CT57" s="129">
        <f t="shared" si="258"/>
        <v>19.662251033446072</v>
      </c>
      <c r="CU57" s="129">
        <f t="shared" ref="CU57:DZ57" si="259">INDEX($25:$25,MATCH(CU$50,$20:$20,0))</f>
        <v>21.560525235945835</v>
      </c>
      <c r="CV57" s="129">
        <f t="shared" si="259"/>
        <v>23.802384175691937</v>
      </c>
      <c r="CW57" s="129">
        <f t="shared" si="259"/>
        <v>23.880329348071285</v>
      </c>
      <c r="CX57" s="129">
        <f t="shared" si="259"/>
        <v>21.799900814009167</v>
      </c>
      <c r="CY57" s="129">
        <f t="shared" si="259"/>
        <v>24.038999098286745</v>
      </c>
      <c r="CZ57" s="129">
        <f t="shared" si="259"/>
        <v>21.936586032526993</v>
      </c>
      <c r="DA57" s="129">
        <f t="shared" si="259"/>
        <v>24.186707198078512</v>
      </c>
      <c r="DB57" s="129">
        <f t="shared" si="259"/>
        <v>22.127540546089097</v>
      </c>
      <c r="DC57" s="129">
        <f t="shared" si="259"/>
        <v>24.438483547925607</v>
      </c>
      <c r="DD57" s="129">
        <f t="shared" si="259"/>
        <v>24.516278982234265</v>
      </c>
      <c r="DE57" s="129">
        <f t="shared" si="259"/>
        <v>27.33427436219155</v>
      </c>
      <c r="DF57" s="129">
        <f t="shared" si="259"/>
        <v>24.680182215194638</v>
      </c>
      <c r="DG57" s="129">
        <f t="shared" si="259"/>
        <v>24.657688559004349</v>
      </c>
      <c r="DH57" s="129">
        <f t="shared" si="259"/>
        <v>27.596232647599933</v>
      </c>
      <c r="DI57" s="129">
        <f t="shared" si="259"/>
        <v>24.860466426318162</v>
      </c>
      <c r="DJ57" s="129">
        <f t="shared" si="259"/>
        <v>24.988844996237773</v>
      </c>
      <c r="DK57" s="129">
        <f t="shared" si="259"/>
        <v>22.760194672131149</v>
      </c>
      <c r="DL57" s="129">
        <f t="shared" si="259"/>
        <v>25.198105033152501</v>
      </c>
      <c r="DM57" s="129">
        <f t="shared" si="259"/>
        <v>22.970853015677417</v>
      </c>
      <c r="DN57" s="129">
        <f t="shared" si="259"/>
        <v>25.30451608055305</v>
      </c>
      <c r="DO57" s="129">
        <f t="shared" si="259"/>
        <v>23.096903199343725</v>
      </c>
      <c r="DP57" s="129">
        <f t="shared" si="259"/>
        <v>25.490941211847844</v>
      </c>
      <c r="DQ57" s="129">
        <f t="shared" si="259"/>
        <v>25.603145932114096</v>
      </c>
      <c r="DR57" s="129">
        <f t="shared" si="259"/>
        <v>25.692280186690756</v>
      </c>
      <c r="DS57" s="129">
        <f t="shared" si="259"/>
        <v>25.161908436213992</v>
      </c>
      <c r="DT57" s="129">
        <f t="shared" si="259"/>
        <v>25.872665311040819</v>
      </c>
      <c r="DU57" s="129">
        <f t="shared" si="259"/>
        <v>28.835655120481928</v>
      </c>
      <c r="DV57" s="129">
        <f t="shared" si="259"/>
        <v>23.672334086706389</v>
      </c>
      <c r="DW57" s="129">
        <f t="shared" si="259"/>
        <v>39.649805669867398</v>
      </c>
      <c r="DX57" s="129">
        <f t="shared" si="259"/>
        <v>52.319635734176259</v>
      </c>
      <c r="DY57" s="129">
        <f t="shared" si="259"/>
        <v>47.696824907521581</v>
      </c>
      <c r="DZ57" s="129">
        <f t="shared" si="259"/>
        <v>52.601414027149325</v>
      </c>
      <c r="EA57" s="129">
        <f t="shared" ref="EA57:EG57" si="260">INDEX($25:$25,MATCH(EA$50,$20:$20,0))</f>
        <v>52.613326555204097</v>
      </c>
      <c r="EB57" s="129">
        <f t="shared" si="260"/>
        <v>52.672858325805478</v>
      </c>
      <c r="EC57" s="129">
        <f t="shared" si="260"/>
        <v>52.744280123428915</v>
      </c>
      <c r="ED57" s="129">
        <f t="shared" si="260"/>
        <v>52.839543812104786</v>
      </c>
      <c r="EE57" s="129">
        <f t="shared" si="260"/>
        <v>52.8989841986456</v>
      </c>
      <c r="EF57" s="129">
        <f t="shared" si="260"/>
        <v>52.946462140010524</v>
      </c>
      <c r="EG57" s="129">
        <f t="shared" si="260"/>
        <v>53.149691009118996</v>
      </c>
      <c r="EH57" s="128">
        <f>EG56/(EH55*12)</f>
        <v>50.201098646183645</v>
      </c>
      <c r="EI57" s="128">
        <f>EH56/(EI55*12)</f>
        <v>48.662353528564822</v>
      </c>
      <c r="EJ57" s="128">
        <f t="shared" ref="EJ57:EO57" si="261">EI56/(EJ55*12)</f>
        <v>50.370543090628097</v>
      </c>
      <c r="EK57" s="128">
        <f t="shared" si="261"/>
        <v>48.826332023188485</v>
      </c>
      <c r="EL57" s="128">
        <f t="shared" si="261"/>
        <v>48.909665356521828</v>
      </c>
      <c r="EM57" s="128">
        <f t="shared" si="261"/>
        <v>50.626098646183671</v>
      </c>
      <c r="EN57" s="128">
        <f t="shared" si="261"/>
        <v>49.073643851145491</v>
      </c>
      <c r="EO57" s="128">
        <f t="shared" si="261"/>
        <v>50.795543090628122</v>
      </c>
      <c r="EP57" s="128">
        <f t="shared" ref="EP57:HA57" si="262">EO56/(EP55*12)</f>
        <v>49.237622345769154</v>
      </c>
      <c r="EQ57" s="128">
        <f t="shared" si="262"/>
        <v>49.320955679102497</v>
      </c>
      <c r="ER57" s="128">
        <f t="shared" si="262"/>
        <v>54.697605692339671</v>
      </c>
      <c r="ES57" s="128">
        <f t="shared" si="262"/>
        <v>49.479557829640129</v>
      </c>
      <c r="ET57" s="128">
        <f t="shared" si="262"/>
        <v>51.214987535072581</v>
      </c>
      <c r="EU57" s="128">
        <f t="shared" si="262"/>
        <v>49.643536324263792</v>
      </c>
      <c r="EV57" s="128">
        <f t="shared" si="262"/>
        <v>51.384431979517039</v>
      </c>
      <c r="EW57" s="128">
        <f t="shared" si="262"/>
        <v>49.807514818887455</v>
      </c>
      <c r="EX57" s="128">
        <f t="shared" si="262"/>
        <v>49.890848152220798</v>
      </c>
      <c r="EY57" s="128">
        <f t="shared" si="262"/>
        <v>51.639987535072606</v>
      </c>
      <c r="EZ57" s="128">
        <f t="shared" si="262"/>
        <v>50.054826646844461</v>
      </c>
      <c r="FA57" s="128">
        <f t="shared" si="262"/>
        <v>51.809431979517065</v>
      </c>
      <c r="FB57" s="128">
        <f t="shared" si="262"/>
        <v>50.218805141468124</v>
      </c>
      <c r="FC57" s="128">
        <f t="shared" si="262"/>
        <v>50.302138474801467</v>
      </c>
      <c r="FD57" s="128">
        <f t="shared" si="262"/>
        <v>55.783915216149246</v>
      </c>
      <c r="FE57" s="128">
        <f t="shared" si="262"/>
        <v>50.460740625339099</v>
      </c>
      <c r="FF57" s="128">
        <f t="shared" si="262"/>
        <v>52.228876423961523</v>
      </c>
      <c r="FG57" s="128">
        <f t="shared" si="262"/>
        <v>50.624719119962762</v>
      </c>
      <c r="FH57" s="128">
        <f t="shared" si="262"/>
        <v>52.398320868405975</v>
      </c>
      <c r="FI57" s="128">
        <f t="shared" si="262"/>
        <v>50.788697614586432</v>
      </c>
      <c r="FJ57" s="128">
        <f t="shared" si="262"/>
        <v>50.872030947919768</v>
      </c>
      <c r="FK57" s="128">
        <f t="shared" si="262"/>
        <v>52.653876423961542</v>
      </c>
      <c r="FL57" s="128">
        <f t="shared" si="262"/>
        <v>51.036009442543431</v>
      </c>
      <c r="FM57" s="128">
        <f t="shared" si="262"/>
        <v>52.823320868406</v>
      </c>
      <c r="FN57" s="128">
        <f t="shared" si="262"/>
        <v>51.199987937167101</v>
      </c>
      <c r="FO57" s="128">
        <f t="shared" si="262"/>
        <v>51.283321270500437</v>
      </c>
      <c r="FP57" s="128">
        <f t="shared" si="262"/>
        <v>54.909182507546447</v>
      </c>
      <c r="FQ57" s="128">
        <f t="shared" si="262"/>
        <v>102.88922318616217</v>
      </c>
      <c r="FR57" s="128">
        <f t="shared" si="262"/>
        <v>106.40497507014534</v>
      </c>
      <c r="FS57" s="128">
        <f t="shared" si="262"/>
        <v>103.05320168078582</v>
      </c>
      <c r="FT57" s="128">
        <f t="shared" si="262"/>
        <v>106.57441951458979</v>
      </c>
      <c r="FU57" s="128">
        <f t="shared" si="262"/>
        <v>103.21718017540947</v>
      </c>
      <c r="FV57" s="128">
        <f t="shared" si="262"/>
        <v>103.3005135087428</v>
      </c>
      <c r="FW57" s="128">
        <f t="shared" si="262"/>
        <v>106.82997507014534</v>
      </c>
      <c r="FX57" s="128">
        <f t="shared" si="262"/>
        <v>103.46449200336646</v>
      </c>
      <c r="FY57" s="128">
        <f t="shared" si="262"/>
        <v>106.99941951458977</v>
      </c>
      <c r="FZ57" s="128">
        <f t="shared" si="262"/>
        <v>103.62847049799011</v>
      </c>
      <c r="GA57" s="128">
        <f t="shared" si="262"/>
        <v>103.71180383132344</v>
      </c>
      <c r="GB57" s="128">
        <f t="shared" si="262"/>
        <v>114.91604471801284</v>
      </c>
      <c r="GC57" s="128">
        <f t="shared" si="262"/>
        <v>103.87040598186107</v>
      </c>
      <c r="GD57" s="128">
        <f t="shared" si="262"/>
        <v>107.41886395903421</v>
      </c>
      <c r="GE57" s="128">
        <f t="shared" si="262"/>
        <v>104.03438447648473</v>
      </c>
      <c r="GF57" s="128">
        <f t="shared" si="262"/>
        <v>107.58830840347866</v>
      </c>
      <c r="GG57" s="128">
        <f t="shared" si="262"/>
        <v>104.19836297110838</v>
      </c>
      <c r="GH57" s="128">
        <f t="shared" si="262"/>
        <v>104.28169630444171</v>
      </c>
      <c r="GI57" s="128">
        <f t="shared" si="262"/>
        <v>107.84386395903421</v>
      </c>
      <c r="GJ57" s="128">
        <f t="shared" si="262"/>
        <v>104.44567479906537</v>
      </c>
      <c r="GK57" s="128">
        <f t="shared" si="262"/>
        <v>108.01330840347866</v>
      </c>
      <c r="GL57" s="128">
        <f t="shared" si="262"/>
        <v>104.60965329368902</v>
      </c>
      <c r="GM57" s="128">
        <f t="shared" si="262"/>
        <v>104.69298662702235</v>
      </c>
      <c r="GN57" s="128">
        <f t="shared" si="262"/>
        <v>116.00235424182235</v>
      </c>
      <c r="GO57" s="128">
        <f t="shared" si="262"/>
        <v>104.85158877755998</v>
      </c>
      <c r="GP57" s="128">
        <f t="shared" si="262"/>
        <v>108.4327528479231</v>
      </c>
      <c r="GQ57" s="128">
        <f t="shared" si="262"/>
        <v>105.01556727218365</v>
      </c>
      <c r="GR57" s="128">
        <f t="shared" si="262"/>
        <v>108.60219729236753</v>
      </c>
      <c r="GS57" s="128">
        <f t="shared" si="262"/>
        <v>105.17954576680729</v>
      </c>
      <c r="GT57" s="128">
        <f t="shared" si="262"/>
        <v>105.26287910014062</v>
      </c>
      <c r="GU57" s="128">
        <f t="shared" si="262"/>
        <v>108.85775284792308</v>
      </c>
      <c r="GV57" s="128">
        <f t="shared" si="262"/>
        <v>105.42685759476427</v>
      </c>
      <c r="GW57" s="128">
        <f t="shared" si="262"/>
        <v>109.02719729236753</v>
      </c>
      <c r="GX57" s="128">
        <f t="shared" si="262"/>
        <v>105.59083608938793</v>
      </c>
      <c r="GY57" s="128">
        <f t="shared" si="262"/>
        <v>105.67416942272126</v>
      </c>
      <c r="GZ57" s="128">
        <f t="shared" si="262"/>
        <v>117.08866376563186</v>
      </c>
      <c r="HA57" s="128">
        <f t="shared" si="262"/>
        <v>105.8327715732589</v>
      </c>
      <c r="HB57" s="128">
        <f t="shared" ref="HB57:HJ57" si="263">HA56/(HB55*12)</f>
        <v>109.44664173681197</v>
      </c>
      <c r="HC57" s="128">
        <f t="shared" si="263"/>
        <v>105.99675006788254</v>
      </c>
      <c r="HD57" s="128">
        <f t="shared" si="263"/>
        <v>109.61608618125641</v>
      </c>
      <c r="HE57" s="128">
        <f t="shared" si="263"/>
        <v>106.16072856250621</v>
      </c>
      <c r="HF57" s="128">
        <f t="shared" si="263"/>
        <v>106.24406189583954</v>
      </c>
      <c r="HG57" s="128">
        <f t="shared" si="263"/>
        <v>109.87164173681195</v>
      </c>
      <c r="HH57" s="128">
        <f t="shared" si="263"/>
        <v>106.40804039046319</v>
      </c>
      <c r="HI57" s="128">
        <f t="shared" si="263"/>
        <v>110.0410861812564</v>
      </c>
      <c r="HJ57" s="128">
        <f t="shared" si="263"/>
        <v>106.57201888508685</v>
      </c>
    </row>
    <row r="58" spans="2:218" x14ac:dyDescent="0.35">
      <c r="B58" s="14" t="s">
        <v>152</v>
      </c>
      <c r="C58" s="130">
        <f t="shared" ref="C58:BN58" si="264">EXP($J$31*LN(C57)+$J$32)</f>
        <v>31061.980701509285</v>
      </c>
      <c r="D58" s="130">
        <f t="shared" si="264"/>
        <v>69047.984976815729</v>
      </c>
      <c r="E58" s="130">
        <f t="shared" si="264"/>
        <v>157810.93807487242</v>
      </c>
      <c r="F58" s="130">
        <f t="shared" si="264"/>
        <v>298188.16513740644</v>
      </c>
      <c r="G58" s="130">
        <f t="shared" si="264"/>
        <v>663630.13639305986</v>
      </c>
      <c r="H58" s="130">
        <f t="shared" si="264"/>
        <v>1012141.7728158091</v>
      </c>
      <c r="I58" s="130">
        <f t="shared" si="264"/>
        <v>429077.95584158727</v>
      </c>
      <c r="J58" s="130">
        <f t="shared" si="264"/>
        <v>1210562.0119745531</v>
      </c>
      <c r="K58" s="130">
        <f t="shared" si="264"/>
        <v>2180303.4772271309</v>
      </c>
      <c r="L58" s="130">
        <f t="shared" si="264"/>
        <v>2894365.7432797896</v>
      </c>
      <c r="M58" s="130">
        <f t="shared" si="264"/>
        <v>3793120.4552445267</v>
      </c>
      <c r="N58" s="130">
        <f t="shared" si="264"/>
        <v>6135217.5056425687</v>
      </c>
      <c r="O58" s="130">
        <f t="shared" si="264"/>
        <v>7769128.7961072139</v>
      </c>
      <c r="P58" s="130">
        <f t="shared" si="264"/>
        <v>7509986.7008802472</v>
      </c>
      <c r="Q58" s="130">
        <f t="shared" si="264"/>
        <v>20576104.830426376</v>
      </c>
      <c r="R58" s="130">
        <f t="shared" si="264"/>
        <v>13475216.000063796</v>
      </c>
      <c r="S58" s="130">
        <f t="shared" si="264"/>
        <v>8170456.4514053715</v>
      </c>
      <c r="T58" s="130">
        <f t="shared" si="264"/>
        <v>12367483.908733968</v>
      </c>
      <c r="U58" s="130">
        <f t="shared" si="264"/>
        <v>30886324.167848036</v>
      </c>
      <c r="V58" s="130">
        <f t="shared" si="264"/>
        <v>44280280.714718238</v>
      </c>
      <c r="W58" s="130">
        <f t="shared" si="264"/>
        <v>68230146.020817205</v>
      </c>
      <c r="X58" s="130">
        <f t="shared" si="264"/>
        <v>76668267.016932636</v>
      </c>
      <c r="Y58" s="130">
        <f t="shared" si="264"/>
        <v>81412271.612830654</v>
      </c>
      <c r="Z58" s="130">
        <f t="shared" si="264"/>
        <v>58397171.143691465</v>
      </c>
      <c r="AA58" s="130">
        <f t="shared" si="264"/>
        <v>64780977.007114999</v>
      </c>
      <c r="AB58" s="130">
        <f t="shared" si="264"/>
        <v>107816792.54546994</v>
      </c>
      <c r="AC58" s="130">
        <f t="shared" si="264"/>
        <v>78530997.897916332</v>
      </c>
      <c r="AD58" s="130">
        <f t="shared" si="264"/>
        <v>117377431.49905741</v>
      </c>
      <c r="AE58" s="130">
        <f t="shared" si="264"/>
        <v>99923567.275226206</v>
      </c>
      <c r="AF58" s="130">
        <f t="shared" si="264"/>
        <v>142010569.68580261</v>
      </c>
      <c r="AG58" s="130">
        <f t="shared" si="264"/>
        <v>110086117.48621453</v>
      </c>
      <c r="AH58" s="130">
        <f t="shared" si="264"/>
        <v>85299734.531040251</v>
      </c>
      <c r="AI58" s="130">
        <f t="shared" si="264"/>
        <v>163027668.6362671</v>
      </c>
      <c r="AJ58" s="130">
        <f t="shared" si="264"/>
        <v>122100688.74962319</v>
      </c>
      <c r="AK58" s="130">
        <f t="shared" si="264"/>
        <v>201462221.21495667</v>
      </c>
      <c r="AL58" s="130">
        <f t="shared" si="264"/>
        <v>2687805907.382061</v>
      </c>
      <c r="AM58" s="130">
        <f t="shared" si="264"/>
        <v>1522836813.2507896</v>
      </c>
      <c r="AN58" s="130">
        <f t="shared" si="264"/>
        <v>1582940836.2795568</v>
      </c>
      <c r="AO58" s="130">
        <f t="shared" si="264"/>
        <v>997314114.3436631</v>
      </c>
      <c r="AP58" s="130">
        <f t="shared" si="264"/>
        <v>1393457032.7522151</v>
      </c>
      <c r="AQ58" s="130">
        <f t="shared" si="264"/>
        <v>1459794983.0506539</v>
      </c>
      <c r="AR58" s="130">
        <f t="shared" si="264"/>
        <v>1152882325.0752904</v>
      </c>
      <c r="AS58" s="130">
        <f t="shared" si="264"/>
        <v>1190602887.2274981</v>
      </c>
      <c r="AT58" s="130">
        <f t="shared" si="264"/>
        <v>951543670.91994262</v>
      </c>
      <c r="AU58" s="130">
        <f t="shared" si="264"/>
        <v>1258300250.7845161</v>
      </c>
      <c r="AV58" s="130">
        <f t="shared" si="264"/>
        <v>960155590.18216562</v>
      </c>
      <c r="AW58" s="130">
        <f t="shared" si="264"/>
        <v>1288991082.8668337</v>
      </c>
      <c r="AX58" s="130">
        <f t="shared" si="264"/>
        <v>1280855680.4858477</v>
      </c>
      <c r="AY58" s="130">
        <f t="shared" si="264"/>
        <v>1701779596.8703218</v>
      </c>
      <c r="AZ58" s="130">
        <f t="shared" si="264"/>
        <v>2256479049.4770617</v>
      </c>
      <c r="BA58" s="130">
        <f t="shared" si="264"/>
        <v>1642993731.3352051</v>
      </c>
      <c r="BB58" s="130">
        <f t="shared" si="264"/>
        <v>2225040714.1842294</v>
      </c>
      <c r="BC58" s="130">
        <f t="shared" si="264"/>
        <v>1770224996.3521023</v>
      </c>
      <c r="BD58" s="130">
        <f t="shared" si="264"/>
        <v>2584124031.978447</v>
      </c>
      <c r="BE58" s="130">
        <f t="shared" si="264"/>
        <v>2717192814.0224972</v>
      </c>
      <c r="BF58" s="130">
        <f t="shared" si="264"/>
        <v>2002672508.4163308</v>
      </c>
      <c r="BG58" s="130">
        <f t="shared" si="264"/>
        <v>2798299932.0999527</v>
      </c>
      <c r="BH58" s="130">
        <f t="shared" si="264"/>
        <v>4264051659.5968375</v>
      </c>
      <c r="BI58" s="130">
        <f t="shared" si="264"/>
        <v>3201342519.1076698</v>
      </c>
      <c r="BJ58" s="130">
        <f t="shared" si="264"/>
        <v>4412521066.8048401</v>
      </c>
      <c r="BK58" s="130">
        <f t="shared" si="264"/>
        <v>3219207989.3755355</v>
      </c>
      <c r="BL58" s="130">
        <f t="shared" si="264"/>
        <v>4677925869.9791975</v>
      </c>
      <c r="BM58" s="130">
        <f t="shared" si="264"/>
        <v>3573014213.4215059</v>
      </c>
      <c r="BN58" s="130">
        <f t="shared" si="264"/>
        <v>5075519257.2091436</v>
      </c>
      <c r="BO58" s="130">
        <f t="shared" ref="BO58:DZ58" si="265">EXP($J$31*LN(BO57)+$J$32)</f>
        <v>5237405030.9995174</v>
      </c>
      <c r="BP58" s="130">
        <f t="shared" si="265"/>
        <v>3875338800.9189215</v>
      </c>
      <c r="BQ58" s="130">
        <f t="shared" si="265"/>
        <v>5596531845.1587038</v>
      </c>
      <c r="BR58" s="130">
        <f t="shared" si="265"/>
        <v>4179358833.4435053</v>
      </c>
      <c r="BS58" s="130">
        <f t="shared" si="265"/>
        <v>4188316511.8191438</v>
      </c>
      <c r="BT58" s="130">
        <f t="shared" si="265"/>
        <v>4368872306.0808697</v>
      </c>
      <c r="BU58" s="130">
        <f t="shared" si="265"/>
        <v>4595355181.0302248</v>
      </c>
      <c r="BV58" s="130">
        <f t="shared" si="265"/>
        <v>3593443575.5126247</v>
      </c>
      <c r="BW58" s="130">
        <f t="shared" si="265"/>
        <v>5244267522.9206324</v>
      </c>
      <c r="BX58" s="130">
        <f t="shared" si="265"/>
        <v>3986598745.6223168</v>
      </c>
      <c r="BY58" s="130">
        <f t="shared" si="265"/>
        <v>5752973407.8413897</v>
      </c>
      <c r="BZ58" s="130">
        <f t="shared" si="265"/>
        <v>5847403530.6681089</v>
      </c>
      <c r="CA58" s="130">
        <f t="shared" si="265"/>
        <v>6000229271.0352564</v>
      </c>
      <c r="CB58" s="130">
        <f t="shared" si="265"/>
        <v>6185629557.8785038</v>
      </c>
      <c r="CC58" s="130">
        <f t="shared" si="265"/>
        <v>19230779210.662292</v>
      </c>
      <c r="CD58" s="130">
        <f t="shared" si="265"/>
        <v>54272248801.383545</v>
      </c>
      <c r="CE58" s="130">
        <f t="shared" si="265"/>
        <v>40898557929.768356</v>
      </c>
      <c r="CF58" s="130">
        <f t="shared" si="265"/>
        <v>56022400004.207687</v>
      </c>
      <c r="CG58" s="130">
        <f t="shared" si="265"/>
        <v>56585667063.741768</v>
      </c>
      <c r="CH58" s="130">
        <f t="shared" si="265"/>
        <v>42237802710.470932</v>
      </c>
      <c r="CI58" s="130">
        <f t="shared" si="265"/>
        <v>43037924231.056389</v>
      </c>
      <c r="CJ58" s="130">
        <f t="shared" si="265"/>
        <v>80080007772.485077</v>
      </c>
      <c r="CK58" s="130">
        <f t="shared" si="265"/>
        <v>43991782423.703354</v>
      </c>
      <c r="CL58" s="130">
        <f t="shared" si="265"/>
        <v>58696393021.475281</v>
      </c>
      <c r="CM58" s="130">
        <f t="shared" si="265"/>
        <v>44813886491.544296</v>
      </c>
      <c r="CN58" s="130">
        <f t="shared" si="265"/>
        <v>61219716744.216446</v>
      </c>
      <c r="CO58" s="130">
        <f t="shared" si="265"/>
        <v>46101978234.814972</v>
      </c>
      <c r="CP58" s="130">
        <f t="shared" si="265"/>
        <v>62440405337.549576</v>
      </c>
      <c r="CQ58" s="130">
        <f t="shared" si="265"/>
        <v>47299575888.121002</v>
      </c>
      <c r="CR58" s="130">
        <f t="shared" si="265"/>
        <v>64160745612.723534</v>
      </c>
      <c r="CS58" s="130">
        <f t="shared" si="265"/>
        <v>64863814433.48539</v>
      </c>
      <c r="CT58" s="130">
        <f t="shared" si="265"/>
        <v>37469933420.670143</v>
      </c>
      <c r="CU58" s="130">
        <f t="shared" si="265"/>
        <v>49720731250.332138</v>
      </c>
      <c r="CV58" s="130">
        <f t="shared" si="265"/>
        <v>67359793052.231857</v>
      </c>
      <c r="CW58" s="130">
        <f t="shared" si="265"/>
        <v>68039134831.826401</v>
      </c>
      <c r="CX58" s="130">
        <f t="shared" si="265"/>
        <v>51434633967.018196</v>
      </c>
      <c r="CY58" s="130">
        <f t="shared" si="265"/>
        <v>69436285369.320084</v>
      </c>
      <c r="CZ58" s="130">
        <f t="shared" si="265"/>
        <v>52430923119.301582</v>
      </c>
      <c r="DA58" s="130">
        <f t="shared" si="265"/>
        <v>70754180502.590286</v>
      </c>
      <c r="DB58" s="130">
        <f t="shared" si="265"/>
        <v>53844445159.741516</v>
      </c>
      <c r="DC58" s="130">
        <f t="shared" si="265"/>
        <v>73039296308.938141</v>
      </c>
      <c r="DD58" s="130">
        <f t="shared" si="265"/>
        <v>73755298322.769028</v>
      </c>
      <c r="DE58" s="130">
        <f t="shared" si="265"/>
        <v>102998230729.78648</v>
      </c>
      <c r="DF58" s="130">
        <f t="shared" si="265"/>
        <v>75279264115.086624</v>
      </c>
      <c r="DG58" s="130">
        <f t="shared" si="265"/>
        <v>75068873895.41124</v>
      </c>
      <c r="DH58" s="130">
        <f t="shared" si="265"/>
        <v>106058095399.75331</v>
      </c>
      <c r="DI58" s="130">
        <f t="shared" si="265"/>
        <v>76979900240.550903</v>
      </c>
      <c r="DJ58" s="130">
        <f t="shared" si="265"/>
        <v>78206568797.79924</v>
      </c>
      <c r="DK58" s="130">
        <f t="shared" si="265"/>
        <v>58710877733.12709</v>
      </c>
      <c r="DL58" s="130">
        <f t="shared" si="265"/>
        <v>80234201763.069077</v>
      </c>
      <c r="DM58" s="130">
        <f t="shared" si="265"/>
        <v>60394800663.584473</v>
      </c>
      <c r="DN58" s="130">
        <f t="shared" si="265"/>
        <v>81278736292.863251</v>
      </c>
      <c r="DO58" s="130">
        <f t="shared" si="265"/>
        <v>61417805360.175507</v>
      </c>
      <c r="DP58" s="130">
        <f t="shared" si="265"/>
        <v>83130723844.80574</v>
      </c>
      <c r="DQ58" s="130">
        <f t="shared" si="265"/>
        <v>84258989756.955063</v>
      </c>
      <c r="DR58" s="130">
        <f t="shared" si="265"/>
        <v>85162595854.525177</v>
      </c>
      <c r="DS58" s="130">
        <f t="shared" si="265"/>
        <v>79880968289.324493</v>
      </c>
      <c r="DT58" s="130">
        <f t="shared" si="265"/>
        <v>87011210618.118057</v>
      </c>
      <c r="DU58" s="130">
        <f t="shared" si="265"/>
        <v>121368874792.32794</v>
      </c>
      <c r="DV58" s="130">
        <f t="shared" si="265"/>
        <v>66236529389.03054</v>
      </c>
      <c r="DW58" s="130">
        <f t="shared" si="265"/>
        <v>322577874857.37988</v>
      </c>
      <c r="DX58" s="130">
        <f t="shared" si="265"/>
        <v>755541517692.49939</v>
      </c>
      <c r="DY58" s="130">
        <f t="shared" si="265"/>
        <v>568782175327.50635</v>
      </c>
      <c r="DZ58" s="130">
        <f t="shared" si="265"/>
        <v>768100870412.0354</v>
      </c>
      <c r="EA58" s="130">
        <f t="shared" ref="EA58:GL58" si="266">EXP($J$31*LN(EA57)+$J$32)</f>
        <v>768634911451.58569</v>
      </c>
      <c r="EB58" s="130">
        <f t="shared" si="266"/>
        <v>771307484555.02271</v>
      </c>
      <c r="EC58" s="130">
        <f t="shared" si="266"/>
        <v>774522097616.89563</v>
      </c>
      <c r="ED58" s="130">
        <f t="shared" si="266"/>
        <v>778823848928.81006</v>
      </c>
      <c r="EE58" s="130">
        <f t="shared" si="266"/>
        <v>781516098420.66638</v>
      </c>
      <c r="EF58" s="130">
        <f t="shared" si="266"/>
        <v>783671031664.24707</v>
      </c>
      <c r="EG58" s="130">
        <f t="shared" si="266"/>
        <v>792940484122.03735</v>
      </c>
      <c r="EH58" s="130">
        <f t="shared" si="266"/>
        <v>665516328236.24072</v>
      </c>
      <c r="EI58" s="130">
        <f t="shared" si="266"/>
        <v>604867984448.43359</v>
      </c>
      <c r="EJ58" s="130">
        <f t="shared" si="266"/>
        <v>672435224496.72485</v>
      </c>
      <c r="EK58" s="130">
        <f t="shared" si="266"/>
        <v>611145905704.2583</v>
      </c>
      <c r="EL58" s="130">
        <f t="shared" si="266"/>
        <v>614353093393.8479</v>
      </c>
      <c r="EM58" s="130">
        <f t="shared" si="266"/>
        <v>682961753665.95508</v>
      </c>
      <c r="EN58" s="130">
        <f t="shared" si="266"/>
        <v>620697106701.03174</v>
      </c>
      <c r="EO58" s="130">
        <f t="shared" si="266"/>
        <v>690002205458.99268</v>
      </c>
      <c r="EP58" s="130">
        <f t="shared" si="266"/>
        <v>627085139139.95068</v>
      </c>
      <c r="EQ58" s="130">
        <f t="shared" si="266"/>
        <v>630348436148.16223</v>
      </c>
      <c r="ER58" s="130">
        <f t="shared" si="266"/>
        <v>865980439245.61279</v>
      </c>
      <c r="ES58" s="130">
        <f t="shared" si="266"/>
        <v>636590822137.3512</v>
      </c>
      <c r="ET58" s="130">
        <f t="shared" si="266"/>
        <v>707640355981.93738</v>
      </c>
      <c r="EU58" s="130">
        <f t="shared" si="266"/>
        <v>643088496716.66687</v>
      </c>
      <c r="EV58" s="130">
        <f t="shared" si="266"/>
        <v>714851046443.70947</v>
      </c>
      <c r="EW58" s="130">
        <f t="shared" si="266"/>
        <v>649630737298.8324</v>
      </c>
      <c r="EX58" s="130">
        <f t="shared" si="266"/>
        <v>652972611997.76184</v>
      </c>
      <c r="EY58" s="130">
        <f t="shared" si="266"/>
        <v>725819627837.71228</v>
      </c>
      <c r="EZ58" s="130">
        <f t="shared" si="266"/>
        <v>659582364668.28125</v>
      </c>
      <c r="FA58" s="130">
        <f t="shared" si="266"/>
        <v>733154485470.71545</v>
      </c>
      <c r="FB58" s="130">
        <f t="shared" si="266"/>
        <v>666237078288.41101</v>
      </c>
      <c r="FC58" s="130">
        <f t="shared" si="266"/>
        <v>669636262800.88464</v>
      </c>
      <c r="FD58" s="130">
        <f t="shared" si="266"/>
        <v>919861638684.66565</v>
      </c>
      <c r="FE58" s="130">
        <f t="shared" si="266"/>
        <v>676137945654.39111</v>
      </c>
      <c r="FF58" s="130">
        <f t="shared" si="266"/>
        <v>751525892349.56042</v>
      </c>
      <c r="FG58" s="130">
        <f t="shared" si="266"/>
        <v>682904633727.03796</v>
      </c>
      <c r="FH58" s="130">
        <f t="shared" si="266"/>
        <v>759034609875.22095</v>
      </c>
      <c r="FI58" s="130">
        <f t="shared" si="266"/>
        <v>689716830367.57397</v>
      </c>
      <c r="FJ58" s="130">
        <f t="shared" si="266"/>
        <v>693196257138.19983</v>
      </c>
      <c r="FK58" s="130">
        <f t="shared" si="266"/>
        <v>770454646572.4646</v>
      </c>
      <c r="FL58" s="130">
        <f t="shared" si="266"/>
        <v>700077387844.23889</v>
      </c>
      <c r="FM58" s="130">
        <f t="shared" si="266"/>
        <v>778090146476.15308</v>
      </c>
      <c r="FN58" s="130">
        <f t="shared" si="266"/>
        <v>707004422599.26233</v>
      </c>
      <c r="FO58" s="130">
        <f t="shared" si="266"/>
        <v>710542361311.81616</v>
      </c>
      <c r="FP58" s="130">
        <f t="shared" si="266"/>
        <v>876303132443.86267</v>
      </c>
      <c r="FQ58" s="130">
        <f t="shared" si="266"/>
        <v>6022070163633.7207</v>
      </c>
      <c r="FR58" s="130">
        <f t="shared" si="266"/>
        <v>6676272907348.9043</v>
      </c>
      <c r="FS58" s="130">
        <f t="shared" si="266"/>
        <v>6051577288023.8613</v>
      </c>
      <c r="FT58" s="130">
        <f t="shared" si="266"/>
        <v>6708958997278.5801</v>
      </c>
      <c r="FU58" s="130">
        <f t="shared" si="266"/>
        <v>6081181732827.8906</v>
      </c>
      <c r="FV58" s="130">
        <f t="shared" si="266"/>
        <v>6096263963806.9912</v>
      </c>
      <c r="FW58" s="130">
        <f t="shared" si="266"/>
        <v>6758459850420.7686</v>
      </c>
      <c r="FX58" s="130">
        <f t="shared" si="266"/>
        <v>6126015500179.1377</v>
      </c>
      <c r="FY58" s="130">
        <f t="shared" si="266"/>
        <v>6791416464786.9824</v>
      </c>
      <c r="FZ58" s="130">
        <f t="shared" si="266"/>
        <v>6155864772373.9414</v>
      </c>
      <c r="GA58" s="130">
        <f t="shared" si="266"/>
        <v>6171071583042.2217</v>
      </c>
      <c r="GB58" s="130">
        <f t="shared" si="266"/>
        <v>8454896077459.2334</v>
      </c>
      <c r="GC58" s="130">
        <f t="shared" si="266"/>
        <v>6200083510150.1816</v>
      </c>
      <c r="GD58" s="130">
        <f t="shared" si="266"/>
        <v>6873463308469.4033</v>
      </c>
      <c r="GE58" s="130">
        <f t="shared" si="266"/>
        <v>6230175431159.5996</v>
      </c>
      <c r="GF58" s="130">
        <f t="shared" si="266"/>
        <v>6906796671902.5</v>
      </c>
      <c r="GG58" s="130">
        <f t="shared" si="266"/>
        <v>6260365663780.0703</v>
      </c>
      <c r="GH58" s="130">
        <f t="shared" si="266"/>
        <v>6275745970098.5117</v>
      </c>
      <c r="GI58" s="130">
        <f t="shared" si="266"/>
        <v>6957275814258.0791</v>
      </c>
      <c r="GJ58" s="130">
        <f t="shared" si="266"/>
        <v>6306084789413.0791</v>
      </c>
      <c r="GK58" s="130">
        <f t="shared" si="266"/>
        <v>6990882451862.6953</v>
      </c>
      <c r="GL58" s="130">
        <f t="shared" si="266"/>
        <v>6336522336020.0156</v>
      </c>
      <c r="GM58" s="130">
        <f t="shared" ref="GM58:HJ58" si="267">EXP($J$31*LN(GM57)+$J$32)</f>
        <v>6352028485811.751</v>
      </c>
      <c r="GN58" s="130">
        <f t="shared" si="267"/>
        <v>8702621525201.5771</v>
      </c>
      <c r="GO58" s="130">
        <f t="shared" si="267"/>
        <v>6381610830424.1719</v>
      </c>
      <c r="GP58" s="130">
        <f t="shared" si="267"/>
        <v>7074543086389.707</v>
      </c>
      <c r="GQ58" s="130">
        <f t="shared" si="267"/>
        <v>6412293480605.5264</v>
      </c>
      <c r="GR58" s="130">
        <f t="shared" si="267"/>
        <v>7108530284398.2119</v>
      </c>
      <c r="GS58" s="130">
        <f t="shared" si="267"/>
        <v>6443075434243.7207</v>
      </c>
      <c r="GT58" s="130">
        <f t="shared" si="267"/>
        <v>6458756831383.2285</v>
      </c>
      <c r="GU58" s="130">
        <f t="shared" si="267"/>
        <v>7159997612709.8115</v>
      </c>
      <c r="GV58" s="130">
        <f t="shared" si="267"/>
        <v>6489688867817.9512</v>
      </c>
      <c r="GW58" s="130">
        <f t="shared" si="267"/>
        <v>7194260836420.6602</v>
      </c>
      <c r="GX58" s="130">
        <f t="shared" si="267"/>
        <v>6520720623661.0576</v>
      </c>
      <c r="GY58" s="130">
        <f t="shared" si="267"/>
        <v>6536529128881.7275</v>
      </c>
      <c r="GZ58" s="130">
        <f t="shared" si="267"/>
        <v>8955194368315.7129</v>
      </c>
      <c r="HA58" s="130">
        <f t="shared" si="267"/>
        <v>6566687632168.9756</v>
      </c>
      <c r="HB58" s="130">
        <f t="shared" si="267"/>
        <v>7279551510649.6416</v>
      </c>
      <c r="HC58" s="130">
        <f t="shared" si="267"/>
        <v>6597966947942.0684</v>
      </c>
      <c r="HD58" s="130">
        <f t="shared" si="267"/>
        <v>7314199108578.9209</v>
      </c>
      <c r="HE58" s="130">
        <f t="shared" si="267"/>
        <v>6629346559660.6963</v>
      </c>
      <c r="HF58" s="130">
        <f t="shared" si="267"/>
        <v>6645332065063.2158</v>
      </c>
      <c r="HG58" s="130">
        <f t="shared" si="267"/>
        <v>7366664526022.4648</v>
      </c>
      <c r="HH58" s="130">
        <f t="shared" si="267"/>
        <v>6676863256648.8291</v>
      </c>
      <c r="HI58" s="130">
        <f t="shared" si="267"/>
        <v>7401590902965.0781</v>
      </c>
      <c r="HJ58" s="130">
        <f t="shared" si="267"/>
        <v>6708495160399.4814</v>
      </c>
    </row>
    <row r="59" spans="2:218" x14ac:dyDescent="0.35">
      <c r="B59" s="27" t="s">
        <v>156</v>
      </c>
      <c r="C59" s="126">
        <f>C58/C56</f>
        <v>3.6321305778191398E-2</v>
      </c>
      <c r="D59" s="126">
        <f t="shared" ref="D59:E59" si="268">D58/D56</f>
        <v>6.149350757163978E-2</v>
      </c>
      <c r="E59" s="126">
        <f t="shared" si="268"/>
        <v>0.11342696620058393</v>
      </c>
      <c r="F59" s="126">
        <f t="shared" ref="F59" si="269">F58/F56</f>
        <v>0.17945305277128543</v>
      </c>
      <c r="G59" s="126">
        <f t="shared" ref="G59" si="270">G58/G56</f>
        <v>0.34736849244579021</v>
      </c>
      <c r="H59" s="126">
        <f t="shared" ref="H59" si="271">H58/H56</f>
        <v>0.46863839463632789</v>
      </c>
      <c r="I59" s="126">
        <f t="shared" ref="I59" si="272">I58/I56</f>
        <v>0.16942861040141649</v>
      </c>
      <c r="J59" s="126">
        <f t="shared" ref="J59" si="273">J58/J56</f>
        <v>0.42561730226757605</v>
      </c>
      <c r="K59" s="126">
        <f t="shared" ref="K59" si="274">K58/K56</f>
        <v>0.69584893793353042</v>
      </c>
      <c r="L59" s="126">
        <f t="shared" ref="L59" si="275">L58/L56</f>
        <v>0.84540351475173847</v>
      </c>
      <c r="M59" s="126">
        <f t="shared" ref="M59" si="276">M58/M56</f>
        <v>1.0212620532947045</v>
      </c>
      <c r="N59" s="126">
        <f t="shared" ref="N59" si="277">N58/N56</f>
        <v>1.5401188637520256</v>
      </c>
      <c r="O59" s="126">
        <f t="shared" ref="O59" si="278">O58/O56</f>
        <v>1.827514300928494</v>
      </c>
      <c r="P59" s="126">
        <f t="shared" ref="P59" si="279">P58/P56</f>
        <v>1.6542003107699967</v>
      </c>
      <c r="Q59" s="126">
        <f t="shared" ref="Q59" si="280">Q58/Q56</f>
        <v>4.3208955964776097</v>
      </c>
      <c r="R59" s="126">
        <f t="shared" ref="R59" si="281">R58/R56</f>
        <v>2.6793156173389794</v>
      </c>
      <c r="S59" s="126">
        <f t="shared" ref="S59" si="282">S58/S56</f>
        <v>1.5238555777841676</v>
      </c>
      <c r="T59" s="126">
        <f t="shared" ref="T59" si="283">T58/T56</f>
        <v>2.1807333319345767</v>
      </c>
      <c r="U59" s="126">
        <f t="shared" ref="U59" si="284">U58/U56</f>
        <v>5.2223568783612526</v>
      </c>
      <c r="V59" s="126">
        <f t="shared" ref="V59" si="285">V58/V56</f>
        <v>7.2122419562704794</v>
      </c>
      <c r="W59" s="126">
        <f t="shared" ref="W59" si="286">W58/W56</f>
        <v>10.757101914110047</v>
      </c>
      <c r="X59" s="126">
        <f t="shared" ref="X59" si="287">X58/X56</f>
        <v>11.71419991396853</v>
      </c>
      <c r="Y59" s="126">
        <f t="shared" ref="Y59" si="288">Y58/Y56</f>
        <v>12.062149467038649</v>
      </c>
      <c r="Z59" s="126">
        <f t="shared" ref="Z59" si="289">Z58/Z56</f>
        <v>8.3610862985641514</v>
      </c>
      <c r="AA59" s="126">
        <f t="shared" ref="AA59" si="290">AA58/AA56</f>
        <v>8.9730558912826375</v>
      </c>
      <c r="AB59" s="126">
        <f t="shared" ref="AB59" si="291">AB58/AB56</f>
        <v>14.52009569184886</v>
      </c>
      <c r="AC59" s="126">
        <f t="shared" ref="AC59" si="292">AC58/AC56</f>
        <v>10.251954660894288</v>
      </c>
      <c r="AD59" s="126">
        <f t="shared" ref="AD59" si="293">AD58/AD56</f>
        <v>14.909709242755831</v>
      </c>
      <c r="AE59" s="126">
        <f t="shared" ref="AE59" si="294">AE58/AE56</f>
        <v>12.332208262139696</v>
      </c>
      <c r="AF59" s="126">
        <f t="shared" ref="AF59" si="295">AF58/AF56</f>
        <v>17.081204217757431</v>
      </c>
      <c r="AG59" s="126">
        <f t="shared" ref="AG59" si="296">AG58/AG56</f>
        <v>12.876623523120552</v>
      </c>
      <c r="AH59" s="126">
        <f t="shared" ref="AH59" si="297">AH58/AH56</f>
        <v>9.6795123384140815</v>
      </c>
      <c r="AI59" s="126">
        <f t="shared" ref="AI59" si="298">AI58/AI56</f>
        <v>18.050007599232405</v>
      </c>
      <c r="AJ59" s="126">
        <f t="shared" ref="AJ59" si="299">AJ58/AJ56</f>
        <v>13.158394356214714</v>
      </c>
      <c r="AK59" s="126">
        <f t="shared" ref="AK59" si="300">AK58/AK56</f>
        <v>21.217437497132124</v>
      </c>
      <c r="AL59" s="126">
        <f t="shared" ref="AL59" si="301">AL58/AL56</f>
        <v>280.26953985052893</v>
      </c>
      <c r="AM59" s="126">
        <f t="shared" ref="AM59" si="302">AM58/AM56</f>
        <v>156.90492358702585</v>
      </c>
      <c r="AN59" s="126">
        <f t="shared" ref="AN59" si="303">AN58/AN56</f>
        <v>161.18247355404415</v>
      </c>
      <c r="AO59" s="126">
        <f t="shared" ref="AO59" si="304">AO58/AO56</f>
        <v>100.1676415131561</v>
      </c>
      <c r="AP59" s="126">
        <f t="shared" ref="AP59" si="305">AP58/AP56</f>
        <v>138.24287077362493</v>
      </c>
      <c r="AQ59" s="126">
        <f t="shared" ref="AQ59" si="306">AQ58/AQ56</f>
        <v>143.07858009366632</v>
      </c>
      <c r="AR59" s="126">
        <f t="shared" ref="AR59" si="307">AR58/AR56</f>
        <v>111.52779410963734</v>
      </c>
      <c r="AS59" s="126">
        <f t="shared" ref="AS59" si="308">AS58/AS56</f>
        <v>113.69447784104183</v>
      </c>
      <c r="AT59" s="126">
        <f t="shared" ref="AT59" si="309">AT58/AT56</f>
        <v>89.609130098663698</v>
      </c>
      <c r="AU59" s="126">
        <f t="shared" ref="AU59" si="310">AU58/AU56</f>
        <v>116.99894473021499</v>
      </c>
      <c r="AV59" s="126">
        <f t="shared" ref="AV59" si="311">AV58/AV56</f>
        <v>88.045665387353338</v>
      </c>
      <c r="AW59" s="126">
        <f t="shared" ref="AW59" si="312">AW58/AW56</f>
        <v>116.71679301567255</v>
      </c>
      <c r="AX59" s="126">
        <f t="shared" ref="AX59" si="313">AX58/AX56</f>
        <v>114.52213856735955</v>
      </c>
      <c r="AY59" s="126">
        <f t="shared" ref="AY59" si="314">AY58/AY56</f>
        <v>150.41161703444993</v>
      </c>
      <c r="AZ59" s="126">
        <f t="shared" ref="AZ59" si="315">AZ58/AZ56</f>
        <v>197.3494709364511</v>
      </c>
      <c r="BA59" s="126">
        <f t="shared" ref="BA59" si="316">BA58/BA56</f>
        <v>142.02735366806317</v>
      </c>
      <c r="BB59" s="126">
        <f t="shared" ref="BB59" si="317">BB58/BB56</f>
        <v>190.31797181927647</v>
      </c>
      <c r="BC59" s="126">
        <f t="shared" ref="BC59" si="318">BC58/BC56</f>
        <v>149.70031998411031</v>
      </c>
      <c r="BD59" s="126">
        <f t="shared" ref="BD59" si="319">BD58/BD56</f>
        <v>216.33701680034551</v>
      </c>
      <c r="BE59" s="126">
        <f t="shared" ref="BE59" si="320">BE58/BE56</f>
        <v>225.23290007377344</v>
      </c>
      <c r="BF59" s="126">
        <f t="shared" ref="BF59" si="321">BF58/BF56</f>
        <v>164.19789848207554</v>
      </c>
      <c r="BG59" s="126">
        <f t="shared" ref="BG59" si="322">BG58/BG56</f>
        <v>227.18867361771791</v>
      </c>
      <c r="BH59" s="126">
        <f t="shared" ref="BH59" si="323">BH58/BH56</f>
        <v>343.23710035754806</v>
      </c>
      <c r="BI59" s="126">
        <f t="shared" ref="BI59" si="324">BI58/BI56</f>
        <v>255.28232904115259</v>
      </c>
      <c r="BJ59" s="126">
        <f t="shared" ref="BJ59" si="325">BJ58/BJ56</f>
        <v>348.89587864449874</v>
      </c>
      <c r="BK59" s="126">
        <f t="shared" ref="BK59" si="326">BK58/BK56</f>
        <v>252.1635384722756</v>
      </c>
      <c r="BL59" s="126">
        <f t="shared" ref="BL59" si="327">BL58/BL56</f>
        <v>363.39261434205491</v>
      </c>
      <c r="BM59" s="126">
        <f t="shared" ref="BM59" si="328">BM58/BM56</f>
        <v>275.05353733927416</v>
      </c>
      <c r="BN59" s="126">
        <f t="shared" ref="BN59" si="329">BN58/BN56</f>
        <v>387.5669969653855</v>
      </c>
      <c r="BO59" s="126">
        <f t="shared" ref="BO59" si="330">BO58/BO56</f>
        <v>396.73629007910381</v>
      </c>
      <c r="BP59" s="126">
        <f t="shared" ref="BP59" si="331">BP58/BP56</f>
        <v>290.97630352887143</v>
      </c>
      <c r="BQ59" s="126">
        <f t="shared" ref="BQ59" si="332">BQ58/BQ56</f>
        <v>416.92745214254376</v>
      </c>
      <c r="BR59" s="126">
        <f t="shared" ref="BR59" si="333">BR58/BR56</f>
        <v>308.6783940679976</v>
      </c>
      <c r="BS59" s="126">
        <f t="shared" ref="BS59" si="334">BS58/BS56</f>
        <v>306.68584005060842</v>
      </c>
      <c r="BT59" s="126">
        <f t="shared" ref="BT59" si="335">BT58/BT56</f>
        <v>317.19923591744663</v>
      </c>
      <c r="BU59" s="126">
        <f t="shared" ref="BU59" si="336">BU58/BU56</f>
        <v>330.86471278592296</v>
      </c>
      <c r="BV59" s="126">
        <f t="shared" ref="BV59" si="337">BV58/BV56</f>
        <v>256.3947960716165</v>
      </c>
      <c r="BW59" s="126">
        <f t="shared" ref="BW59" si="338">BW58/BW56</f>
        <v>371.19673859857249</v>
      </c>
      <c r="BX59" s="126">
        <f t="shared" ref="BX59" si="339">BX58/BX56</f>
        <v>279.7171496165389</v>
      </c>
      <c r="BY59" s="126">
        <f t="shared" ref="BY59" si="340">BY58/BY56</f>
        <v>400.5279647050167</v>
      </c>
      <c r="BZ59" s="126">
        <f t="shared" ref="BZ59" si="341">BZ58/BZ56</f>
        <v>403.96639929727746</v>
      </c>
      <c r="CA59" s="126">
        <f t="shared" ref="CA59" si="342">CA58/CA56</f>
        <v>411.35779020424894</v>
      </c>
      <c r="CB59" s="126">
        <f t="shared" ref="CB59" si="343">CB58/CB56</f>
        <v>420.86055406272828</v>
      </c>
      <c r="CC59" s="126">
        <f t="shared" ref="CC59" si="344">CC58/CC56</f>
        <v>1301.5766822586004</v>
      </c>
      <c r="CD59" s="126">
        <f t="shared" ref="CD59" si="345">CD58/CD56</f>
        <v>3659.5053804794716</v>
      </c>
      <c r="CE59" s="126">
        <f t="shared" ref="CE59" si="346">CE58/CE56</f>
        <v>2746.4225865812282</v>
      </c>
      <c r="CF59" s="126">
        <f t="shared" ref="CF59" si="347">CF58/CF56</f>
        <v>3748.0855194723126</v>
      </c>
      <c r="CG59" s="126">
        <f t="shared" ref="CG59" si="348">CG58/CG56</f>
        <v>3771.7931763071238</v>
      </c>
      <c r="CH59" s="126">
        <f t="shared" ref="CH59" si="349">CH58/CH56</f>
        <v>2803.9879715982488</v>
      </c>
      <c r="CI59" s="126">
        <f t="shared" ref="CI59" si="350">CI58/CI56</f>
        <v>2845.5766624388502</v>
      </c>
      <c r="CJ59" s="126">
        <f t="shared" ref="CJ59" si="351">CJ58/CJ56</f>
        <v>5277.2574984091834</v>
      </c>
      <c r="CK59" s="126">
        <f t="shared" ref="CK59" si="352">CK58/CK56</f>
        <v>2887.4359077852005</v>
      </c>
      <c r="CL59" s="126">
        <f t="shared" ref="CL59" si="353">CL58/CL56</f>
        <v>3838.5294338458957</v>
      </c>
      <c r="CM59" s="126">
        <f t="shared" ref="CM59" si="354">CM58/CM56</f>
        <v>2918.9936495113939</v>
      </c>
      <c r="CN59" s="126">
        <f t="shared" ref="CN59" si="355">CN58/CN56</f>
        <v>3973.2519302416817</v>
      </c>
      <c r="CO59" s="126">
        <f t="shared" ref="CO59" si="356">CO58/CO56</f>
        <v>2980.2817399195146</v>
      </c>
      <c r="CP59" s="126">
        <f t="shared" ref="CP59" si="357">CP58/CP56</f>
        <v>4022.0525660660569</v>
      </c>
      <c r="CQ59" s="126">
        <f t="shared" ref="CQ59" si="358">CQ58/CQ56</f>
        <v>3034.844944860351</v>
      </c>
      <c r="CR59" s="126">
        <f t="shared" ref="CR59" si="359">CR58/CR56</f>
        <v>4102.1035735692658</v>
      </c>
      <c r="CS59" s="126">
        <f t="shared" ref="CS59" si="360">CS58/CS56</f>
        <v>4132.407287254885</v>
      </c>
      <c r="CT59" s="126">
        <f t="shared" ref="CT59" si="361">CT58/CT56</f>
        <v>2377.0964366119269</v>
      </c>
      <c r="CU59" s="126">
        <f t="shared" ref="CU59" si="362">CU58/CU56</f>
        <v>3142.1436504974076</v>
      </c>
      <c r="CV59" s="126">
        <f t="shared" ref="CV59" si="363">CV58/CV56</f>
        <v>4242.0075949696447</v>
      </c>
      <c r="CW59" s="126">
        <f t="shared" ref="CW59" si="364">CW58/CW56</f>
        <v>4269.8890910964492</v>
      </c>
      <c r="CX59" s="126">
        <f t="shared" ref="CX59" si="365">CX58/CX56</f>
        <v>3215.5589502716816</v>
      </c>
      <c r="CY59" s="126">
        <f t="shared" ref="CY59" si="366">CY58/CY56</f>
        <v>4325.9787782269068</v>
      </c>
      <c r="CZ59" s="126">
        <f t="shared" ref="CZ59" si="367">CZ58/CZ56</f>
        <v>3254.1586688969901</v>
      </c>
      <c r="DA59" s="126">
        <f t="shared" ref="DA59" si="368">DA58/DA56</f>
        <v>4376.3250475740451</v>
      </c>
      <c r="DB59" s="126">
        <f t="shared" ref="DB59" si="369">DB58/DB56</f>
        <v>3317.9197029734351</v>
      </c>
      <c r="DC59" s="126">
        <f t="shared" ref="DC59" si="370">DC58/DC56</f>
        <v>4485.4204045261877</v>
      </c>
      <c r="DD59" s="126">
        <f t="shared" ref="DD59" si="371">DD58/DD56</f>
        <v>4514.0471384309249</v>
      </c>
      <c r="DE59" s="126">
        <f t="shared" ref="DE59" si="372">DE58/DE56</f>
        <v>6284.6431332099664</v>
      </c>
      <c r="DF59" s="126">
        <f t="shared" ref="DF59" si="373">DF58/DF56</f>
        <v>4577.8576575245925</v>
      </c>
      <c r="DG59" s="126">
        <f t="shared" ref="DG59" si="374">DG58/DG56</f>
        <v>4549.6873153918641</v>
      </c>
      <c r="DH59" s="126">
        <f t="shared" ref="DH59" si="375">DH58/DH56</f>
        <v>6408.494180740081</v>
      </c>
      <c r="DI59" s="126">
        <f t="shared" ref="DI59" si="376">DI58/DI56</f>
        <v>4635.9225894203146</v>
      </c>
      <c r="DJ59" s="126">
        <f t="shared" ref="DJ59" si="377">DJ58/DJ56</f>
        <v>4694.1415220495373</v>
      </c>
      <c r="DK59" s="126">
        <f t="shared" ref="DK59" si="378">DK58/DK56</f>
        <v>3511.1090153224991</v>
      </c>
      <c r="DL59" s="126">
        <f t="shared" ref="DL59" si="379">DL58/DL56</f>
        <v>4782.4603682068619</v>
      </c>
      <c r="DM59" s="126">
        <f t="shared" ref="DM59" si="380">DM58/DM56</f>
        <v>3586.8954596378335</v>
      </c>
      <c r="DN59" s="126">
        <f t="shared" ref="DN59" si="381">DN58/DN56</f>
        <v>4811.3642005888951</v>
      </c>
      <c r="DO59" s="126">
        <f t="shared" ref="DO59" si="382">DO58/DO56</f>
        <v>3622.6091066974072</v>
      </c>
      <c r="DP59" s="126">
        <f t="shared" ref="DP59" si="383">DP58/DP56</f>
        <v>4887.3258009404035</v>
      </c>
      <c r="DQ59" s="126">
        <f t="shared" ref="DQ59" si="384">DQ58/DQ56</f>
        <v>4937.5866132109604</v>
      </c>
      <c r="DR59" s="126">
        <f t="shared" ref="DR59" si="385">DR58/DR56</f>
        <v>4974.4034762827268</v>
      </c>
      <c r="DS59" s="126">
        <f t="shared" ref="DS59" si="386">DS58/DS56</f>
        <v>4650.498208815754</v>
      </c>
      <c r="DT59" s="126">
        <f t="shared" ref="DT59" si="387">DT58/DT56</f>
        <v>5049.3421463826371</v>
      </c>
      <c r="DU59" s="126">
        <f t="shared" ref="DU59" si="388">DU58/DU56</f>
        <v>7022.8539855342415</v>
      </c>
      <c r="DV59" s="126">
        <f t="shared" ref="DV59" si="389">DV58/DV56</f>
        <v>3819.2468291083223</v>
      </c>
      <c r="DW59" s="126">
        <f t="shared" ref="DW59" si="390">DW58/DW56</f>
        <v>18561.066261819316</v>
      </c>
      <c r="DX59" s="126">
        <f t="shared" ref="DX59" si="391">DX58/DX56</f>
        <v>43404.573829069021</v>
      </c>
      <c r="DY59" s="126">
        <f t="shared" ref="DY59" si="392">DY58/DY56</f>
        <v>32618.578151448815</v>
      </c>
      <c r="DZ59" s="126">
        <f t="shared" ref="DZ59" si="393">DZ58/DZ56</f>
        <v>43979.452922050739</v>
      </c>
      <c r="EA59" s="126">
        <f t="shared" ref="EA59" si="394">EA58/EA56</f>
        <v>43940.43422945476</v>
      </c>
      <c r="EB59" s="126">
        <f t="shared" ref="EB59" si="395">EB58/EB56</f>
        <v>44023.567451387236</v>
      </c>
      <c r="EC59" s="126">
        <f t="shared" ref="EC59" si="396">EC58/EC56</f>
        <v>44137.311710764719</v>
      </c>
      <c r="ED59" s="126">
        <f t="shared" ref="ED59" si="397">ED58/ED56</f>
        <v>44312.568081835212</v>
      </c>
      <c r="EE59" s="126">
        <f t="shared" ref="EE59" si="398">EE58/EE56</f>
        <v>44395.810372764674</v>
      </c>
      <c r="EF59" s="126">
        <f t="shared" ref="EF59" si="399">EF58/EF56</f>
        <v>44448.268404653121</v>
      </c>
      <c r="EG59" s="126">
        <f t="shared" ref="EG59" si="400">EG58/EG56</f>
        <v>44903.609072684318</v>
      </c>
      <c r="EH59" s="126">
        <f t="shared" ref="EH59:GS59" si="401">EH58/EH56</f>
        <v>37625.219740887318</v>
      </c>
      <c r="EI59" s="126">
        <f t="shared" si="401"/>
        <v>34137.981837089363</v>
      </c>
      <c r="EJ59" s="126">
        <f t="shared" si="401"/>
        <v>37888.707855090885</v>
      </c>
      <c r="EK59" s="126">
        <f t="shared" si="401"/>
        <v>34376.658079783709</v>
      </c>
      <c r="EL59" s="126">
        <f t="shared" si="401"/>
        <v>34498.281907460463</v>
      </c>
      <c r="EM59" s="126">
        <f t="shared" si="401"/>
        <v>38287.897281423429</v>
      </c>
      <c r="EN59" s="126">
        <f t="shared" si="401"/>
        <v>34738.254403137827</v>
      </c>
      <c r="EO59" s="126">
        <f t="shared" si="401"/>
        <v>38553.769383341831</v>
      </c>
      <c r="EP59" s="126">
        <f t="shared" si="401"/>
        <v>34979.08662152099</v>
      </c>
      <c r="EQ59" s="126">
        <f t="shared" si="401"/>
        <v>35101.806300913799</v>
      </c>
      <c r="ER59" s="126">
        <f t="shared" si="401"/>
        <v>48149.935717443121</v>
      </c>
      <c r="ES59" s="126">
        <f t="shared" si="401"/>
        <v>35335.983224991891</v>
      </c>
      <c r="ET59" s="126">
        <f t="shared" si="401"/>
        <v>39216.002445706428</v>
      </c>
      <c r="EU59" s="126">
        <f t="shared" si="401"/>
        <v>35578.944464607506</v>
      </c>
      <c r="EV59" s="126">
        <f t="shared" si="401"/>
        <v>39485.180141588724</v>
      </c>
      <c r="EW59" s="126">
        <f t="shared" si="401"/>
        <v>35822.766116286359</v>
      </c>
      <c r="EX59" s="126">
        <f t="shared" si="401"/>
        <v>35947.005279379526</v>
      </c>
      <c r="EY59" s="126">
        <f t="shared" si="401"/>
        <v>39892.953063343804</v>
      </c>
      <c r="EZ59" s="126">
        <f t="shared" si="401"/>
        <v>36192.124974104983</v>
      </c>
      <c r="FA59" s="126">
        <f t="shared" si="401"/>
        <v>40164.518038948663</v>
      </c>
      <c r="FB59" s="126">
        <f t="shared" si="401"/>
        <v>36438.105573837092</v>
      </c>
      <c r="FC59" s="126">
        <f t="shared" si="401"/>
        <v>36563.44209568073</v>
      </c>
      <c r="FD59" s="126">
        <f t="shared" si="401"/>
        <v>50151.315176677555</v>
      </c>
      <c r="FE59" s="126">
        <f t="shared" si="401"/>
        <v>36802.6003011391</v>
      </c>
      <c r="FF59" s="126">
        <f t="shared" si="401"/>
        <v>40840.84890363225</v>
      </c>
      <c r="FG59" s="126">
        <f t="shared" si="401"/>
        <v>37050.712833209851</v>
      </c>
      <c r="FH59" s="126">
        <f t="shared" si="401"/>
        <v>41115.723992869782</v>
      </c>
      <c r="FI59" s="126">
        <f t="shared" si="401"/>
        <v>37299.686947121605</v>
      </c>
      <c r="FJ59" s="126">
        <f t="shared" si="401"/>
        <v>37426.54502178332</v>
      </c>
      <c r="FK59" s="126">
        <f t="shared" si="401"/>
        <v>41532.092146325733</v>
      </c>
      <c r="FL59" s="126">
        <f t="shared" si="401"/>
        <v>37676.818936284144</v>
      </c>
      <c r="FM59" s="126">
        <f t="shared" si="401"/>
        <v>41809.35774748843</v>
      </c>
      <c r="FN59" s="126">
        <f t="shared" si="401"/>
        <v>37927.954916701216</v>
      </c>
      <c r="FO59" s="126">
        <f t="shared" si="401"/>
        <v>38055.911829880097</v>
      </c>
      <c r="FP59" s="126">
        <f t="shared" si="401"/>
        <v>46862.765161307165</v>
      </c>
      <c r="FQ59" s="126">
        <f t="shared" si="401"/>
        <v>321786.44881337677</v>
      </c>
      <c r="FR59" s="126">
        <f t="shared" si="401"/>
        <v>356464.2879667416</v>
      </c>
      <c r="FS59" s="126">
        <f t="shared" si="401"/>
        <v>322849.02748668264</v>
      </c>
      <c r="FT59" s="126">
        <f t="shared" si="401"/>
        <v>357640.40856131015</v>
      </c>
      <c r="FU59" s="126">
        <f t="shared" si="401"/>
        <v>323913.41646063747</v>
      </c>
      <c r="FV59" s="126">
        <f t="shared" si="401"/>
        <v>324455.02927349566</v>
      </c>
      <c r="FW59" s="126">
        <f t="shared" si="401"/>
        <v>359418.01667172997</v>
      </c>
      <c r="FX59" s="126">
        <f t="shared" si="401"/>
        <v>325522.14891463966</v>
      </c>
      <c r="FY59" s="126">
        <f t="shared" si="401"/>
        <v>360599.15932975727</v>
      </c>
      <c r="FZ59" s="126">
        <f t="shared" si="401"/>
        <v>326591.07935683866</v>
      </c>
      <c r="GA59" s="126">
        <f t="shared" si="401"/>
        <v>327135.00032050331</v>
      </c>
      <c r="GB59" s="126">
        <f t="shared" si="401"/>
        <v>447878.15423941507</v>
      </c>
      <c r="GC59" s="126">
        <f t="shared" si="401"/>
        <v>328171.49700989341</v>
      </c>
      <c r="GD59" s="126">
        <f t="shared" si="401"/>
        <v>363531.58639891644</v>
      </c>
      <c r="GE59" s="126">
        <f t="shared" si="401"/>
        <v>329244.91078219243</v>
      </c>
      <c r="GF59" s="126">
        <f t="shared" si="401"/>
        <v>364719.69002181303</v>
      </c>
      <c r="GG59" s="126">
        <f t="shared" si="401"/>
        <v>330320.13604587124</v>
      </c>
      <c r="GH59" s="126">
        <f t="shared" si="401"/>
        <v>330867.25628139917</v>
      </c>
      <c r="GI59" s="126">
        <f t="shared" si="401"/>
        <v>366515.37338439922</v>
      </c>
      <c r="GJ59" s="126">
        <f t="shared" si="401"/>
        <v>331945.21400480589</v>
      </c>
      <c r="GK59" s="126">
        <f t="shared" si="401"/>
        <v>367708.50236739503</v>
      </c>
      <c r="GL59" s="126">
        <f t="shared" si="401"/>
        <v>333024.98371560971</v>
      </c>
      <c r="GM59" s="126">
        <f t="shared" si="401"/>
        <v>333574.41361412482</v>
      </c>
      <c r="GN59" s="126">
        <f t="shared" si="401"/>
        <v>456686.85991010553</v>
      </c>
      <c r="GO59" s="126">
        <f t="shared" si="401"/>
        <v>334621.39589490654</v>
      </c>
      <c r="GP59" s="126">
        <f t="shared" si="401"/>
        <v>370670.60613835661</v>
      </c>
      <c r="GQ59" s="126">
        <f t="shared" si="401"/>
        <v>335705.65186502034</v>
      </c>
      <c r="GR59" s="126">
        <f t="shared" si="401"/>
        <v>371870.70063409966</v>
      </c>
      <c r="GS59" s="126">
        <f t="shared" si="401"/>
        <v>336791.7205068341</v>
      </c>
      <c r="GT59" s="126">
        <f t="shared" ref="GT59:HJ59" si="402">GT58/GT56</f>
        <v>337344.35176336067</v>
      </c>
      <c r="GU59" s="126">
        <f t="shared" si="402"/>
        <v>373684.47105819848</v>
      </c>
      <c r="GV59" s="126">
        <f t="shared" si="402"/>
        <v>338433.15464179969</v>
      </c>
      <c r="GW59" s="126">
        <f t="shared" si="402"/>
        <v>374889.59418191772</v>
      </c>
      <c r="GX59" s="126">
        <f t="shared" si="402"/>
        <v>339523.77068364929</v>
      </c>
      <c r="GY59" s="126">
        <f t="shared" si="402"/>
        <v>340078.71310217521</v>
      </c>
      <c r="GZ59" s="126">
        <f t="shared" si="402"/>
        <v>465584.25145276013</v>
      </c>
      <c r="HA59" s="126">
        <f t="shared" si="402"/>
        <v>341136.1877903805</v>
      </c>
      <c r="HB59" s="126">
        <f t="shared" si="402"/>
        <v>377881.39395288663</v>
      </c>
      <c r="HC59" s="126">
        <f t="shared" si="402"/>
        <v>342231.29299531429</v>
      </c>
      <c r="HD59" s="126">
        <f t="shared" si="402"/>
        <v>379093.48709773697</v>
      </c>
      <c r="HE59" s="126">
        <f t="shared" si="402"/>
        <v>343328.21204204112</v>
      </c>
      <c r="HF59" s="126">
        <f t="shared" si="402"/>
        <v>343886.35788664536</v>
      </c>
      <c r="HG59" s="126">
        <f t="shared" si="402"/>
        <v>380925.35629013774</v>
      </c>
      <c r="HH59" s="126">
        <f t="shared" si="402"/>
        <v>344986.01293153624</v>
      </c>
      <c r="HI59" s="126">
        <f t="shared" si="402"/>
        <v>382142.48130258918</v>
      </c>
      <c r="HJ59" s="126">
        <f t="shared" si="402"/>
        <v>346087.48230570444</v>
      </c>
    </row>
    <row r="60" spans="2:218" s="4" customFormat="1" x14ac:dyDescent="0.35">
      <c r="B60" s="23" t="s">
        <v>153</v>
      </c>
      <c r="C60" s="131">
        <f>INDEX(BTCUSD!$I$10:$I$156,MATCH(C$50,BTCUSD!$H$10:$H$156,0))</f>
        <v>0</v>
      </c>
      <c r="D60" s="131">
        <f>INDEX(BTCUSD!$I$10:$I$156,MATCH(D$50,BTCUSD!$H$10:$H$156,0))</f>
        <v>0</v>
      </c>
      <c r="E60" s="131">
        <f>INDEX(BTCUSD!$I$10:$I$156,MATCH(E$50,BTCUSD!$H$10:$H$156,0))</f>
        <v>0</v>
      </c>
      <c r="F60" s="131">
        <f>INDEX(BTCUSD!$I$10:$I$156,MATCH(F$50,BTCUSD!$H$10:$H$156,0))</f>
        <v>0</v>
      </c>
      <c r="G60" s="131">
        <f>INDEX(BTCUSD!$I$10:$I$156,MATCH(G$50,BTCUSD!$H$10:$H$156,0))</f>
        <v>0</v>
      </c>
      <c r="H60" s="131">
        <f>INDEX(BTCUSD!$I$10:$I$156,MATCH(H$50,BTCUSD!$H$10:$H$156,0))</f>
        <v>0</v>
      </c>
      <c r="I60" s="131">
        <f>INDEX(BTCUSD!$I$10:$I$156,MATCH(I$50,BTCUSD!$H$10:$H$156,0))</f>
        <v>0</v>
      </c>
      <c r="J60" s="131">
        <f>INDEX(BTCUSD!$I$10:$I$156,MATCH(J$50,BTCUSD!$H$10:$H$156,0))</f>
        <v>0.06</v>
      </c>
      <c r="K60" s="131">
        <f>INDEX(BTCUSD!$I$10:$I$156,MATCH(K$50,BTCUSD!$H$10:$H$156,0))</f>
        <v>0.06</v>
      </c>
      <c r="L60" s="131">
        <f>INDEX(BTCUSD!$I$10:$I$156,MATCH(L$50,BTCUSD!$H$10:$H$156,0))</f>
        <v>0.19</v>
      </c>
      <c r="M60" s="131">
        <f>INDEX(BTCUSD!$I$10:$I$156,MATCH(M$50,BTCUSD!$H$10:$H$156,0))</f>
        <v>0.28000000000000003</v>
      </c>
      <c r="N60" s="131">
        <f>INDEX(BTCUSD!$I$10:$I$156,MATCH(N$50,BTCUSD!$H$10:$H$156,0))</f>
        <v>0.3</v>
      </c>
      <c r="O60" s="131">
        <f>INDEX(BTCUSD!$I$10:$I$156,MATCH(O$50,BTCUSD!$H$10:$H$156,0))</f>
        <v>0.45</v>
      </c>
      <c r="P60" s="131">
        <f>INDEX(BTCUSD!$I$10:$I$156,MATCH(P$50,BTCUSD!$H$10:$H$156,0))</f>
        <v>0.96</v>
      </c>
      <c r="Q60" s="131">
        <f>INDEX(BTCUSD!$I$10:$I$156,MATCH(Q$50,BTCUSD!$H$10:$H$156,0))</f>
        <v>0.8</v>
      </c>
      <c r="R60" s="131">
        <f>INDEX(BTCUSD!$I$10:$I$156,MATCH(R$50,BTCUSD!$H$10:$H$156,0))</f>
        <v>2.66</v>
      </c>
      <c r="S60" s="131">
        <f>INDEX(BTCUSD!$I$10:$I$156,MATCH(S$50,BTCUSD!$H$10:$H$156,0))</f>
        <v>8.68</v>
      </c>
      <c r="T60" s="131">
        <f>INDEX(BTCUSD!$I$10:$I$156,MATCH(T$50,BTCUSD!$H$10:$H$156,0))</f>
        <v>17.89</v>
      </c>
      <c r="U60" s="131">
        <f>INDEX(BTCUSD!$I$10:$I$156,MATCH(U$50,BTCUSD!$H$10:$H$156,0))</f>
        <v>14.06</v>
      </c>
      <c r="V60" s="131">
        <f>INDEX(BTCUSD!$I$10:$I$156,MATCH(V$50,BTCUSD!$H$10:$H$156,0))</f>
        <v>9.4</v>
      </c>
      <c r="W60" s="131">
        <f>INDEX(BTCUSD!$I$10:$I$156,MATCH(W$50,BTCUSD!$H$10:$H$156,0))</f>
        <v>4.95</v>
      </c>
      <c r="X60" s="131">
        <f>INDEX(BTCUSD!$I$10:$I$156,MATCH(X$50,BTCUSD!$H$10:$H$156,0))</f>
        <v>3.39</v>
      </c>
      <c r="Y60" s="131">
        <f>INDEX(BTCUSD!$I$10:$I$156,MATCH(Y$50,BTCUSD!$H$10:$H$156,0))</f>
        <v>2.5099999999999998</v>
      </c>
      <c r="Z60" s="131">
        <f>INDEX(BTCUSD!$I$10:$I$156,MATCH(Z$50,BTCUSD!$H$10:$H$156,0))</f>
        <v>4.47</v>
      </c>
      <c r="AA60" s="131">
        <f>INDEX(BTCUSD!$I$10:$I$156,MATCH(AA$50,BTCUSD!$H$10:$H$156,0))</f>
        <v>5.72</v>
      </c>
      <c r="AB60" s="131">
        <f>INDEX(BTCUSD!$I$10:$I$156,MATCH(AB$50,BTCUSD!$H$10:$H$156,0))</f>
        <v>4.9800000000000004</v>
      </c>
      <c r="AC60" s="131">
        <f>INDEX(BTCUSD!$I$10:$I$156,MATCH(AC$50,BTCUSD!$H$10:$H$156,0))</f>
        <v>4.8499999999999996</v>
      </c>
      <c r="AD60" s="131">
        <f>INDEX(BTCUSD!$I$10:$I$156,MATCH(AD$50,BTCUSD!$H$10:$H$156,0))</f>
        <v>5.09</v>
      </c>
      <c r="AE60" s="131">
        <f>INDEX(BTCUSD!$I$10:$I$156,MATCH(AE$50,BTCUSD!$H$10:$H$156,0))</f>
        <v>5.16</v>
      </c>
      <c r="AF60" s="131">
        <f>INDEX(BTCUSD!$I$10:$I$156,MATCH(AF$50,BTCUSD!$H$10:$H$156,0))</f>
        <v>6.58</v>
      </c>
      <c r="AG60" s="131">
        <f>INDEX(BTCUSD!$I$10:$I$156,MATCH(AG$50,BTCUSD!$H$10:$H$156,0))</f>
        <v>9.2200000000000006</v>
      </c>
      <c r="AH60" s="131">
        <f>INDEX(BTCUSD!$I$10:$I$156,MATCH(AH$50,BTCUSD!$H$10:$H$156,0))</f>
        <v>11.14</v>
      </c>
      <c r="AI60" s="131">
        <f>INDEX(BTCUSD!$I$10:$I$156,MATCH(AI$50,BTCUSD!$H$10:$H$156,0))</f>
        <v>12.46</v>
      </c>
      <c r="AJ60" s="131">
        <f>INDEX(BTCUSD!$I$10:$I$156,MATCH(AJ$50,BTCUSD!$H$10:$H$156,0))</f>
        <v>10.69</v>
      </c>
      <c r="AK60" s="131">
        <f>INDEX(BTCUSD!$I$10:$I$156,MATCH(AK$50,BTCUSD!$H$10:$H$156,0))</f>
        <v>12.5</v>
      </c>
      <c r="AL60" s="131">
        <f>INDEX(BTCUSD!$I$10:$I$156,MATCH(AL$50,BTCUSD!$H$10:$H$156,0))</f>
        <v>13.57</v>
      </c>
      <c r="AM60" s="131">
        <f>INDEX(BTCUSD!$I$10:$I$156,MATCH(AM$50,BTCUSD!$H$10:$H$156,0))</f>
        <v>19.78</v>
      </c>
      <c r="AN60" s="131">
        <f>INDEX(BTCUSD!$I$10:$I$156,MATCH(AN$50,BTCUSD!$H$10:$H$156,0))</f>
        <v>30.4</v>
      </c>
      <c r="AO60" s="131">
        <f>INDEX(BTCUSD!$I$10:$I$156,MATCH(AO$50,BTCUSD!$H$10:$H$156,0))</f>
        <v>92.5</v>
      </c>
      <c r="AP60" s="131">
        <f>INDEX(BTCUSD!$I$10:$I$156,MATCH(AP$50,BTCUSD!$H$10:$H$156,0))</f>
        <v>144.54</v>
      </c>
      <c r="AQ60" s="131">
        <f>INDEX(BTCUSD!$I$10:$I$156,MATCH(AQ$50,BTCUSD!$H$10:$H$156,0))</f>
        <v>132.30000000000001</v>
      </c>
      <c r="AR60" s="131">
        <f>INDEX(BTCUSD!$I$10:$I$156,MATCH(AR$50,BTCUSD!$H$10:$H$156,0))</f>
        <v>94.65</v>
      </c>
      <c r="AS60" s="131">
        <f>INDEX(BTCUSD!$I$10:$I$156,MATCH(AS$50,BTCUSD!$H$10:$H$156,0))</f>
        <v>98.7</v>
      </c>
      <c r="AT60" s="131">
        <f>INDEX(BTCUSD!$I$10:$I$156,MATCH(AT$50,BTCUSD!$H$10:$H$156,0))</f>
        <v>124.84</v>
      </c>
      <c r="AU60" s="131">
        <f>INDEX(BTCUSD!$I$10:$I$156,MATCH(AU$50,BTCUSD!$H$10:$H$156,0))</f>
        <v>127.01</v>
      </c>
      <c r="AV60" s="131">
        <f>INDEX(BTCUSD!$I$10:$I$156,MATCH(AV$50,BTCUSD!$H$10:$H$156,0))</f>
        <v>216</v>
      </c>
      <c r="AW60" s="131">
        <f>INDEX(BTCUSD!$I$10:$I$156,MATCH(AW$50,BTCUSD!$H$10:$H$156,0))</f>
        <v>1014.1</v>
      </c>
      <c r="AX60" s="131">
        <f>INDEX(BTCUSD!$I$10:$I$156,MATCH(AX$50,BTCUSD!$H$10:$H$156,0))</f>
        <v>715</v>
      </c>
      <c r="AY60" s="131">
        <f>INDEX(BTCUSD!$I$10:$I$156,MATCH(AY$50,BTCUSD!$H$10:$H$156,0))</f>
        <v>800</v>
      </c>
      <c r="AZ60" s="131">
        <f>INDEX(BTCUSD!$I$10:$I$156,MATCH(AZ$50,BTCUSD!$H$10:$H$156,0))</f>
        <v>585.21</v>
      </c>
      <c r="BA60" s="131">
        <f>INDEX(BTCUSD!$I$10:$I$156,MATCH(BA$50,BTCUSD!$H$10:$H$156,0))</f>
        <v>499.6</v>
      </c>
      <c r="BB60" s="131">
        <f>INDEX(BTCUSD!$I$10:$I$156,MATCH(BB$50,BTCUSD!$H$10:$H$156,0))</f>
        <v>438.8</v>
      </c>
      <c r="BC60" s="131">
        <f>INDEX(BTCUSD!$I$10:$I$156,MATCH(BC$50,BTCUSD!$H$10:$H$156,0))</f>
        <v>621.29999999999995</v>
      </c>
      <c r="BD60" s="131">
        <f>INDEX(BTCUSD!$I$10:$I$156,MATCH(BD$50,BTCUSD!$H$10:$H$156,0))</f>
        <v>599.99</v>
      </c>
      <c r="BE60" s="131">
        <f>INDEX(BTCUSD!$I$10:$I$156,MATCH(BE$50,BTCUSD!$H$10:$H$156,0))</f>
        <v>585.5</v>
      </c>
      <c r="BF60" s="131">
        <f>INDEX(BTCUSD!$I$10:$I$156,MATCH(BF$50,BTCUSD!$H$10:$H$156,0))</f>
        <v>506.61</v>
      </c>
      <c r="BG60" s="131">
        <f>INDEX(BTCUSD!$I$10:$I$156,MATCH(BG$50,BTCUSD!$H$10:$H$156,0))</f>
        <v>400.39</v>
      </c>
      <c r="BH60" s="131">
        <f>INDEX(BTCUSD!$I$10:$I$156,MATCH(BH$50,BTCUSD!$H$10:$H$156,0))</f>
        <v>345.3</v>
      </c>
      <c r="BI60" s="131">
        <f>INDEX(BTCUSD!$I$10:$I$156,MATCH(BI$50,BTCUSD!$H$10:$H$156,0))</f>
        <v>375.59</v>
      </c>
      <c r="BJ60" s="131">
        <f>INDEX(BTCUSD!$I$10:$I$156,MATCH(BJ$50,BTCUSD!$H$10:$H$156,0))</f>
        <v>313.39999999999998</v>
      </c>
      <c r="BK60" s="131">
        <f>INDEX(BTCUSD!$I$10:$I$156,MATCH(BK$50,BTCUSD!$H$10:$H$156,0))</f>
        <v>236.2</v>
      </c>
      <c r="BL60" s="131">
        <f>INDEX(BTCUSD!$I$10:$I$156,MATCH(BL$50,BTCUSD!$H$10:$H$156,0))</f>
        <v>252.11</v>
      </c>
      <c r="BM60" s="131">
        <f>INDEX(BTCUSD!$I$10:$I$156,MATCH(BM$50,BTCUSD!$H$10:$H$156,0))</f>
        <v>242.34</v>
      </c>
      <c r="BN60" s="131">
        <f>INDEX(BTCUSD!$I$10:$I$156,MATCH(BN$50,BTCUSD!$H$10:$H$156,0))</f>
        <v>225.2</v>
      </c>
      <c r="BO60" s="131">
        <f>INDEX(BTCUSD!$I$10:$I$156,MATCH(BO$50,BTCUSD!$H$10:$H$156,0))</f>
        <v>236.44</v>
      </c>
      <c r="BP60" s="131">
        <f>INDEX(BTCUSD!$I$10:$I$156,MATCH(BP$50,BTCUSD!$H$10:$H$156,0))</f>
        <v>251.21</v>
      </c>
      <c r="BQ60" s="131">
        <f>INDEX(BTCUSD!$I$10:$I$156,MATCH(BQ$50,BTCUSD!$H$10:$H$156,0))</f>
        <v>288.45</v>
      </c>
      <c r="BR60" s="131">
        <f>INDEX(BTCUSD!$I$10:$I$156,MATCH(BR$50,BTCUSD!$H$10:$H$156,0))</f>
        <v>229.63</v>
      </c>
      <c r="BS60" s="131">
        <f>INDEX(BTCUSD!$I$10:$I$156,MATCH(BS$50,BTCUSD!$H$10:$H$156,0))</f>
        <v>239.14</v>
      </c>
      <c r="BT60" s="131">
        <f>INDEX(BTCUSD!$I$10:$I$156,MATCH(BT$50,BTCUSD!$H$10:$H$156,0))</f>
        <v>304.79000000000002</v>
      </c>
      <c r="BU60" s="131">
        <f>INDEX(BTCUSD!$I$10:$I$156,MATCH(BU$50,BTCUSD!$H$10:$H$156,0))</f>
        <v>358</v>
      </c>
      <c r="BV60" s="131">
        <f>INDEX(BTCUSD!$I$10:$I$156,MATCH(BV$50,BTCUSD!$H$10:$H$156,0))</f>
        <v>428.23</v>
      </c>
      <c r="BW60" s="131">
        <f>INDEX(BTCUSD!$I$10:$I$156,MATCH(BW$50,BTCUSD!$H$10:$H$156,0))</f>
        <v>378.18</v>
      </c>
      <c r="BX60" s="131">
        <f>INDEX(BTCUSD!$I$10:$I$156,MATCH(BX$50,BTCUSD!$H$10:$H$156,0))</f>
        <v>431.89</v>
      </c>
      <c r="BY60" s="131">
        <f>INDEX(BTCUSD!$I$10:$I$156,MATCH(BY$50,BTCUSD!$H$10:$H$156,0))</f>
        <v>415.83</v>
      </c>
      <c r="BZ60" s="131">
        <f>INDEX(BTCUSD!$I$10:$I$156,MATCH(BZ$50,BTCUSD!$H$10:$H$156,0))</f>
        <v>449.98</v>
      </c>
      <c r="CA60" s="131">
        <f>INDEX(BTCUSD!$I$10:$I$156,MATCH(CA$50,BTCUSD!$H$10:$H$156,0))</f>
        <v>526.64</v>
      </c>
      <c r="CB60" s="131">
        <f>INDEX(BTCUSD!$I$10:$I$156,MATCH(CB$50,BTCUSD!$H$10:$H$156,0))</f>
        <v>651.85</v>
      </c>
      <c r="CC60" s="131">
        <f>INDEX(BTCUSD!$I$10:$I$156,MATCH(CC$50,BTCUSD!$H$10:$H$156,0))</f>
        <v>654.67999999999995</v>
      </c>
      <c r="CD60" s="131">
        <f>INDEX(BTCUSD!$I$10:$I$156,MATCH(CD$50,BTCUSD!$H$10:$H$156,0))</f>
        <v>571.5</v>
      </c>
      <c r="CE60" s="131">
        <f>INDEX(BTCUSD!$I$10:$I$156,MATCH(CE$50,BTCUSD!$H$10:$H$156,0))</f>
        <v>603.85</v>
      </c>
      <c r="CF60" s="131">
        <f>INDEX(BTCUSD!$I$10:$I$156,MATCH(CF$50,BTCUSD!$H$10:$H$156,0))</f>
        <v>685.91</v>
      </c>
      <c r="CG60" s="131">
        <f>INDEX(BTCUSD!$I$10:$I$156,MATCH(CG$50,BTCUSD!$H$10:$H$156,0))</f>
        <v>727.31</v>
      </c>
      <c r="CH60" s="131">
        <f>INDEX(BTCUSD!$I$10:$I$156,MATCH(CH$50,BTCUSD!$H$10:$H$156,0))</f>
        <v>958.12</v>
      </c>
      <c r="CI60" s="131">
        <f>INDEX(BTCUSD!$I$10:$I$156,MATCH(CI$50,BTCUSD!$H$10:$H$156,0))</f>
        <v>912.19</v>
      </c>
      <c r="CJ60" s="131">
        <f>INDEX(BTCUSD!$I$10:$I$156,MATCH(CJ$50,BTCUSD!$H$10:$H$156,0))</f>
        <v>1150.3699999999999</v>
      </c>
      <c r="CK60" s="131">
        <f>INDEX(BTCUSD!$I$10:$I$156,MATCH(CK$50,BTCUSD!$H$10:$H$156,0))</f>
        <v>1034.74</v>
      </c>
      <c r="CL60" s="131">
        <f>INDEX(BTCUSD!$I$10:$I$156,MATCH(CL$50,BTCUSD!$H$10:$H$156,0))</f>
        <v>1333</v>
      </c>
      <c r="CM60" s="131">
        <f>INDEX(BTCUSD!$I$10:$I$156,MATCH(CM$50,BTCUSD!$H$10:$H$156,0))</f>
        <v>2290.02</v>
      </c>
      <c r="CN60" s="131">
        <f>INDEX(BTCUSD!$I$10:$I$156,MATCH(CN$50,BTCUSD!$H$10:$H$156,0))</f>
        <v>2558.3000000000002</v>
      </c>
      <c r="CO60" s="131">
        <f>INDEX(BTCUSD!$I$10:$I$156,MATCH(CO$50,BTCUSD!$H$10:$H$156,0))</f>
        <v>2784.8</v>
      </c>
      <c r="CP60" s="131">
        <f>INDEX(BTCUSD!$I$10:$I$156,MATCH(CP$50,BTCUSD!$H$10:$H$156,0))</f>
        <v>4582.5200000000004</v>
      </c>
      <c r="CQ60" s="131">
        <f>INDEX(BTCUSD!$I$10:$I$156,MATCH(CQ$50,BTCUSD!$H$10:$H$156,0))</f>
        <v>4164.2700000000004</v>
      </c>
      <c r="CR60" s="131">
        <f>INDEX(BTCUSD!$I$10:$I$156,MATCH(CR$50,BTCUSD!$H$10:$H$156,0))</f>
        <v>6136.49</v>
      </c>
      <c r="CS60" s="131">
        <f>INDEX(BTCUSD!$I$10:$I$156,MATCH(CS$50,BTCUSD!$H$10:$H$156,0))</f>
        <v>9919</v>
      </c>
      <c r="CT60" s="131">
        <f>INDEX(BTCUSD!$I$10:$I$156,MATCH(CT$50,BTCUSD!$H$10:$H$156,0))</f>
        <v>14214.01</v>
      </c>
      <c r="CU60" s="131">
        <f>INDEX(BTCUSD!$I$10:$I$156,MATCH(CU$50,BTCUSD!$H$10:$H$156,0))</f>
        <v>10082.52</v>
      </c>
      <c r="CV60" s="131">
        <f>INDEX(BTCUSD!$I$10:$I$156,MATCH(CV$50,BTCUSD!$H$10:$H$156,0))</f>
        <v>10319.459999999999</v>
      </c>
      <c r="CW60" s="131">
        <f>INDEX(BTCUSD!$I$10:$I$156,MATCH(CW$50,BTCUSD!$H$10:$H$156,0))</f>
        <v>7950.61</v>
      </c>
      <c r="CX60" s="131">
        <f>INDEX(BTCUSD!$I$10:$I$156,MATCH(CX$50,BTCUSD!$H$10:$H$156,0))</f>
        <v>8928.5499999999993</v>
      </c>
      <c r="CY60" s="131">
        <f>INDEX(BTCUSD!$I$10:$I$156,MATCH(CY$50,BTCUSD!$H$10:$H$156,0))</f>
        <v>7386.72</v>
      </c>
      <c r="CZ60" s="131">
        <f>INDEX(BTCUSD!$I$10:$I$156,MATCH(CZ$50,BTCUSD!$H$10:$H$156,0))</f>
        <v>6223.28</v>
      </c>
      <c r="DA60" s="131">
        <f>INDEX(BTCUSD!$I$10:$I$156,MATCH(DA$50,BTCUSD!$H$10:$H$156,0))</f>
        <v>8220.91</v>
      </c>
      <c r="DB60" s="131">
        <f>INDEX(BTCUSD!$I$10:$I$156,MATCH(DB$50,BTCUSD!$H$10:$H$156,0))</f>
        <v>7078.19</v>
      </c>
      <c r="DC60" s="131">
        <f>INDEX(BTCUSD!$I$10:$I$156,MATCH(DC$50,BTCUSD!$H$10:$H$156,0))</f>
        <v>6686.08</v>
      </c>
      <c r="DD60" s="131">
        <f>INDEX(BTCUSD!$I$10:$I$156,MATCH(DD$50,BTCUSD!$H$10:$H$156,0))</f>
        <v>6301.61</v>
      </c>
      <c r="DE60" s="131">
        <f>INDEX(BTCUSD!$I$10:$I$156,MATCH(DE$50,BTCUSD!$H$10:$H$156,0))</f>
        <v>4278.7700000000004</v>
      </c>
      <c r="DF60" s="131">
        <f>INDEX(BTCUSD!$I$10:$I$156,MATCH(DF$50,BTCUSD!$H$10:$H$156,0))</f>
        <v>3770.36</v>
      </c>
      <c r="DG60" s="131">
        <f>INDEX(BTCUSD!$I$10:$I$156,MATCH(DG$50,BTCUSD!$H$10:$H$156,0))</f>
        <v>3448.58</v>
      </c>
      <c r="DH60" s="131">
        <f>INDEX(BTCUSD!$I$10:$I$156,MATCH(DH$50,BTCUSD!$H$10:$H$156,0))</f>
        <v>3833.23</v>
      </c>
      <c r="DI60" s="131">
        <f>INDEX(BTCUSD!$I$10:$I$156,MATCH(DI$50,BTCUSD!$H$10:$H$156,0))</f>
        <v>4115.55</v>
      </c>
      <c r="DJ60" s="131">
        <f>INDEX(BTCUSD!$I$10:$I$156,MATCH(DJ$50,BTCUSD!$H$10:$H$156,0))</f>
        <v>5301.29</v>
      </c>
      <c r="DK60" s="131">
        <f>INDEX(BTCUSD!$I$10:$I$156,MATCH(DK$50,BTCUSD!$H$10:$H$156,0))</f>
        <v>8719.8799999999992</v>
      </c>
      <c r="DL60" s="131">
        <f>INDEX(BTCUSD!$I$10:$I$156,MATCH(DL$50,BTCUSD!$H$10:$H$156,0))</f>
        <v>11132.85</v>
      </c>
      <c r="DM60" s="131">
        <f>INDEX(BTCUSD!$I$10:$I$156,MATCH(DM$50,BTCUSD!$H$10:$H$156,0))</f>
        <v>9589.1299999999992</v>
      </c>
      <c r="DN60" s="131">
        <f>INDEX(BTCUSD!$I$10:$I$156,MATCH(DN$50,BTCUSD!$H$10:$H$156,0))</f>
        <v>9484.5499999999993</v>
      </c>
      <c r="DO60" s="131">
        <f>INDEX(BTCUSD!$I$10:$I$156,MATCH(DO$50,BTCUSD!$H$10:$H$156,0))</f>
        <v>8225</v>
      </c>
      <c r="DP60" s="131">
        <f>INDEX(BTCUSD!$I$10:$I$156,MATCH(DP$50,BTCUSD!$H$10:$H$156,0))</f>
        <v>9218.76</v>
      </c>
      <c r="DQ60" s="131">
        <f>INDEX(BTCUSD!$I$10:$I$156,MATCH(DQ$50,BTCUSD!$H$10:$H$156,0))</f>
        <v>7523.83</v>
      </c>
      <c r="DR60" s="131">
        <f>INDEX(BTCUSD!$I$10:$I$156,MATCH(DR$50,BTCUSD!$H$10:$H$156,0))</f>
        <v>7219.6</v>
      </c>
      <c r="DS60" s="131">
        <f>INDEX(BTCUSD!$I$10:$I$156,MATCH(DS$50,BTCUSD!$H$10:$H$156,0))</f>
        <v>9279.81</v>
      </c>
      <c r="DT60" s="131">
        <f>INDEX(BTCUSD!$I$10:$I$156,MATCH(DT$50,BTCUSD!$H$10:$H$156,0))</f>
        <v>8712.35</v>
      </c>
      <c r="DU60" s="131">
        <f>INDEX(BTCUSD!$I$10:$I$156,MATCH(DU$50,BTCUSD!$H$10:$H$156,0))</f>
        <v>5885.41</v>
      </c>
      <c r="DV60" s="131">
        <f>INDEX(BTCUSD!$I$10:$I$156,MATCH(DV$50,BTCUSD!$H$10:$H$156,0))</f>
        <v>7765.33</v>
      </c>
      <c r="DW60" s="131">
        <f>INDEX(BTCUSD!$I$10:$I$156,MATCH(DW$50,BTCUSD!$H$10:$H$156,0))</f>
        <v>9569.2099999999991</v>
      </c>
      <c r="DX60" s="131">
        <f>INDEX(BTCUSD!$I$10:$I$156,MATCH(DX$50,BTCUSD!$H$10:$H$156,0))</f>
        <v>9004.23</v>
      </c>
      <c r="DY60" s="131">
        <f>INDEX(BTCUSD!$I$10:$I$156,MATCH(DY$50,BTCUSD!$H$10:$H$156,0))</f>
        <v>11114.93</v>
      </c>
      <c r="DZ60" s="131">
        <f>INDEX(BTCUSD!$I$10:$I$156,MATCH(DZ$50,BTCUSD!$H$10:$H$156,0))</f>
        <v>11481.64</v>
      </c>
      <c r="EA60" s="131">
        <f>INDEX(BTCUSD!$I$10:$I$156,MATCH(EA$50,BTCUSD!$H$10:$H$156,0))</f>
        <v>10692.33</v>
      </c>
      <c r="EB60" s="131">
        <f>INDEX(BTCUSD!$I$10:$I$156,MATCH(EB$50,BTCUSD!$H$10:$H$156,0))</f>
        <v>13289</v>
      </c>
      <c r="EC60" s="131">
        <f>INDEX(BTCUSD!$I$10:$I$156,MATCH(EC$50,BTCUSD!$H$10:$H$156,0))</f>
        <v>17138.87</v>
      </c>
      <c r="ED60" s="131">
        <f>INDEX(BTCUSD!$I$10:$I$156,MATCH(ED$50,BTCUSD!$H$10:$H$156,0))</f>
        <v>28856.59</v>
      </c>
      <c r="EE60" s="131">
        <f>INDEX(BTCUSD!$I$10:$I$156,MATCH(EE$50,BTCUSD!$H$10:$H$156,0))</f>
        <v>34314.26</v>
      </c>
      <c r="EF60" s="131">
        <f>INDEX(BTCUSD!$I$10:$I$156,MATCH(EF$50,BTCUSD!$H$10:$H$156,0))</f>
        <v>46800.42</v>
      </c>
      <c r="EG60" s="131">
        <f>INDEX(BTCUSD!$I$10:$I$156,MATCH(EG$50,BTCUSD!$H$10:$H$156,0))</f>
        <v>58730.13</v>
      </c>
      <c r="EH60" s="131"/>
      <c r="EI60" s="131"/>
      <c r="EJ60" s="131"/>
      <c r="EK60" s="131"/>
      <c r="EL60" s="131"/>
      <c r="EM60" s="131"/>
      <c r="EN60" s="131"/>
      <c r="EO60" s="131"/>
      <c r="EP60" s="131"/>
      <c r="EQ60" s="131"/>
      <c r="ER60" s="131"/>
      <c r="ES60" s="131"/>
      <c r="ET60" s="131"/>
      <c r="EU60" s="131"/>
      <c r="EV60" s="131"/>
      <c r="EW60" s="131"/>
      <c r="EX60" s="131"/>
      <c r="EY60" s="131"/>
      <c r="EZ60" s="131"/>
      <c r="FA60" s="131"/>
      <c r="FB60" s="131"/>
      <c r="FC60" s="131"/>
      <c r="FD60" s="131"/>
      <c r="FE60" s="131"/>
      <c r="FF60" s="131"/>
      <c r="FG60" s="131"/>
      <c r="FH60" s="131"/>
      <c r="FI60" s="131"/>
      <c r="FJ60" s="131"/>
      <c r="FK60" s="131"/>
      <c r="FL60" s="131"/>
      <c r="FM60" s="131"/>
      <c r="FN60" s="131"/>
      <c r="FO60" s="131"/>
      <c r="FP60" s="131"/>
      <c r="FQ60" s="131"/>
      <c r="FR60" s="131"/>
      <c r="FS60" s="131"/>
      <c r="FT60" s="131"/>
      <c r="FU60" s="131"/>
      <c r="FV60" s="131"/>
      <c r="FW60" s="131"/>
      <c r="FX60" s="131"/>
      <c r="FY60" s="131"/>
      <c r="FZ60" s="131"/>
      <c r="GA60" s="131"/>
      <c r="GB60" s="131"/>
      <c r="GC60" s="131"/>
      <c r="GD60" s="131"/>
      <c r="GE60" s="131"/>
      <c r="GF60" s="131"/>
      <c r="GG60" s="131"/>
      <c r="GH60" s="131"/>
      <c r="GI60" s="131"/>
      <c r="GJ60" s="131"/>
      <c r="GK60" s="131"/>
      <c r="GL60" s="131"/>
      <c r="GM60" s="131"/>
      <c r="GN60" s="131"/>
      <c r="GO60" s="131"/>
      <c r="GP60" s="131"/>
      <c r="GQ60" s="131"/>
      <c r="GR60" s="131"/>
      <c r="GS60" s="131"/>
      <c r="GT60" s="131"/>
      <c r="GU60" s="131"/>
      <c r="GV60" s="131"/>
      <c r="GW60" s="131"/>
      <c r="GX60" s="131"/>
      <c r="GY60" s="131"/>
      <c r="GZ60" s="131"/>
      <c r="HA60" s="131"/>
      <c r="HB60" s="131"/>
      <c r="HC60" s="131"/>
      <c r="HD60" s="131"/>
      <c r="HE60" s="131"/>
      <c r="HF60" s="131"/>
      <c r="HG60" s="131"/>
      <c r="HH60" s="131"/>
      <c r="HI60" s="131"/>
      <c r="HJ60" s="131"/>
    </row>
    <row r="61" spans="2:218" ht="13.3" thickBot="1" x14ac:dyDescent="0.4">
      <c r="B61" s="32" t="s">
        <v>154</v>
      </c>
      <c r="C61" s="139">
        <f t="shared" ref="C61:AH61" si="403">IFERROR(C60/C59-1,"")</f>
        <v>-1</v>
      </c>
      <c r="D61" s="139">
        <f t="shared" si="403"/>
        <v>-1</v>
      </c>
      <c r="E61" s="139">
        <f t="shared" si="403"/>
        <v>-1</v>
      </c>
      <c r="F61" s="139">
        <f t="shared" si="403"/>
        <v>-1</v>
      </c>
      <c r="G61" s="139">
        <f t="shared" si="403"/>
        <v>-1</v>
      </c>
      <c r="H61" s="139">
        <f t="shared" si="403"/>
        <v>-1</v>
      </c>
      <c r="I61" s="139">
        <f t="shared" si="403"/>
        <v>-1</v>
      </c>
      <c r="J61" s="139">
        <f t="shared" si="403"/>
        <v>-0.85902828743019632</v>
      </c>
      <c r="K61" s="139">
        <f t="shared" si="403"/>
        <v>-0.9137743887657821</v>
      </c>
      <c r="L61" s="139">
        <f t="shared" si="403"/>
        <v>-0.77525525185946798</v>
      </c>
      <c r="M61" s="139">
        <f t="shared" si="403"/>
        <v>-0.72582942928635308</v>
      </c>
      <c r="N61" s="139">
        <f t="shared" si="403"/>
        <v>-0.80520983992810635</v>
      </c>
      <c r="O61" s="139">
        <f t="shared" si="403"/>
        <v>-0.75376389680158928</v>
      </c>
      <c r="P61" s="139">
        <f t="shared" si="403"/>
        <v>-0.41965915871872894</v>
      </c>
      <c r="Q61" s="139">
        <f t="shared" si="403"/>
        <v>-0.81485319833875192</v>
      </c>
      <c r="R61" s="139">
        <f t="shared" si="403"/>
        <v>-7.2091608819728759E-3</v>
      </c>
      <c r="S61" s="139">
        <f t="shared" si="403"/>
        <v>4.6960778478899909</v>
      </c>
      <c r="T61" s="139">
        <f t="shared" si="403"/>
        <v>7.2036623818325314</v>
      </c>
      <c r="U61" s="139">
        <f t="shared" si="403"/>
        <v>1.6922710047368406</v>
      </c>
      <c r="V61" s="139">
        <f t="shared" si="403"/>
        <v>0.30333952424147892</v>
      </c>
      <c r="W61" s="139">
        <f t="shared" si="403"/>
        <v>-0.53983888601937435</v>
      </c>
      <c r="X61" s="139">
        <f t="shared" si="403"/>
        <v>-0.710607636467121</v>
      </c>
      <c r="Y61" s="139">
        <f t="shared" si="403"/>
        <v>-0.79191105143748275</v>
      </c>
      <c r="Z61" s="139">
        <f t="shared" si="403"/>
        <v>-0.46538047325649146</v>
      </c>
      <c r="AA61" s="139">
        <f t="shared" si="403"/>
        <v>-0.36253601122032408</v>
      </c>
      <c r="AB61" s="139">
        <f t="shared" si="403"/>
        <v>-0.65702705369940362</v>
      </c>
      <c r="AC61" s="139">
        <f t="shared" si="403"/>
        <v>-0.52691948409602807</v>
      </c>
      <c r="AD61" s="139">
        <f t="shared" si="403"/>
        <v>-0.65861171957641806</v>
      </c>
      <c r="AE61" s="139">
        <f t="shared" si="403"/>
        <v>-0.58158345283209512</v>
      </c>
      <c r="AF61" s="139">
        <f t="shared" si="403"/>
        <v>-0.61478125803568906</v>
      </c>
      <c r="AG61" s="139">
        <f t="shared" si="403"/>
        <v>-0.28397378525161665</v>
      </c>
      <c r="AH61" s="139">
        <f t="shared" si="403"/>
        <v>0.15088442583928874</v>
      </c>
      <c r="AI61" s="139">
        <f t="shared" ref="AI61:BN61" si="404">IFERROR(AI60/AI59-1,"")</f>
        <v>-0.30969558148386178</v>
      </c>
      <c r="AJ61" s="139">
        <f t="shared" si="404"/>
        <v>-0.18759084804666093</v>
      </c>
      <c r="AK61" s="139">
        <f t="shared" si="404"/>
        <v>-0.41086193836133256</v>
      </c>
      <c r="AL61" s="139">
        <f t="shared" si="404"/>
        <v>-0.95158232319060776</v>
      </c>
      <c r="AM61" s="139">
        <f t="shared" si="404"/>
        <v>-0.87393639697336067</v>
      </c>
      <c r="AN61" s="139">
        <f t="shared" si="404"/>
        <v>-0.81139388588792849</v>
      </c>
      <c r="AO61" s="139">
        <f t="shared" si="404"/>
        <v>-7.6548088757276256E-2</v>
      </c>
      <c r="AP61" s="139">
        <f t="shared" si="404"/>
        <v>4.5551204131797363E-2</v>
      </c>
      <c r="AQ61" s="139">
        <f t="shared" si="404"/>
        <v>-7.5333289487567678E-2</v>
      </c>
      <c r="AR61" s="139">
        <f t="shared" si="404"/>
        <v>-0.15133262739013409</v>
      </c>
      <c r="AS61" s="139">
        <f t="shared" si="404"/>
        <v>-0.13188395888502047</v>
      </c>
      <c r="AT61" s="139">
        <f t="shared" si="404"/>
        <v>0.39316161045805864</v>
      </c>
      <c r="AU61" s="139">
        <f t="shared" si="404"/>
        <v>8.5565346703504686E-2</v>
      </c>
      <c r="AV61" s="139">
        <f t="shared" si="404"/>
        <v>1.4532723905227676</v>
      </c>
      <c r="AW61" s="139">
        <f t="shared" si="404"/>
        <v>7.6885526392404238</v>
      </c>
      <c r="AX61" s="139">
        <f t="shared" si="404"/>
        <v>5.2433343364388172</v>
      </c>
      <c r="AY61" s="139">
        <f t="shared" si="404"/>
        <v>4.3187381119423094</v>
      </c>
      <c r="AZ61" s="139">
        <f t="shared" si="404"/>
        <v>1.9653487147601458</v>
      </c>
      <c r="BA61" s="139">
        <f t="shared" si="404"/>
        <v>2.5176322524999777</v>
      </c>
      <c r="BB61" s="139">
        <f t="shared" si="404"/>
        <v>1.3056151544988035</v>
      </c>
      <c r="BC61" s="139">
        <f t="shared" si="404"/>
        <v>3.1502917299438424</v>
      </c>
      <c r="BD61" s="139">
        <f t="shared" si="404"/>
        <v>1.7734042415576186</v>
      </c>
      <c r="BE61" s="139">
        <f t="shared" si="404"/>
        <v>1.5995314175159296</v>
      </c>
      <c r="BF61" s="139">
        <f t="shared" si="404"/>
        <v>2.0853622651894259</v>
      </c>
      <c r="BG61" s="139">
        <f t="shared" si="404"/>
        <v>0.76236778719753273</v>
      </c>
      <c r="BH61" s="139">
        <f t="shared" si="404"/>
        <v>6.0101301412436303E-3</v>
      </c>
      <c r="BI61" s="139">
        <f t="shared" si="404"/>
        <v>0.47127300746090128</v>
      </c>
      <c r="BJ61" s="139">
        <f t="shared" si="404"/>
        <v>-0.10173774130667401</v>
      </c>
      <c r="BK61" s="139">
        <f t="shared" si="404"/>
        <v>-6.3306291500310419E-2</v>
      </c>
      <c r="BL61" s="139">
        <f t="shared" si="404"/>
        <v>-0.30623246029240037</v>
      </c>
      <c r="BM61" s="139">
        <f t="shared" si="404"/>
        <v>-0.11893516315306474</v>
      </c>
      <c r="BN61" s="139">
        <f t="shared" si="404"/>
        <v>-0.41893917241845768</v>
      </c>
      <c r="BO61" s="139">
        <f t="shared" ref="BO61:CT61" si="405">IFERROR(BO60/BO59-1,"")</f>
        <v>-0.40403737718861799</v>
      </c>
      <c r="BP61" s="139">
        <f t="shared" si="405"/>
        <v>-0.13666509281545569</v>
      </c>
      <c r="BQ61" s="139">
        <f t="shared" si="405"/>
        <v>-0.30815301674742801</v>
      </c>
      <c r="BR61" s="139">
        <f t="shared" si="405"/>
        <v>-0.25608657938846324</v>
      </c>
      <c r="BS61" s="139">
        <f t="shared" si="405"/>
        <v>-0.22024440397855416</v>
      </c>
      <c r="BT61" s="139">
        <f t="shared" si="405"/>
        <v>-3.9121266738095795E-2</v>
      </c>
      <c r="BU61" s="139">
        <f t="shared" si="405"/>
        <v>8.20132403531173E-2</v>
      </c>
      <c r="BV61" s="139">
        <f t="shared" si="405"/>
        <v>0.67019770510625465</v>
      </c>
      <c r="BW61" s="139">
        <f t="shared" si="405"/>
        <v>1.8812830704796335E-2</v>
      </c>
      <c r="BX61" s="139">
        <f t="shared" si="405"/>
        <v>0.54402402781550263</v>
      </c>
      <c r="BY61" s="139">
        <f t="shared" si="405"/>
        <v>3.8204661455419231E-2</v>
      </c>
      <c r="BZ61" s="139">
        <f t="shared" si="405"/>
        <v>0.11390452469008761</v>
      </c>
      <c r="CA61" s="139">
        <f t="shared" si="405"/>
        <v>0.28024802870151233</v>
      </c>
      <c r="CB61" s="139">
        <f t="shared" si="405"/>
        <v>0.5488503108866869</v>
      </c>
      <c r="CC61" s="139">
        <f t="shared" si="405"/>
        <v>-0.49701004257087134</v>
      </c>
      <c r="CD61" s="139">
        <f t="shared" si="405"/>
        <v>-0.84383135408175802</v>
      </c>
      <c r="CE61" s="139">
        <f t="shared" si="405"/>
        <v>-0.7801321606695355</v>
      </c>
      <c r="CF61" s="139">
        <f t="shared" si="405"/>
        <v>-0.81699723860714679</v>
      </c>
      <c r="CG61" s="139">
        <f t="shared" si="405"/>
        <v>-0.80717129333372073</v>
      </c>
      <c r="CH61" s="139">
        <f t="shared" si="405"/>
        <v>-0.65830095931050669</v>
      </c>
      <c r="CI61" s="139">
        <f t="shared" si="405"/>
        <v>-0.679435802225693</v>
      </c>
      <c r="CJ61" s="139">
        <f t="shared" si="405"/>
        <v>-0.78201366896597779</v>
      </c>
      <c r="CK61" s="139">
        <f t="shared" si="405"/>
        <v>-0.64164053054473014</v>
      </c>
      <c r="CL61" s="139">
        <f t="shared" si="405"/>
        <v>-0.65273159344659715</v>
      </c>
      <c r="CM61" s="139">
        <f t="shared" si="405"/>
        <v>-0.21547619660518169</v>
      </c>
      <c r="CN61" s="139">
        <f t="shared" si="405"/>
        <v>-0.35611935892411783</v>
      </c>
      <c r="CO61" s="139">
        <f t="shared" si="405"/>
        <v>-6.5591698026775669E-2</v>
      </c>
      <c r="CP61" s="139">
        <f t="shared" si="405"/>
        <v>0.13934860987710396</v>
      </c>
      <c r="CQ61" s="139">
        <f t="shared" si="405"/>
        <v>0.37215247423179965</v>
      </c>
      <c r="CR61" s="139">
        <f t="shared" si="405"/>
        <v>0.49593736236664587</v>
      </c>
      <c r="CS61" s="139">
        <f t="shared" si="405"/>
        <v>1.4002958349705863</v>
      </c>
      <c r="CT61" s="139">
        <f t="shared" si="405"/>
        <v>4.9795680903292308</v>
      </c>
      <c r="CU61" s="139">
        <f t="shared" ref="CU61:DZ61" si="406">IFERROR(CU60/CU59-1,"")</f>
        <v>2.20880300886432</v>
      </c>
      <c r="CV61" s="139">
        <f t="shared" si="406"/>
        <v>1.4326830560693149</v>
      </c>
      <c r="CW61" s="139">
        <f t="shared" si="406"/>
        <v>0.86201791905522107</v>
      </c>
      <c r="CX61" s="139">
        <f t="shared" si="406"/>
        <v>1.7766712220423231</v>
      </c>
      <c r="CY61" s="139">
        <f t="shared" si="406"/>
        <v>0.70752571352825777</v>
      </c>
      <c r="CZ61" s="139">
        <f t="shared" si="406"/>
        <v>0.91240828527559326</v>
      </c>
      <c r="DA61" s="139">
        <f t="shared" si="406"/>
        <v>0.87849620643629911</v>
      </c>
      <c r="DB61" s="139">
        <f t="shared" si="406"/>
        <v>1.1333216694957104</v>
      </c>
      <c r="DC61" s="139">
        <f t="shared" si="406"/>
        <v>0.49062504670758433</v>
      </c>
      <c r="DD61" s="139">
        <f t="shared" si="406"/>
        <v>0.39600004314319781</v>
      </c>
      <c r="DE61" s="139">
        <f t="shared" si="406"/>
        <v>-0.3191705703399963</v>
      </c>
      <c r="DF61" s="139">
        <f t="shared" si="406"/>
        <v>-0.1763920414164285</v>
      </c>
      <c r="DG61" s="139">
        <f t="shared" si="406"/>
        <v>-0.24201823972973979</v>
      </c>
      <c r="DH61" s="139">
        <f t="shared" si="406"/>
        <v>-0.4018516843597536</v>
      </c>
      <c r="DI61" s="139">
        <f t="shared" si="406"/>
        <v>-0.11224790306202737</v>
      </c>
      <c r="DJ61" s="139">
        <f t="shared" si="406"/>
        <v>0.12934174973177459</v>
      </c>
      <c r="DK61" s="139">
        <f t="shared" si="406"/>
        <v>1.4835116089948772</v>
      </c>
      <c r="DL61" s="139">
        <f t="shared" si="406"/>
        <v>1.3278499230249046</v>
      </c>
      <c r="DM61" s="139">
        <f t="shared" si="406"/>
        <v>1.6733787220462255</v>
      </c>
      <c r="DN61" s="139">
        <f t="shared" si="406"/>
        <v>0.97128082693035833</v>
      </c>
      <c r="DO61" s="139">
        <f t="shared" si="406"/>
        <v>1.2704630165020521</v>
      </c>
      <c r="DP61" s="139">
        <f t="shared" si="406"/>
        <v>0.88625853390542453</v>
      </c>
      <c r="DQ61" s="139">
        <f t="shared" si="406"/>
        <v>0.5237869407433402</v>
      </c>
      <c r="DR61" s="139">
        <f t="shared" si="406"/>
        <v>0.45134990243997342</v>
      </c>
      <c r="DS61" s="139">
        <f t="shared" si="406"/>
        <v>0.99544426926316287</v>
      </c>
      <c r="DT61" s="139">
        <f t="shared" si="406"/>
        <v>0.72544259181199533</v>
      </c>
      <c r="DU61" s="139">
        <f t="shared" si="406"/>
        <v>-0.16196321152015436</v>
      </c>
      <c r="DV61" s="139">
        <f t="shared" si="406"/>
        <v>1.0332097786444892</v>
      </c>
      <c r="DW61" s="139">
        <f t="shared" si="406"/>
        <v>-0.48444718288172062</v>
      </c>
      <c r="DX61" s="139">
        <f t="shared" si="406"/>
        <v>-0.79255112524639826</v>
      </c>
      <c r="DY61" s="139">
        <f t="shared" si="406"/>
        <v>-0.65924541687889882</v>
      </c>
      <c r="DZ61" s="139">
        <f t="shared" si="406"/>
        <v>-0.73893172294912168</v>
      </c>
      <c r="EA61" s="139">
        <f t="shared" ref="EA61:EG61" si="407">IFERROR(EA60/EA59-1,"")</f>
        <v>-0.75666307838094671</v>
      </c>
      <c r="EB61" s="139">
        <f t="shared" si="407"/>
        <v>-0.69813895671507542</v>
      </c>
      <c r="EC61" s="139">
        <f t="shared" si="407"/>
        <v>-0.61169202799861566</v>
      </c>
      <c r="ED61" s="139">
        <f t="shared" si="407"/>
        <v>-0.34879445608504445</v>
      </c>
      <c r="EE61" s="139">
        <f t="shared" si="407"/>
        <v>-0.22708337314075389</v>
      </c>
      <c r="EF61" s="139">
        <f t="shared" si="407"/>
        <v>5.2918857804157726E-2</v>
      </c>
      <c r="EG61" s="139">
        <f t="shared" si="407"/>
        <v>0.30791558212915682</v>
      </c>
      <c r="EH61" s="140"/>
      <c r="EI61" s="140"/>
      <c r="EJ61" s="140"/>
      <c r="EK61" s="140"/>
      <c r="EL61" s="140"/>
      <c r="EM61" s="140"/>
      <c r="EN61" s="140"/>
      <c r="EO61" s="140"/>
      <c r="EP61" s="140"/>
      <c r="EQ61" s="140"/>
      <c r="ER61" s="140"/>
      <c r="ES61" s="140"/>
      <c r="ET61" s="140"/>
      <c r="EU61" s="140"/>
      <c r="EV61" s="140"/>
      <c r="EW61" s="140"/>
      <c r="EX61" s="140"/>
      <c r="EY61" s="140"/>
      <c r="EZ61" s="140"/>
      <c r="FA61" s="140"/>
      <c r="FB61" s="140"/>
      <c r="FC61" s="140"/>
      <c r="FD61" s="140"/>
      <c r="FE61" s="140"/>
      <c r="FF61" s="140"/>
      <c r="FG61" s="140"/>
      <c r="FH61" s="140"/>
      <c r="FI61" s="140"/>
      <c r="FJ61" s="140"/>
      <c r="FK61" s="140"/>
      <c r="FL61" s="140"/>
      <c r="FM61" s="140"/>
      <c r="FN61" s="140"/>
      <c r="FO61" s="140"/>
      <c r="FP61" s="140"/>
      <c r="FQ61" s="140"/>
      <c r="FR61" s="140"/>
      <c r="FS61" s="140"/>
      <c r="FT61" s="140"/>
      <c r="FU61" s="140"/>
      <c r="FV61" s="140"/>
      <c r="FW61" s="140"/>
      <c r="FX61" s="140"/>
      <c r="FY61" s="140"/>
      <c r="FZ61" s="140"/>
      <c r="GA61" s="140"/>
      <c r="GB61" s="140"/>
      <c r="GC61" s="140"/>
      <c r="GD61" s="140"/>
      <c r="GE61" s="140"/>
      <c r="GF61" s="140"/>
      <c r="GG61" s="140"/>
      <c r="GH61" s="140"/>
      <c r="GI61" s="140"/>
      <c r="GJ61" s="140"/>
      <c r="GK61" s="140"/>
      <c r="GL61" s="140"/>
      <c r="GM61" s="140"/>
      <c r="GN61" s="140"/>
      <c r="GO61" s="140"/>
      <c r="GP61" s="140"/>
      <c r="GQ61" s="140"/>
      <c r="GR61" s="140"/>
      <c r="GS61" s="140"/>
      <c r="GT61" s="140"/>
      <c r="GU61" s="140"/>
      <c r="GV61" s="140"/>
      <c r="GW61" s="140"/>
      <c r="GX61" s="140"/>
      <c r="GY61" s="140"/>
      <c r="GZ61" s="140"/>
      <c r="HA61" s="140"/>
      <c r="HB61" s="140"/>
      <c r="HC61" s="140"/>
      <c r="HD61" s="140"/>
      <c r="HE61" s="140"/>
      <c r="HF61" s="140"/>
      <c r="HG61" s="140"/>
      <c r="HH61" s="140"/>
      <c r="HI61" s="140"/>
      <c r="HJ61" s="140"/>
    </row>
    <row r="62" spans="2:218" x14ac:dyDescent="0.35">
      <c r="B62" s="134" t="s">
        <v>423</v>
      </c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31"/>
      <c r="BA62" s="131"/>
      <c r="BB62" s="131"/>
      <c r="BC62" s="131"/>
      <c r="BD62" s="131"/>
      <c r="BE62" s="131"/>
      <c r="BF62" s="131"/>
      <c r="BG62" s="131"/>
      <c r="BH62" s="131"/>
      <c r="BI62" s="131"/>
      <c r="BJ62" s="131"/>
      <c r="BK62" s="131"/>
      <c r="BL62" s="131"/>
      <c r="BM62" s="131"/>
      <c r="BN62" s="131"/>
      <c r="BO62" s="131"/>
      <c r="BP62" s="131"/>
      <c r="BQ62" s="131"/>
      <c r="BR62" s="131"/>
      <c r="BS62" s="131"/>
      <c r="BT62" s="131"/>
      <c r="BU62" s="131"/>
      <c r="BV62" s="131"/>
      <c r="BW62" s="131"/>
      <c r="BX62" s="131"/>
      <c r="BY62" s="131"/>
      <c r="BZ62" s="131"/>
      <c r="CA62" s="131"/>
      <c r="CB62" s="131"/>
      <c r="CC62" s="131"/>
      <c r="CD62" s="131"/>
      <c r="CE62" s="131"/>
      <c r="CF62" s="131"/>
      <c r="CG62" s="131"/>
      <c r="CH62" s="131"/>
      <c r="CI62" s="131"/>
      <c r="CJ62" s="131"/>
      <c r="CK62" s="131"/>
      <c r="CL62" s="131"/>
      <c r="CM62" s="131"/>
      <c r="CN62" s="131"/>
      <c r="CO62" s="131"/>
      <c r="CP62" s="131"/>
      <c r="CQ62" s="131"/>
      <c r="CR62" s="131"/>
      <c r="CS62" s="131"/>
      <c r="CT62" s="131"/>
      <c r="CU62" s="131"/>
      <c r="CV62" s="131"/>
      <c r="CW62" s="131"/>
      <c r="CX62" s="131"/>
      <c r="CY62" s="131"/>
      <c r="CZ62" s="131"/>
      <c r="DA62" s="131"/>
      <c r="DB62" s="131"/>
      <c r="DC62" s="131"/>
      <c r="DD62" s="131"/>
      <c r="DE62" s="131"/>
      <c r="DF62" s="131"/>
      <c r="DG62" s="131"/>
      <c r="DH62" s="131"/>
      <c r="DI62" s="131"/>
      <c r="DJ62" s="131"/>
      <c r="DK62" s="131"/>
      <c r="DL62" s="131"/>
      <c r="DM62" s="131"/>
      <c r="DN62" s="131"/>
      <c r="DO62" s="131"/>
      <c r="DP62" s="131"/>
      <c r="DQ62" s="131"/>
      <c r="DR62" s="131"/>
      <c r="DS62" s="131"/>
      <c r="DT62" s="131"/>
      <c r="DU62" s="131"/>
      <c r="DV62" s="131"/>
      <c r="DW62" s="131"/>
      <c r="DX62" s="131"/>
      <c r="DY62" s="131"/>
      <c r="DZ62" s="131"/>
      <c r="EA62" s="131"/>
      <c r="EB62" s="131"/>
      <c r="EC62" s="131"/>
      <c r="ED62" s="131"/>
      <c r="EE62" s="131"/>
      <c r="EF62" s="131"/>
      <c r="EG62" s="131"/>
      <c r="EH62" s="131"/>
      <c r="EI62" s="131"/>
      <c r="EJ62" s="131"/>
      <c r="EK62" s="131"/>
      <c r="EL62" s="131"/>
      <c r="EM62" s="131"/>
      <c r="EN62" s="131"/>
      <c r="EO62" s="131"/>
      <c r="EP62" s="131"/>
      <c r="EQ62" s="131"/>
      <c r="ER62" s="131"/>
      <c r="ES62" s="131"/>
      <c r="ET62" s="131"/>
      <c r="EU62" s="131"/>
      <c r="EV62" s="131"/>
      <c r="EW62" s="131"/>
      <c r="EX62" s="131"/>
      <c r="EY62" s="131"/>
      <c r="EZ62" s="131"/>
      <c r="FA62" s="131"/>
      <c r="FB62" s="131"/>
      <c r="FC62" s="131"/>
      <c r="FD62" s="131"/>
      <c r="FE62" s="131"/>
      <c r="FF62" s="131"/>
      <c r="FG62" s="131"/>
      <c r="FH62" s="131"/>
      <c r="FI62" s="131"/>
      <c r="FJ62" s="131"/>
      <c r="FK62" s="131"/>
      <c r="FL62" s="131"/>
      <c r="FM62" s="131"/>
      <c r="FN62" s="131"/>
      <c r="FO62" s="131"/>
      <c r="FP62" s="131"/>
      <c r="FQ62" s="131"/>
      <c r="FR62" s="131"/>
      <c r="FS62" s="131"/>
      <c r="FT62" s="131"/>
      <c r="FU62" s="131"/>
      <c r="FV62" s="131"/>
      <c r="FW62" s="131"/>
      <c r="FX62" s="131"/>
      <c r="FY62" s="131"/>
      <c r="FZ62" s="131"/>
      <c r="GA62" s="131"/>
      <c r="GB62" s="131"/>
      <c r="GC62" s="131"/>
      <c r="GD62" s="131"/>
      <c r="GE62" s="131"/>
      <c r="GF62" s="131"/>
      <c r="GG62" s="131"/>
      <c r="GH62" s="131"/>
      <c r="GI62" s="131"/>
      <c r="GJ62" s="131"/>
      <c r="GK62" s="131"/>
      <c r="GL62" s="131"/>
      <c r="GM62" s="131"/>
      <c r="GN62" s="131"/>
      <c r="GO62" s="131"/>
      <c r="GP62" s="131"/>
      <c r="GQ62" s="131"/>
      <c r="GR62" s="131"/>
      <c r="GS62" s="131"/>
      <c r="GT62" s="131"/>
      <c r="GU62" s="131"/>
      <c r="GV62" s="131"/>
      <c r="GW62" s="131"/>
      <c r="GX62" s="131"/>
      <c r="GY62" s="131"/>
      <c r="GZ62" s="131"/>
      <c r="HA62" s="131"/>
      <c r="HB62" s="131"/>
      <c r="HC62" s="131"/>
      <c r="HD62" s="131"/>
      <c r="HE62" s="131"/>
      <c r="HF62" s="131"/>
      <c r="HG62" s="131"/>
      <c r="HH62" s="131"/>
      <c r="HI62" s="131"/>
      <c r="HJ62" s="131"/>
    </row>
    <row r="63" spans="2:218" x14ac:dyDescent="0.35">
      <c r="B63" s="23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  <c r="CE63" s="131"/>
      <c r="CF63" s="131"/>
      <c r="CG63" s="131"/>
      <c r="CH63" s="131"/>
      <c r="CI63" s="131"/>
      <c r="CJ63" s="131"/>
      <c r="CK63" s="131"/>
      <c r="CL63" s="131"/>
      <c r="CM63" s="131"/>
      <c r="CN63" s="131"/>
      <c r="CO63" s="131"/>
      <c r="CP63" s="131"/>
      <c r="CQ63" s="131"/>
      <c r="CR63" s="131"/>
      <c r="CS63" s="131"/>
      <c r="CT63" s="131"/>
      <c r="CU63" s="131"/>
      <c r="CV63" s="131"/>
      <c r="CW63" s="131"/>
      <c r="CX63" s="131"/>
      <c r="CY63" s="131"/>
      <c r="CZ63" s="131"/>
      <c r="DA63" s="131"/>
      <c r="DB63" s="131"/>
      <c r="DC63" s="131"/>
      <c r="DD63" s="131"/>
      <c r="DE63" s="131"/>
      <c r="DF63" s="131"/>
      <c r="DG63" s="131"/>
      <c r="DH63" s="131"/>
      <c r="DI63" s="131"/>
      <c r="DJ63" s="131"/>
      <c r="DK63" s="131"/>
      <c r="DL63" s="131"/>
      <c r="DM63" s="131"/>
      <c r="DN63" s="131"/>
      <c r="DO63" s="131"/>
      <c r="DP63" s="131"/>
      <c r="DQ63" s="131"/>
      <c r="DR63" s="131"/>
      <c r="DS63" s="131"/>
      <c r="DT63" s="131"/>
      <c r="DU63" s="131"/>
      <c r="DV63" s="131"/>
      <c r="DW63" s="131"/>
      <c r="DX63" s="131"/>
      <c r="DY63" s="131"/>
      <c r="DZ63" s="131"/>
      <c r="EA63" s="131"/>
      <c r="EB63" s="131"/>
      <c r="EC63" s="131"/>
      <c r="ED63" s="131"/>
      <c r="EE63" s="131"/>
      <c r="EF63" s="131"/>
      <c r="EG63" s="131"/>
      <c r="EH63" s="131"/>
      <c r="EI63" s="131"/>
      <c r="EJ63" s="131"/>
      <c r="EK63" s="131"/>
      <c r="EL63" s="131"/>
      <c r="EM63" s="131"/>
      <c r="EN63" s="131"/>
      <c r="EO63" s="131"/>
      <c r="EP63" s="131"/>
      <c r="EQ63" s="131"/>
      <c r="ER63" s="131"/>
      <c r="ES63" s="131"/>
      <c r="ET63" s="131"/>
      <c r="EU63" s="131"/>
      <c r="EV63" s="131"/>
      <c r="EW63" s="131"/>
      <c r="EX63" s="131"/>
      <c r="EY63" s="131"/>
      <c r="EZ63" s="131"/>
      <c r="FA63" s="131"/>
      <c r="FB63" s="131"/>
      <c r="FC63" s="131"/>
      <c r="FD63" s="131"/>
      <c r="FE63" s="131"/>
      <c r="FF63" s="131"/>
      <c r="FG63" s="131"/>
      <c r="FH63" s="131"/>
      <c r="FI63" s="131"/>
      <c r="FJ63" s="131"/>
      <c r="FK63" s="131"/>
      <c r="FL63" s="131"/>
      <c r="FM63" s="131"/>
      <c r="FN63" s="131"/>
      <c r="FO63" s="131"/>
      <c r="FP63" s="131"/>
      <c r="FQ63" s="131"/>
      <c r="FR63" s="131"/>
      <c r="FS63" s="131"/>
      <c r="FT63" s="131"/>
      <c r="FU63" s="131"/>
      <c r="FV63" s="131"/>
      <c r="FW63" s="131"/>
      <c r="FX63" s="131"/>
      <c r="FY63" s="131"/>
      <c r="FZ63" s="131"/>
      <c r="GA63" s="131"/>
      <c r="GB63" s="131"/>
      <c r="GC63" s="131"/>
      <c r="GD63" s="131"/>
      <c r="GE63" s="131"/>
      <c r="GF63" s="131"/>
      <c r="GG63" s="131"/>
      <c r="GH63" s="131"/>
      <c r="GI63" s="131"/>
      <c r="GJ63" s="131"/>
      <c r="GK63" s="131"/>
      <c r="GL63" s="131"/>
      <c r="GM63" s="131"/>
      <c r="GN63" s="131"/>
      <c r="GO63" s="131"/>
      <c r="GP63" s="131"/>
      <c r="GQ63" s="131"/>
      <c r="GR63" s="131"/>
      <c r="GS63" s="131"/>
      <c r="GT63" s="131"/>
      <c r="GU63" s="131"/>
      <c r="GV63" s="131"/>
      <c r="GW63" s="131"/>
      <c r="GX63" s="131"/>
      <c r="GY63" s="131"/>
      <c r="GZ63" s="131"/>
      <c r="HA63" s="131"/>
      <c r="HB63" s="131"/>
      <c r="HC63" s="131"/>
      <c r="HD63" s="131"/>
      <c r="HE63" s="131"/>
      <c r="HF63" s="131"/>
      <c r="HG63" s="131"/>
      <c r="HH63" s="131"/>
      <c r="HI63" s="131"/>
      <c r="HJ63" s="131"/>
    </row>
    <row r="64" spans="2:218" x14ac:dyDescent="0.35">
      <c r="C64" s="2" t="s">
        <v>160</v>
      </c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  <c r="BB64" s="131"/>
      <c r="BC64" s="131"/>
      <c r="BD64" s="131"/>
      <c r="BE64" s="131"/>
      <c r="BF64" s="131"/>
      <c r="BG64" s="131"/>
      <c r="BH64" s="131"/>
      <c r="BI64" s="131"/>
      <c r="BJ64" s="131"/>
      <c r="BK64" s="131"/>
      <c r="BL64" s="131"/>
      <c r="BM64" s="131"/>
      <c r="BN64" s="131"/>
      <c r="BO64" s="131"/>
      <c r="BP64" s="131"/>
      <c r="BQ64" s="131"/>
      <c r="BR64" s="131"/>
      <c r="BS64" s="131"/>
      <c r="BT64" s="131"/>
      <c r="BU64" s="131"/>
      <c r="BV64" s="131"/>
      <c r="BW64" s="131"/>
      <c r="BX64" s="131"/>
      <c r="BY64" s="131"/>
      <c r="BZ64" s="131"/>
      <c r="CA64" s="131"/>
      <c r="CB64" s="131"/>
      <c r="CC64" s="131"/>
      <c r="CD64" s="131"/>
      <c r="CE64" s="131"/>
      <c r="CF64" s="131"/>
      <c r="CG64" s="131"/>
      <c r="CH64" s="131"/>
      <c r="CI64" s="131"/>
      <c r="CJ64" s="131"/>
      <c r="CK64" s="131"/>
      <c r="CL64" s="131"/>
      <c r="CM64" s="131"/>
      <c r="CN64" s="131"/>
      <c r="CO64" s="131"/>
      <c r="CP64" s="131"/>
      <c r="CQ64" s="131"/>
      <c r="CR64" s="131"/>
      <c r="CS64" s="131"/>
      <c r="CT64" s="131"/>
      <c r="CU64" s="131"/>
      <c r="CV64" s="131"/>
      <c r="CW64" s="131"/>
      <c r="CX64" s="131"/>
      <c r="CY64" s="131"/>
      <c r="CZ64" s="131"/>
      <c r="DA64" s="131"/>
      <c r="DB64" s="131"/>
      <c r="DC64" s="131"/>
      <c r="DD64" s="131"/>
      <c r="DE64" s="131"/>
      <c r="DF64" s="131"/>
      <c r="DG64" s="131"/>
      <c r="DH64" s="131"/>
      <c r="DI64" s="131"/>
      <c r="DJ64" s="131"/>
      <c r="DK64" s="131"/>
      <c r="DL64" s="131"/>
      <c r="DM64" s="131"/>
      <c r="DN64" s="131"/>
      <c r="DO64" s="131"/>
      <c r="DP64" s="131"/>
      <c r="DQ64" s="131"/>
      <c r="DR64" s="131"/>
      <c r="DS64" s="131"/>
      <c r="DT64" s="131"/>
      <c r="DU64" s="131"/>
      <c r="DV64" s="131"/>
      <c r="DW64" s="131"/>
      <c r="DX64" s="131"/>
      <c r="DY64" s="131"/>
      <c r="DZ64" s="131"/>
      <c r="EA64" s="131"/>
      <c r="EB64" s="131"/>
      <c r="EC64" s="131"/>
      <c r="ED64" s="131"/>
      <c r="EE64" s="131"/>
      <c r="EF64" s="131"/>
      <c r="EG64" s="131"/>
      <c r="EH64" s="131"/>
      <c r="EI64" s="131"/>
      <c r="EJ64" s="131"/>
      <c r="EK64" s="131"/>
      <c r="EL64" s="131"/>
      <c r="EM64" s="131"/>
      <c r="EN64" s="131"/>
      <c r="EO64" s="131"/>
      <c r="EP64" s="131"/>
      <c r="EQ64" s="131"/>
      <c r="ER64" s="131"/>
      <c r="ES64" s="131"/>
      <c r="ET64" s="131"/>
      <c r="EU64" s="131"/>
      <c r="EV64" s="131"/>
      <c r="EW64" s="131"/>
      <c r="EX64" s="131"/>
      <c r="EY64" s="131"/>
      <c r="EZ64" s="131"/>
      <c r="FA64" s="131"/>
      <c r="FB64" s="131"/>
      <c r="FC64" s="131"/>
      <c r="FD64" s="131"/>
      <c r="FE64" s="131"/>
      <c r="FF64" s="131"/>
      <c r="FG64" s="131"/>
      <c r="FH64" s="131"/>
      <c r="FI64" s="131"/>
      <c r="FJ64" s="131"/>
      <c r="FK64" s="131"/>
      <c r="FL64" s="131"/>
      <c r="FM64" s="131"/>
      <c r="FN64" s="131"/>
      <c r="FO64" s="131"/>
      <c r="FP64" s="131"/>
      <c r="FQ64" s="131"/>
      <c r="FR64" s="131"/>
      <c r="FS64" s="131"/>
      <c r="FT64" s="131"/>
      <c r="FU64" s="131"/>
      <c r="FV64" s="131"/>
      <c r="FW64" s="131"/>
      <c r="FX64" s="131"/>
      <c r="FY64" s="131"/>
      <c r="FZ64" s="131"/>
      <c r="GA64" s="131"/>
      <c r="GB64" s="131"/>
      <c r="GC64" s="131"/>
      <c r="GD64" s="131"/>
      <c r="GE64" s="131"/>
      <c r="GF64" s="131"/>
      <c r="GG64" s="131"/>
      <c r="GH64" s="131"/>
      <c r="GI64" s="131"/>
      <c r="GJ64" s="131"/>
      <c r="GK64" s="131"/>
      <c r="GL64" s="131"/>
      <c r="GM64" s="131"/>
      <c r="GN64" s="131"/>
      <c r="GO64" s="131"/>
      <c r="GP64" s="131"/>
      <c r="GQ64" s="131"/>
      <c r="GR64" s="131"/>
      <c r="GS64" s="131"/>
      <c r="GT64" s="131"/>
      <c r="GU64" s="131"/>
      <c r="GV64" s="131"/>
      <c r="GW64" s="131"/>
      <c r="GX64" s="131"/>
      <c r="GY64" s="131"/>
      <c r="GZ64" s="131"/>
      <c r="HA64" s="131"/>
      <c r="HB64" s="131"/>
      <c r="HC64" s="131"/>
      <c r="HD64" s="131"/>
      <c r="HE64" s="131"/>
      <c r="HF64" s="131"/>
      <c r="HG64" s="131"/>
      <c r="HH64" s="131"/>
      <c r="HI64" s="131"/>
      <c r="HJ64" s="131"/>
    </row>
    <row r="65" spans="3:218" x14ac:dyDescent="0.35">
      <c r="C65" s="23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1"/>
      <c r="BG65" s="131"/>
      <c r="BH65" s="131"/>
      <c r="BI65" s="131"/>
      <c r="BJ65" s="131"/>
      <c r="BK65" s="131"/>
      <c r="BL65" s="131"/>
      <c r="BM65" s="131"/>
      <c r="BN65" s="131"/>
      <c r="BO65" s="131"/>
      <c r="BP65" s="131"/>
      <c r="BQ65" s="131"/>
      <c r="BR65" s="131"/>
      <c r="BS65" s="131"/>
      <c r="BT65" s="131"/>
      <c r="BU65" s="131"/>
      <c r="BV65" s="131"/>
      <c r="BW65" s="131"/>
      <c r="BX65" s="131"/>
      <c r="BY65" s="131"/>
      <c r="BZ65" s="131"/>
      <c r="CA65" s="131"/>
      <c r="CB65" s="131"/>
      <c r="CC65" s="131"/>
      <c r="CD65" s="131"/>
      <c r="CE65" s="131"/>
      <c r="CF65" s="131"/>
      <c r="CG65" s="131"/>
      <c r="CH65" s="131"/>
      <c r="CI65" s="131"/>
      <c r="CJ65" s="131"/>
      <c r="CK65" s="131"/>
      <c r="CL65" s="131"/>
      <c r="CM65" s="131"/>
      <c r="CN65" s="131"/>
      <c r="CO65" s="131"/>
      <c r="CP65" s="131"/>
      <c r="CQ65" s="131"/>
      <c r="CR65" s="131"/>
      <c r="CS65" s="131"/>
      <c r="CT65" s="131"/>
      <c r="CU65" s="131"/>
      <c r="CV65" s="131"/>
      <c r="CW65" s="131"/>
      <c r="CX65" s="131"/>
      <c r="CY65" s="131"/>
      <c r="CZ65" s="131"/>
      <c r="DA65" s="131"/>
      <c r="DB65" s="131"/>
      <c r="DC65" s="131"/>
      <c r="DD65" s="131"/>
      <c r="DE65" s="131"/>
      <c r="DF65" s="131"/>
      <c r="DG65" s="131"/>
      <c r="DH65" s="131"/>
      <c r="DI65" s="131"/>
      <c r="DJ65" s="131"/>
      <c r="DK65" s="131"/>
      <c r="DL65" s="131"/>
      <c r="DM65" s="131"/>
      <c r="DN65" s="131"/>
      <c r="DO65" s="131"/>
      <c r="DP65" s="131"/>
      <c r="DQ65" s="131"/>
      <c r="DR65" s="131"/>
      <c r="DS65" s="131"/>
      <c r="DT65" s="131"/>
      <c r="DU65" s="131"/>
      <c r="DV65" s="131"/>
      <c r="DW65" s="131"/>
      <c r="DX65" s="131"/>
      <c r="DY65" s="131"/>
      <c r="DZ65" s="131"/>
      <c r="EA65" s="131"/>
      <c r="EB65" s="131"/>
      <c r="EC65" s="131"/>
      <c r="ED65" s="131"/>
      <c r="EE65" s="131"/>
      <c r="EF65" s="131"/>
      <c r="EG65" s="131"/>
      <c r="EH65" s="131"/>
      <c r="EI65" s="131"/>
      <c r="EJ65" s="131"/>
      <c r="EK65" s="131"/>
      <c r="EL65" s="131"/>
      <c r="EM65" s="131"/>
      <c r="EN65" s="131"/>
      <c r="EO65" s="131"/>
      <c r="EP65" s="131"/>
      <c r="EQ65" s="131"/>
      <c r="ER65" s="131"/>
      <c r="ES65" s="131"/>
      <c r="ET65" s="131"/>
      <c r="EU65" s="131"/>
      <c r="EV65" s="131"/>
      <c r="EW65" s="131"/>
      <c r="EX65" s="131"/>
      <c r="EY65" s="131"/>
      <c r="EZ65" s="131"/>
      <c r="FA65" s="131"/>
      <c r="FB65" s="131"/>
      <c r="FC65" s="131"/>
      <c r="FD65" s="131"/>
      <c r="FE65" s="131"/>
      <c r="FF65" s="131"/>
      <c r="FG65" s="131"/>
      <c r="FH65" s="131"/>
      <c r="FI65" s="131"/>
      <c r="FJ65" s="131"/>
      <c r="FK65" s="131"/>
      <c r="FL65" s="131"/>
      <c r="FM65" s="131"/>
      <c r="FN65" s="131"/>
      <c r="FO65" s="131"/>
      <c r="FP65" s="131"/>
      <c r="FQ65" s="131"/>
      <c r="FR65" s="131"/>
      <c r="FS65" s="131"/>
      <c r="FT65" s="131"/>
      <c r="FU65" s="131"/>
      <c r="FV65" s="131"/>
      <c r="FW65" s="131"/>
      <c r="FX65" s="131"/>
      <c r="FY65" s="131"/>
      <c r="FZ65" s="131"/>
      <c r="GA65" s="131"/>
      <c r="GB65" s="131"/>
      <c r="GC65" s="131"/>
      <c r="GD65" s="131"/>
      <c r="GE65" s="131"/>
      <c r="GF65" s="131"/>
      <c r="GG65" s="131"/>
      <c r="GH65" s="131"/>
      <c r="GI65" s="131"/>
      <c r="GJ65" s="131"/>
      <c r="GK65" s="131"/>
      <c r="GL65" s="131"/>
      <c r="GM65" s="131"/>
      <c r="GN65" s="131"/>
      <c r="GO65" s="131"/>
      <c r="GP65" s="131"/>
      <c r="GQ65" s="131"/>
      <c r="GR65" s="131"/>
      <c r="GS65" s="131"/>
      <c r="GT65" s="131"/>
      <c r="GU65" s="131"/>
      <c r="GV65" s="131"/>
      <c r="GW65" s="131"/>
      <c r="GX65" s="131"/>
      <c r="GY65" s="131"/>
      <c r="GZ65" s="131"/>
      <c r="HA65" s="131"/>
      <c r="HB65" s="131"/>
      <c r="HC65" s="131"/>
      <c r="HD65" s="131"/>
      <c r="HE65" s="131"/>
      <c r="HF65" s="131"/>
      <c r="HG65" s="131"/>
      <c r="HH65" s="131"/>
      <c r="HI65" s="131"/>
      <c r="HJ65" s="131"/>
    </row>
    <row r="66" spans="3:218" x14ac:dyDescent="0.35">
      <c r="C66" s="23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  <c r="BB66" s="131"/>
      <c r="BC66" s="131"/>
      <c r="BD66" s="131"/>
      <c r="BE66" s="131"/>
      <c r="BF66" s="131"/>
      <c r="BG66" s="131"/>
      <c r="BH66" s="131"/>
      <c r="BI66" s="131"/>
      <c r="BJ66" s="131"/>
      <c r="BK66" s="131"/>
      <c r="BL66" s="131"/>
      <c r="BM66" s="131"/>
      <c r="BN66" s="131"/>
      <c r="BO66" s="131"/>
      <c r="BP66" s="131"/>
      <c r="BQ66" s="131"/>
      <c r="BR66" s="131"/>
      <c r="BS66" s="131"/>
      <c r="BT66" s="131"/>
      <c r="BU66" s="131"/>
      <c r="BV66" s="131"/>
      <c r="BW66" s="131"/>
      <c r="BX66" s="131"/>
      <c r="BY66" s="131"/>
      <c r="BZ66" s="131"/>
      <c r="CA66" s="131"/>
      <c r="CB66" s="131"/>
      <c r="CC66" s="131"/>
      <c r="CD66" s="131"/>
      <c r="CE66" s="131"/>
      <c r="CF66" s="131"/>
      <c r="CG66" s="131"/>
      <c r="CH66" s="131"/>
      <c r="CI66" s="131"/>
      <c r="CJ66" s="131"/>
      <c r="CK66" s="131"/>
      <c r="CL66" s="131"/>
      <c r="CM66" s="131"/>
      <c r="CN66" s="131"/>
      <c r="CO66" s="131"/>
      <c r="CP66" s="131"/>
      <c r="CQ66" s="131"/>
      <c r="CR66" s="131"/>
      <c r="CS66" s="131"/>
      <c r="CT66" s="131"/>
      <c r="CU66" s="131"/>
      <c r="CV66" s="131"/>
      <c r="CW66" s="131"/>
      <c r="CX66" s="131"/>
      <c r="CY66" s="131"/>
      <c r="CZ66" s="131"/>
      <c r="DA66" s="131"/>
      <c r="DB66" s="131"/>
      <c r="DC66" s="131"/>
      <c r="DD66" s="131"/>
      <c r="DE66" s="131"/>
      <c r="DF66" s="131"/>
      <c r="DG66" s="131"/>
      <c r="DH66" s="131"/>
      <c r="DI66" s="131"/>
      <c r="DJ66" s="131"/>
      <c r="DK66" s="131"/>
      <c r="DL66" s="131"/>
      <c r="DM66" s="131"/>
      <c r="DN66" s="131"/>
      <c r="DO66" s="131"/>
      <c r="DP66" s="131"/>
      <c r="DQ66" s="131"/>
      <c r="DR66" s="131"/>
      <c r="DS66" s="131"/>
      <c r="DT66" s="131"/>
      <c r="DU66" s="131"/>
      <c r="DV66" s="131"/>
      <c r="DW66" s="131"/>
      <c r="DX66" s="131"/>
      <c r="DY66" s="131"/>
      <c r="DZ66" s="131"/>
      <c r="EA66" s="131"/>
      <c r="EB66" s="131"/>
      <c r="EC66" s="131"/>
      <c r="ED66" s="131"/>
      <c r="EE66" s="131"/>
      <c r="EF66" s="131"/>
      <c r="EG66" s="131"/>
      <c r="EH66" s="131"/>
      <c r="EI66" s="131"/>
      <c r="EJ66" s="131"/>
      <c r="EK66" s="131"/>
      <c r="EL66" s="131"/>
      <c r="EM66" s="131"/>
      <c r="EN66" s="131"/>
      <c r="EO66" s="131"/>
      <c r="EP66" s="131"/>
      <c r="EQ66" s="131"/>
      <c r="ER66" s="131"/>
      <c r="ES66" s="131"/>
      <c r="ET66" s="131"/>
      <c r="EU66" s="131"/>
      <c r="EV66" s="131"/>
      <c r="EW66" s="131"/>
      <c r="EX66" s="131"/>
      <c r="EY66" s="131"/>
      <c r="EZ66" s="131"/>
      <c r="FA66" s="131"/>
      <c r="FB66" s="131"/>
      <c r="FC66" s="131"/>
      <c r="FD66" s="131"/>
      <c r="FE66" s="131"/>
      <c r="FF66" s="131"/>
      <c r="FG66" s="131"/>
      <c r="FH66" s="131"/>
      <c r="FI66" s="131"/>
      <c r="FJ66" s="131"/>
      <c r="FK66" s="131"/>
      <c r="FL66" s="131"/>
      <c r="FM66" s="131"/>
      <c r="FN66" s="131"/>
      <c r="FO66" s="131"/>
      <c r="FP66" s="131"/>
      <c r="FQ66" s="131"/>
      <c r="FR66" s="131"/>
      <c r="FS66" s="131"/>
      <c r="FT66" s="131"/>
      <c r="FU66" s="131"/>
      <c r="FV66" s="131"/>
      <c r="FW66" s="131"/>
      <c r="FX66" s="131"/>
      <c r="FY66" s="131"/>
      <c r="FZ66" s="131"/>
      <c r="GA66" s="131"/>
      <c r="GB66" s="131"/>
      <c r="GC66" s="131"/>
      <c r="GD66" s="131"/>
      <c r="GE66" s="131"/>
      <c r="GF66" s="131"/>
      <c r="GG66" s="131"/>
      <c r="GH66" s="131"/>
      <c r="GI66" s="131"/>
      <c r="GJ66" s="131"/>
      <c r="GK66" s="131"/>
      <c r="GL66" s="131"/>
      <c r="GM66" s="131"/>
      <c r="GN66" s="131"/>
      <c r="GO66" s="131"/>
      <c r="GP66" s="131"/>
      <c r="GQ66" s="131"/>
      <c r="GR66" s="131"/>
      <c r="GS66" s="131"/>
      <c r="GT66" s="131"/>
      <c r="GU66" s="131"/>
      <c r="GV66" s="131"/>
      <c r="GW66" s="131"/>
      <c r="GX66" s="131"/>
      <c r="GY66" s="131"/>
      <c r="GZ66" s="131"/>
      <c r="HA66" s="131"/>
      <c r="HB66" s="131"/>
      <c r="HC66" s="131"/>
      <c r="HD66" s="131"/>
      <c r="HE66" s="131"/>
      <c r="HF66" s="131"/>
      <c r="HG66" s="131"/>
      <c r="HH66" s="131"/>
      <c r="HI66" s="131"/>
      <c r="HJ66" s="131"/>
    </row>
    <row r="67" spans="3:218" x14ac:dyDescent="0.35">
      <c r="C67" s="23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1"/>
      <c r="CC67" s="131"/>
      <c r="CD67" s="131"/>
      <c r="CE67" s="131"/>
      <c r="CF67" s="131"/>
      <c r="CG67" s="131"/>
      <c r="CH67" s="131"/>
      <c r="CI67" s="131"/>
      <c r="CJ67" s="131"/>
      <c r="CK67" s="131"/>
      <c r="CL67" s="131"/>
      <c r="CM67" s="131"/>
      <c r="CN67" s="131"/>
      <c r="CO67" s="131"/>
      <c r="CP67" s="131"/>
      <c r="CQ67" s="131"/>
      <c r="CR67" s="131"/>
      <c r="CS67" s="131"/>
      <c r="CT67" s="131"/>
      <c r="CU67" s="131"/>
      <c r="CV67" s="131"/>
      <c r="CW67" s="131"/>
      <c r="CX67" s="131"/>
      <c r="CY67" s="131"/>
      <c r="CZ67" s="131"/>
      <c r="DA67" s="131"/>
      <c r="DB67" s="131"/>
      <c r="DC67" s="131"/>
      <c r="DD67" s="131"/>
      <c r="DE67" s="131"/>
      <c r="DF67" s="131"/>
      <c r="DG67" s="131"/>
      <c r="DH67" s="131"/>
      <c r="DI67" s="131"/>
      <c r="DJ67" s="131"/>
      <c r="DK67" s="131"/>
      <c r="DL67" s="131"/>
      <c r="DM67" s="131"/>
      <c r="DN67" s="131"/>
      <c r="DO67" s="131"/>
      <c r="DP67" s="131"/>
      <c r="DQ67" s="131"/>
      <c r="DR67" s="131"/>
      <c r="DS67" s="131"/>
      <c r="DT67" s="131"/>
      <c r="DU67" s="131"/>
      <c r="DV67" s="131"/>
      <c r="DW67" s="131"/>
      <c r="DX67" s="131"/>
      <c r="DY67" s="131"/>
      <c r="DZ67" s="131"/>
      <c r="EA67" s="131"/>
      <c r="EB67" s="131"/>
      <c r="EC67" s="131"/>
      <c r="ED67" s="131"/>
      <c r="EE67" s="131"/>
      <c r="EF67" s="131"/>
      <c r="EG67" s="131"/>
      <c r="EH67" s="131"/>
      <c r="EI67" s="131"/>
      <c r="EJ67" s="131"/>
      <c r="EK67" s="131"/>
      <c r="EL67" s="131"/>
      <c r="EM67" s="131"/>
      <c r="EN67" s="131"/>
      <c r="EO67" s="131"/>
      <c r="EP67" s="131"/>
      <c r="EQ67" s="131"/>
      <c r="ER67" s="131"/>
      <c r="ES67" s="131"/>
      <c r="ET67" s="131"/>
      <c r="EU67" s="131"/>
      <c r="EV67" s="131"/>
      <c r="EW67" s="131"/>
      <c r="EX67" s="131"/>
      <c r="EY67" s="131"/>
      <c r="EZ67" s="131"/>
      <c r="FA67" s="131"/>
      <c r="FB67" s="131"/>
      <c r="FC67" s="131"/>
      <c r="FD67" s="131"/>
      <c r="FE67" s="131"/>
      <c r="FF67" s="131"/>
      <c r="FG67" s="131"/>
      <c r="FH67" s="131"/>
      <c r="FI67" s="131"/>
      <c r="FJ67" s="131"/>
      <c r="FK67" s="131"/>
      <c r="FL67" s="131"/>
      <c r="FM67" s="131"/>
      <c r="FN67" s="131"/>
      <c r="FO67" s="131"/>
      <c r="FP67" s="131"/>
      <c r="FQ67" s="131"/>
      <c r="FR67" s="131"/>
      <c r="FS67" s="131"/>
      <c r="FT67" s="131"/>
      <c r="FU67" s="131"/>
      <c r="FV67" s="131"/>
      <c r="FW67" s="131"/>
      <c r="FX67" s="131"/>
      <c r="FY67" s="131"/>
      <c r="FZ67" s="131"/>
      <c r="GA67" s="131"/>
      <c r="GB67" s="131"/>
      <c r="GC67" s="131"/>
      <c r="GD67" s="131"/>
      <c r="GE67" s="131"/>
      <c r="GF67" s="131"/>
      <c r="GG67" s="131"/>
      <c r="GH67" s="131"/>
      <c r="GI67" s="131"/>
      <c r="GJ67" s="131"/>
      <c r="GK67" s="131"/>
      <c r="GL67" s="131"/>
      <c r="GM67" s="131"/>
      <c r="GN67" s="131"/>
      <c r="GO67" s="131"/>
      <c r="GP67" s="131"/>
      <c r="GQ67" s="131"/>
      <c r="GR67" s="131"/>
      <c r="GS67" s="131"/>
      <c r="GT67" s="131"/>
      <c r="GU67" s="131"/>
      <c r="GV67" s="131"/>
      <c r="GW67" s="131"/>
      <c r="GX67" s="131"/>
      <c r="GY67" s="131"/>
      <c r="GZ67" s="131"/>
      <c r="HA67" s="131"/>
      <c r="HB67" s="131"/>
      <c r="HC67" s="131"/>
      <c r="HD67" s="131"/>
      <c r="HE67" s="131"/>
      <c r="HF67" s="131"/>
      <c r="HG67" s="131"/>
      <c r="HH67" s="131"/>
      <c r="HI67" s="131"/>
      <c r="HJ67" s="131"/>
    </row>
    <row r="68" spans="3:218" x14ac:dyDescent="0.35">
      <c r="C68" s="23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31"/>
      <c r="BV68" s="131"/>
      <c r="BW68" s="131"/>
      <c r="BX68" s="131"/>
      <c r="BY68" s="131"/>
      <c r="BZ68" s="131"/>
      <c r="CA68" s="131"/>
      <c r="CB68" s="131"/>
      <c r="CC68" s="131"/>
      <c r="CD68" s="131"/>
      <c r="CE68" s="131"/>
      <c r="CF68" s="131"/>
      <c r="CG68" s="131"/>
      <c r="CH68" s="131"/>
      <c r="CI68" s="131"/>
      <c r="CJ68" s="131"/>
      <c r="CK68" s="131"/>
      <c r="CL68" s="131"/>
      <c r="CM68" s="131"/>
      <c r="CN68" s="131"/>
      <c r="CO68" s="131"/>
      <c r="CP68" s="131"/>
      <c r="CQ68" s="131"/>
      <c r="CR68" s="131"/>
      <c r="CS68" s="131"/>
      <c r="CT68" s="131"/>
      <c r="CU68" s="131"/>
      <c r="CV68" s="131"/>
      <c r="CW68" s="131"/>
      <c r="CX68" s="131"/>
      <c r="CY68" s="131"/>
      <c r="CZ68" s="131"/>
      <c r="DA68" s="131"/>
      <c r="DB68" s="131"/>
      <c r="DC68" s="131"/>
      <c r="DD68" s="131"/>
      <c r="DE68" s="131"/>
      <c r="DF68" s="131"/>
      <c r="DG68" s="131"/>
      <c r="DH68" s="131"/>
      <c r="DI68" s="131"/>
      <c r="DJ68" s="131"/>
      <c r="DK68" s="131"/>
      <c r="DL68" s="131"/>
      <c r="DM68" s="131"/>
      <c r="DN68" s="131"/>
      <c r="DO68" s="131"/>
      <c r="DP68" s="131"/>
      <c r="DQ68" s="131"/>
      <c r="DR68" s="131"/>
      <c r="DS68" s="131"/>
      <c r="DT68" s="131"/>
      <c r="DU68" s="131"/>
      <c r="DV68" s="131"/>
      <c r="DW68" s="131"/>
      <c r="DX68" s="131"/>
      <c r="DY68" s="131"/>
      <c r="DZ68" s="131"/>
      <c r="EA68" s="131"/>
      <c r="EB68" s="131"/>
      <c r="EC68" s="131"/>
      <c r="ED68" s="131"/>
      <c r="EE68" s="131"/>
      <c r="EF68" s="131"/>
      <c r="EG68" s="131"/>
      <c r="EH68" s="131"/>
      <c r="EI68" s="131"/>
      <c r="EJ68" s="131"/>
      <c r="EK68" s="131"/>
      <c r="EL68" s="131"/>
      <c r="EM68" s="131"/>
      <c r="EN68" s="131"/>
      <c r="EO68" s="131"/>
      <c r="EP68" s="131"/>
      <c r="EQ68" s="131"/>
      <c r="ER68" s="131"/>
      <c r="ES68" s="131"/>
      <c r="ET68" s="131"/>
      <c r="EU68" s="131"/>
      <c r="EV68" s="131"/>
      <c r="EW68" s="131"/>
      <c r="EX68" s="131"/>
      <c r="EY68" s="131"/>
      <c r="EZ68" s="131"/>
      <c r="FA68" s="131"/>
      <c r="FB68" s="131"/>
      <c r="FC68" s="131"/>
      <c r="FD68" s="131"/>
      <c r="FE68" s="131"/>
      <c r="FF68" s="131"/>
      <c r="FG68" s="131"/>
      <c r="FH68" s="131"/>
      <c r="FI68" s="131"/>
      <c r="FJ68" s="131"/>
      <c r="FK68" s="131"/>
      <c r="FL68" s="131"/>
      <c r="FM68" s="131"/>
      <c r="FN68" s="131"/>
      <c r="FO68" s="131"/>
      <c r="FP68" s="131"/>
      <c r="FQ68" s="131"/>
      <c r="FR68" s="131"/>
      <c r="FS68" s="131"/>
      <c r="FT68" s="131"/>
      <c r="FU68" s="131"/>
      <c r="FV68" s="131"/>
      <c r="FW68" s="131"/>
      <c r="FX68" s="131"/>
      <c r="FY68" s="131"/>
      <c r="FZ68" s="131"/>
      <c r="GA68" s="131"/>
      <c r="GB68" s="131"/>
      <c r="GC68" s="131"/>
      <c r="GD68" s="131"/>
      <c r="GE68" s="131"/>
      <c r="GF68" s="131"/>
      <c r="GG68" s="131"/>
      <c r="GH68" s="131"/>
      <c r="GI68" s="131"/>
      <c r="GJ68" s="131"/>
      <c r="GK68" s="131"/>
      <c r="GL68" s="131"/>
      <c r="GM68" s="131"/>
      <c r="GN68" s="131"/>
      <c r="GO68" s="131"/>
      <c r="GP68" s="131"/>
      <c r="GQ68" s="131"/>
      <c r="GR68" s="131"/>
      <c r="GS68" s="131"/>
      <c r="GT68" s="131"/>
      <c r="GU68" s="131"/>
      <c r="GV68" s="131"/>
      <c r="GW68" s="131"/>
      <c r="GX68" s="131"/>
      <c r="GY68" s="131"/>
      <c r="GZ68" s="131"/>
      <c r="HA68" s="131"/>
      <c r="HB68" s="131"/>
      <c r="HC68" s="131"/>
      <c r="HD68" s="131"/>
      <c r="HE68" s="131"/>
      <c r="HF68" s="131"/>
      <c r="HG68" s="131"/>
      <c r="HH68" s="131"/>
      <c r="HI68" s="131"/>
      <c r="HJ68" s="131"/>
    </row>
    <row r="69" spans="3:218" x14ac:dyDescent="0.35">
      <c r="C69" s="23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1"/>
      <c r="BC69" s="131"/>
      <c r="BD69" s="131"/>
      <c r="BE69" s="131"/>
      <c r="BF69" s="131"/>
      <c r="BG69" s="131"/>
      <c r="BH69" s="131"/>
      <c r="BI69" s="131"/>
      <c r="BJ69" s="131"/>
      <c r="BK69" s="131"/>
      <c r="BL69" s="131"/>
      <c r="BM69" s="131"/>
      <c r="BN69" s="131"/>
      <c r="BO69" s="131"/>
      <c r="BP69" s="131"/>
      <c r="BQ69" s="131"/>
      <c r="BR69" s="131"/>
      <c r="BS69" s="131"/>
      <c r="BT69" s="131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  <c r="CE69" s="131"/>
      <c r="CF69" s="131"/>
      <c r="CG69" s="131"/>
      <c r="CH69" s="131"/>
      <c r="CI69" s="131"/>
      <c r="CJ69" s="131"/>
      <c r="CK69" s="131"/>
      <c r="CL69" s="131"/>
      <c r="CM69" s="131"/>
      <c r="CN69" s="131"/>
      <c r="CO69" s="131"/>
      <c r="CP69" s="131"/>
      <c r="CQ69" s="131"/>
      <c r="CR69" s="131"/>
      <c r="CS69" s="131"/>
      <c r="CT69" s="131"/>
      <c r="CU69" s="131"/>
      <c r="CV69" s="131"/>
      <c r="CW69" s="131"/>
      <c r="CX69" s="131"/>
      <c r="CY69" s="131"/>
      <c r="CZ69" s="131"/>
      <c r="DA69" s="131"/>
      <c r="DB69" s="131"/>
      <c r="DC69" s="131"/>
      <c r="DD69" s="131"/>
      <c r="DE69" s="131"/>
      <c r="DF69" s="131"/>
      <c r="DG69" s="131"/>
      <c r="DH69" s="131"/>
      <c r="DI69" s="131"/>
      <c r="DJ69" s="131"/>
      <c r="DK69" s="131"/>
      <c r="DL69" s="131"/>
      <c r="DM69" s="131"/>
      <c r="DN69" s="131"/>
      <c r="DO69" s="131"/>
      <c r="DP69" s="131"/>
      <c r="DQ69" s="131"/>
      <c r="DR69" s="131"/>
      <c r="DS69" s="131"/>
      <c r="DT69" s="131"/>
      <c r="DU69" s="131"/>
      <c r="DV69" s="131"/>
      <c r="DW69" s="131"/>
      <c r="DX69" s="131"/>
      <c r="DY69" s="131"/>
      <c r="DZ69" s="131"/>
      <c r="EA69" s="131"/>
      <c r="EB69" s="131"/>
      <c r="EC69" s="131"/>
      <c r="ED69" s="131"/>
      <c r="EE69" s="131"/>
      <c r="EF69" s="131"/>
      <c r="EG69" s="131"/>
      <c r="EH69" s="131"/>
      <c r="EI69" s="131"/>
      <c r="EJ69" s="131"/>
      <c r="EK69" s="131"/>
      <c r="EL69" s="131"/>
      <c r="EM69" s="131"/>
      <c r="EN69" s="131"/>
      <c r="EO69" s="131"/>
      <c r="EP69" s="131"/>
      <c r="EQ69" s="131"/>
      <c r="ER69" s="131"/>
      <c r="ES69" s="131"/>
      <c r="ET69" s="131"/>
      <c r="EU69" s="131"/>
      <c r="EV69" s="131"/>
      <c r="EW69" s="131"/>
      <c r="EX69" s="131"/>
      <c r="EY69" s="131"/>
      <c r="EZ69" s="131"/>
      <c r="FA69" s="131"/>
      <c r="FB69" s="131"/>
      <c r="FC69" s="131"/>
      <c r="FD69" s="131"/>
      <c r="FE69" s="131"/>
      <c r="FF69" s="131"/>
      <c r="FG69" s="131"/>
      <c r="FH69" s="131"/>
      <c r="FI69" s="131"/>
      <c r="FJ69" s="131"/>
      <c r="FK69" s="131"/>
      <c r="FL69" s="131"/>
      <c r="FM69" s="131"/>
      <c r="FN69" s="131"/>
      <c r="FO69" s="131"/>
      <c r="FP69" s="131"/>
      <c r="FQ69" s="131"/>
      <c r="FR69" s="131"/>
      <c r="FS69" s="131"/>
      <c r="FT69" s="131"/>
      <c r="FU69" s="131"/>
      <c r="FV69" s="131"/>
      <c r="FW69" s="131"/>
      <c r="FX69" s="131"/>
      <c r="FY69" s="131"/>
      <c r="FZ69" s="131"/>
      <c r="GA69" s="131"/>
      <c r="GB69" s="131"/>
      <c r="GC69" s="131"/>
      <c r="GD69" s="131"/>
      <c r="GE69" s="131"/>
      <c r="GF69" s="131"/>
      <c r="GG69" s="131"/>
      <c r="GH69" s="131"/>
      <c r="GI69" s="131"/>
      <c r="GJ69" s="131"/>
      <c r="GK69" s="131"/>
      <c r="GL69" s="131"/>
      <c r="GM69" s="131"/>
      <c r="GN69" s="131"/>
      <c r="GO69" s="131"/>
      <c r="GP69" s="131"/>
      <c r="GQ69" s="131"/>
      <c r="GR69" s="131"/>
      <c r="GS69" s="131"/>
      <c r="GT69" s="131"/>
      <c r="GU69" s="131"/>
      <c r="GV69" s="131"/>
      <c r="GW69" s="131"/>
      <c r="GX69" s="131"/>
      <c r="GY69" s="131"/>
      <c r="GZ69" s="131"/>
      <c r="HA69" s="131"/>
      <c r="HB69" s="131"/>
      <c r="HC69" s="131"/>
      <c r="HD69" s="131"/>
      <c r="HE69" s="131"/>
      <c r="HF69" s="131"/>
      <c r="HG69" s="131"/>
      <c r="HH69" s="131"/>
      <c r="HI69" s="131"/>
      <c r="HJ69" s="131"/>
    </row>
    <row r="70" spans="3:218" x14ac:dyDescent="0.35">
      <c r="C70" s="23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  <c r="BB70" s="131"/>
      <c r="BC70" s="131"/>
      <c r="BD70" s="131"/>
      <c r="BE70" s="131"/>
      <c r="BF70" s="131"/>
      <c r="BG70" s="131"/>
      <c r="BH70" s="131"/>
      <c r="BI70" s="131"/>
      <c r="BJ70" s="131"/>
      <c r="BK70" s="131"/>
      <c r="BL70" s="131"/>
      <c r="BM70" s="131"/>
      <c r="BN70" s="131"/>
      <c r="BO70" s="131"/>
      <c r="BP70" s="131"/>
      <c r="BQ70" s="131"/>
      <c r="BR70" s="131"/>
      <c r="BS70" s="131"/>
      <c r="BT70" s="131"/>
      <c r="BU70" s="131"/>
      <c r="BV70" s="131"/>
      <c r="BW70" s="131"/>
      <c r="BX70" s="131"/>
      <c r="BY70" s="131"/>
      <c r="BZ70" s="131"/>
      <c r="CA70" s="131"/>
      <c r="CB70" s="131"/>
      <c r="CC70" s="131"/>
      <c r="CD70" s="131"/>
      <c r="CE70" s="131"/>
      <c r="CF70" s="131"/>
      <c r="CG70" s="131"/>
      <c r="CH70" s="131"/>
      <c r="CI70" s="131"/>
      <c r="CJ70" s="131"/>
      <c r="CK70" s="131"/>
      <c r="CL70" s="131"/>
      <c r="CM70" s="131"/>
      <c r="CN70" s="131"/>
      <c r="CO70" s="131"/>
      <c r="CP70" s="131"/>
      <c r="CQ70" s="131"/>
      <c r="CR70" s="131"/>
      <c r="CS70" s="131"/>
      <c r="CT70" s="131"/>
      <c r="CU70" s="131"/>
      <c r="CV70" s="131"/>
      <c r="CW70" s="131"/>
      <c r="CX70" s="131"/>
      <c r="CY70" s="131"/>
      <c r="CZ70" s="131"/>
      <c r="DA70" s="131"/>
      <c r="DB70" s="131"/>
      <c r="DC70" s="131"/>
      <c r="DD70" s="131"/>
      <c r="DE70" s="131"/>
      <c r="DF70" s="131"/>
      <c r="DG70" s="131"/>
      <c r="DH70" s="131"/>
      <c r="DI70" s="131"/>
      <c r="DJ70" s="131"/>
      <c r="DK70" s="131"/>
      <c r="DL70" s="131"/>
      <c r="DM70" s="131"/>
      <c r="DN70" s="131"/>
      <c r="DO70" s="131"/>
      <c r="DP70" s="131"/>
      <c r="DQ70" s="131"/>
      <c r="DR70" s="131"/>
      <c r="DS70" s="131"/>
      <c r="DT70" s="131"/>
      <c r="DU70" s="131"/>
      <c r="DV70" s="131"/>
      <c r="DW70" s="131"/>
      <c r="DX70" s="131"/>
      <c r="DY70" s="131"/>
      <c r="DZ70" s="131"/>
      <c r="EA70" s="131"/>
      <c r="EB70" s="131"/>
      <c r="EC70" s="131"/>
      <c r="ED70" s="131"/>
      <c r="EE70" s="131"/>
      <c r="EF70" s="131"/>
      <c r="EG70" s="131"/>
      <c r="EH70" s="131"/>
      <c r="EI70" s="131"/>
      <c r="EJ70" s="131"/>
      <c r="EK70" s="131"/>
      <c r="EL70" s="131"/>
      <c r="EM70" s="131"/>
      <c r="EN70" s="131"/>
      <c r="EO70" s="131"/>
      <c r="EP70" s="131"/>
      <c r="EQ70" s="131"/>
      <c r="ER70" s="131"/>
      <c r="ES70" s="131"/>
      <c r="ET70" s="131"/>
      <c r="EU70" s="131"/>
      <c r="EV70" s="131"/>
      <c r="EW70" s="131"/>
      <c r="EX70" s="131"/>
      <c r="EY70" s="131"/>
      <c r="EZ70" s="131"/>
      <c r="FA70" s="131"/>
      <c r="FB70" s="131"/>
      <c r="FC70" s="131"/>
      <c r="FD70" s="131"/>
      <c r="FE70" s="131"/>
      <c r="FF70" s="131"/>
      <c r="FG70" s="131"/>
      <c r="FH70" s="131"/>
      <c r="FI70" s="131"/>
      <c r="FJ70" s="131"/>
      <c r="FK70" s="131"/>
      <c r="FL70" s="131"/>
      <c r="FM70" s="131"/>
      <c r="FN70" s="131"/>
      <c r="FO70" s="131"/>
      <c r="FP70" s="131"/>
      <c r="FQ70" s="131"/>
      <c r="FR70" s="131"/>
      <c r="FS70" s="131"/>
      <c r="FT70" s="131"/>
      <c r="FU70" s="131"/>
      <c r="FV70" s="131"/>
      <c r="FW70" s="131"/>
      <c r="FX70" s="131"/>
      <c r="FY70" s="131"/>
      <c r="FZ70" s="131"/>
      <c r="GA70" s="131"/>
      <c r="GB70" s="131"/>
      <c r="GC70" s="131"/>
      <c r="GD70" s="131"/>
      <c r="GE70" s="131"/>
      <c r="GF70" s="131"/>
      <c r="GG70" s="131"/>
      <c r="GH70" s="131"/>
      <c r="GI70" s="131"/>
      <c r="GJ70" s="131"/>
      <c r="GK70" s="131"/>
      <c r="GL70" s="131"/>
      <c r="GM70" s="131"/>
      <c r="GN70" s="131"/>
      <c r="GO70" s="131"/>
      <c r="GP70" s="131"/>
      <c r="GQ70" s="131"/>
      <c r="GR70" s="131"/>
      <c r="GS70" s="131"/>
      <c r="GT70" s="131"/>
      <c r="GU70" s="131"/>
      <c r="GV70" s="131"/>
      <c r="GW70" s="131"/>
      <c r="GX70" s="131"/>
      <c r="GY70" s="131"/>
      <c r="GZ70" s="131"/>
      <c r="HA70" s="131"/>
      <c r="HB70" s="131"/>
      <c r="HC70" s="131"/>
      <c r="HD70" s="131"/>
      <c r="HE70" s="131"/>
      <c r="HF70" s="131"/>
      <c r="HG70" s="131"/>
      <c r="HH70" s="131"/>
      <c r="HI70" s="131"/>
      <c r="HJ70" s="131"/>
    </row>
    <row r="71" spans="3:218" x14ac:dyDescent="0.35">
      <c r="C71" s="23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  <c r="BB71" s="131"/>
      <c r="BC71" s="131"/>
      <c r="BD71" s="131"/>
      <c r="BE71" s="131"/>
      <c r="BF71" s="131"/>
      <c r="BG71" s="131"/>
      <c r="BH71" s="131"/>
      <c r="BI71" s="131"/>
      <c r="BJ71" s="131"/>
      <c r="BK71" s="131"/>
      <c r="BL71" s="131"/>
      <c r="BM71" s="131"/>
      <c r="BN71" s="131"/>
      <c r="BO71" s="131"/>
      <c r="BP71" s="131"/>
      <c r="BQ71" s="131"/>
      <c r="BR71" s="131"/>
      <c r="BS71" s="131"/>
      <c r="BT71" s="131"/>
      <c r="BU71" s="131"/>
      <c r="BV71" s="131"/>
      <c r="BW71" s="131"/>
      <c r="BX71" s="131"/>
      <c r="BY71" s="131"/>
      <c r="BZ71" s="131"/>
      <c r="CA71" s="131"/>
      <c r="CB71" s="131"/>
      <c r="CC71" s="131"/>
      <c r="CD71" s="131"/>
      <c r="CE71" s="131"/>
      <c r="CF71" s="131"/>
      <c r="CG71" s="131"/>
      <c r="CH71" s="131"/>
      <c r="CI71" s="131"/>
      <c r="CJ71" s="131"/>
      <c r="CK71" s="131"/>
      <c r="CL71" s="131"/>
      <c r="CM71" s="131"/>
      <c r="CN71" s="131"/>
      <c r="CO71" s="131"/>
      <c r="CP71" s="131"/>
      <c r="CQ71" s="131"/>
      <c r="CR71" s="131"/>
      <c r="CS71" s="131"/>
      <c r="CT71" s="131"/>
      <c r="CU71" s="131"/>
      <c r="CV71" s="131"/>
      <c r="CW71" s="131"/>
      <c r="CX71" s="131"/>
      <c r="CY71" s="131"/>
      <c r="CZ71" s="131"/>
      <c r="DA71" s="131"/>
      <c r="DB71" s="131"/>
      <c r="DC71" s="131"/>
      <c r="DD71" s="131"/>
      <c r="DE71" s="131"/>
      <c r="DF71" s="131"/>
      <c r="DG71" s="131"/>
      <c r="DH71" s="131"/>
      <c r="DI71" s="131"/>
      <c r="DJ71" s="131"/>
      <c r="DK71" s="131"/>
      <c r="DL71" s="131"/>
      <c r="DM71" s="131"/>
      <c r="DN71" s="131"/>
      <c r="DO71" s="131"/>
      <c r="DP71" s="131"/>
      <c r="DQ71" s="131"/>
      <c r="DR71" s="131"/>
      <c r="DS71" s="131"/>
      <c r="DT71" s="131"/>
      <c r="DU71" s="131"/>
      <c r="DV71" s="131"/>
      <c r="DW71" s="131"/>
      <c r="DX71" s="131"/>
      <c r="DY71" s="131"/>
      <c r="DZ71" s="131"/>
      <c r="EA71" s="131"/>
      <c r="EB71" s="131"/>
      <c r="EC71" s="131"/>
      <c r="ED71" s="131"/>
      <c r="EE71" s="131"/>
      <c r="EF71" s="131"/>
      <c r="EG71" s="131"/>
      <c r="EH71" s="131"/>
      <c r="EI71" s="131"/>
      <c r="EJ71" s="131"/>
      <c r="EK71" s="131"/>
      <c r="EL71" s="131"/>
      <c r="EM71" s="131"/>
      <c r="EN71" s="131"/>
      <c r="EO71" s="131"/>
      <c r="EP71" s="131"/>
      <c r="EQ71" s="131"/>
      <c r="ER71" s="131"/>
      <c r="ES71" s="131"/>
      <c r="ET71" s="131"/>
      <c r="EU71" s="131"/>
      <c r="EV71" s="131"/>
      <c r="EW71" s="131"/>
      <c r="EX71" s="131"/>
      <c r="EY71" s="131"/>
      <c r="EZ71" s="131"/>
      <c r="FA71" s="131"/>
      <c r="FB71" s="131"/>
      <c r="FC71" s="131"/>
      <c r="FD71" s="131"/>
      <c r="FE71" s="131"/>
      <c r="FF71" s="131"/>
      <c r="FG71" s="131"/>
      <c r="FH71" s="131"/>
      <c r="FI71" s="131"/>
      <c r="FJ71" s="131"/>
      <c r="FK71" s="131"/>
      <c r="FL71" s="131"/>
      <c r="FM71" s="131"/>
      <c r="FN71" s="131"/>
      <c r="FO71" s="131"/>
      <c r="FP71" s="131"/>
      <c r="FQ71" s="131"/>
      <c r="FR71" s="131"/>
      <c r="FS71" s="131"/>
      <c r="FT71" s="131"/>
      <c r="FU71" s="131"/>
      <c r="FV71" s="131"/>
      <c r="FW71" s="131"/>
      <c r="FX71" s="131"/>
      <c r="FY71" s="131"/>
      <c r="FZ71" s="131"/>
      <c r="GA71" s="131"/>
      <c r="GB71" s="131"/>
      <c r="GC71" s="131"/>
      <c r="GD71" s="131"/>
      <c r="GE71" s="131"/>
      <c r="GF71" s="131"/>
      <c r="GG71" s="131"/>
      <c r="GH71" s="131"/>
      <c r="GI71" s="131"/>
      <c r="GJ71" s="131"/>
      <c r="GK71" s="131"/>
      <c r="GL71" s="131"/>
      <c r="GM71" s="131"/>
      <c r="GN71" s="131"/>
      <c r="GO71" s="131"/>
      <c r="GP71" s="131"/>
      <c r="GQ71" s="131"/>
      <c r="GR71" s="131"/>
      <c r="GS71" s="131"/>
      <c r="GT71" s="131"/>
      <c r="GU71" s="131"/>
      <c r="GV71" s="131"/>
      <c r="GW71" s="131"/>
      <c r="GX71" s="131"/>
      <c r="GY71" s="131"/>
      <c r="GZ71" s="131"/>
      <c r="HA71" s="131"/>
      <c r="HB71" s="131"/>
      <c r="HC71" s="131"/>
      <c r="HD71" s="131"/>
      <c r="HE71" s="131"/>
      <c r="HF71" s="131"/>
      <c r="HG71" s="131"/>
      <c r="HH71" s="131"/>
      <c r="HI71" s="131"/>
      <c r="HJ71" s="131"/>
    </row>
    <row r="72" spans="3:218" x14ac:dyDescent="0.35">
      <c r="C72" s="23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131"/>
      <c r="BZ72" s="131"/>
      <c r="CA72" s="131"/>
      <c r="CB72" s="131"/>
      <c r="CC72" s="131"/>
      <c r="CD72" s="131"/>
      <c r="CE72" s="131"/>
      <c r="CF72" s="131"/>
      <c r="CG72" s="131"/>
      <c r="CH72" s="131"/>
      <c r="CI72" s="131"/>
      <c r="CJ72" s="131"/>
      <c r="CK72" s="131"/>
      <c r="CL72" s="131"/>
      <c r="CM72" s="131"/>
      <c r="CN72" s="131"/>
      <c r="CO72" s="131"/>
      <c r="CP72" s="131"/>
      <c r="CQ72" s="131"/>
      <c r="CR72" s="131"/>
      <c r="CS72" s="131"/>
      <c r="CT72" s="131"/>
      <c r="CU72" s="131"/>
      <c r="CV72" s="131"/>
      <c r="CW72" s="131"/>
      <c r="CX72" s="131"/>
      <c r="CY72" s="131"/>
      <c r="CZ72" s="131"/>
      <c r="DA72" s="131"/>
      <c r="DB72" s="131"/>
      <c r="DC72" s="131"/>
      <c r="DD72" s="131"/>
      <c r="DE72" s="131"/>
      <c r="DF72" s="131"/>
      <c r="DG72" s="131"/>
      <c r="DH72" s="131"/>
      <c r="DI72" s="131"/>
      <c r="DJ72" s="131"/>
      <c r="DK72" s="131"/>
      <c r="DL72" s="131"/>
      <c r="DM72" s="131"/>
      <c r="DN72" s="131"/>
      <c r="DO72" s="131"/>
      <c r="DP72" s="131"/>
      <c r="DQ72" s="131"/>
      <c r="DR72" s="131"/>
      <c r="DS72" s="131"/>
      <c r="DT72" s="131"/>
      <c r="DU72" s="131"/>
      <c r="DV72" s="131"/>
      <c r="DW72" s="131"/>
      <c r="DX72" s="131"/>
      <c r="DY72" s="131"/>
      <c r="DZ72" s="131"/>
      <c r="EA72" s="131"/>
      <c r="EB72" s="131"/>
      <c r="EC72" s="131"/>
      <c r="ED72" s="131"/>
      <c r="EE72" s="131"/>
      <c r="EF72" s="131"/>
      <c r="EG72" s="131"/>
      <c r="EH72" s="131"/>
      <c r="EI72" s="131"/>
      <c r="EJ72" s="131"/>
      <c r="EK72" s="131"/>
      <c r="EL72" s="131"/>
      <c r="EM72" s="131"/>
      <c r="EN72" s="131"/>
      <c r="EO72" s="131"/>
      <c r="EP72" s="131"/>
      <c r="EQ72" s="131"/>
      <c r="ER72" s="131"/>
      <c r="ES72" s="131"/>
      <c r="ET72" s="131"/>
      <c r="EU72" s="131"/>
      <c r="EV72" s="131"/>
      <c r="EW72" s="131"/>
      <c r="EX72" s="131"/>
      <c r="EY72" s="131"/>
      <c r="EZ72" s="131"/>
      <c r="FA72" s="131"/>
      <c r="FB72" s="131"/>
      <c r="FC72" s="131"/>
      <c r="FD72" s="131"/>
      <c r="FE72" s="131"/>
      <c r="FF72" s="131"/>
      <c r="FG72" s="131"/>
      <c r="FH72" s="131"/>
      <c r="FI72" s="131"/>
      <c r="FJ72" s="131"/>
      <c r="FK72" s="131"/>
      <c r="FL72" s="131"/>
      <c r="FM72" s="131"/>
      <c r="FN72" s="131"/>
      <c r="FO72" s="131"/>
      <c r="FP72" s="131"/>
      <c r="FQ72" s="131"/>
      <c r="FR72" s="131"/>
      <c r="FS72" s="131"/>
      <c r="FT72" s="131"/>
      <c r="FU72" s="131"/>
      <c r="FV72" s="131"/>
      <c r="FW72" s="131"/>
      <c r="FX72" s="131"/>
      <c r="FY72" s="131"/>
      <c r="FZ72" s="131"/>
      <c r="GA72" s="131"/>
      <c r="GB72" s="131"/>
      <c r="GC72" s="131"/>
      <c r="GD72" s="131"/>
      <c r="GE72" s="131"/>
      <c r="GF72" s="131"/>
      <c r="GG72" s="131"/>
      <c r="GH72" s="131"/>
      <c r="GI72" s="131"/>
      <c r="GJ72" s="131"/>
      <c r="GK72" s="131"/>
      <c r="GL72" s="131"/>
      <c r="GM72" s="131"/>
      <c r="GN72" s="131"/>
      <c r="GO72" s="131"/>
      <c r="GP72" s="131"/>
      <c r="GQ72" s="131"/>
      <c r="GR72" s="131"/>
      <c r="GS72" s="131"/>
      <c r="GT72" s="131"/>
      <c r="GU72" s="131"/>
      <c r="GV72" s="131"/>
      <c r="GW72" s="131"/>
      <c r="GX72" s="131"/>
      <c r="GY72" s="131"/>
      <c r="GZ72" s="131"/>
      <c r="HA72" s="131"/>
      <c r="HB72" s="131"/>
      <c r="HC72" s="131"/>
      <c r="HD72" s="131"/>
      <c r="HE72" s="131"/>
      <c r="HF72" s="131"/>
      <c r="HG72" s="131"/>
      <c r="HH72" s="131"/>
      <c r="HI72" s="131"/>
      <c r="HJ72" s="131"/>
    </row>
    <row r="73" spans="3:218" x14ac:dyDescent="0.35">
      <c r="C73" s="23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  <c r="BB73" s="131"/>
      <c r="BC73" s="131"/>
      <c r="BD73" s="131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31"/>
      <c r="BV73" s="131"/>
      <c r="BW73" s="131"/>
      <c r="BX73" s="131"/>
      <c r="BY73" s="131"/>
      <c r="BZ73" s="131"/>
      <c r="CA73" s="131"/>
      <c r="CB73" s="131"/>
      <c r="CC73" s="131"/>
      <c r="CD73" s="131"/>
      <c r="CE73" s="131"/>
      <c r="CF73" s="131"/>
      <c r="CG73" s="131"/>
      <c r="CH73" s="131"/>
      <c r="CI73" s="131"/>
      <c r="CJ73" s="131"/>
      <c r="CK73" s="131"/>
      <c r="CL73" s="131"/>
      <c r="CM73" s="131"/>
      <c r="CN73" s="131"/>
      <c r="CO73" s="131"/>
      <c r="CP73" s="131"/>
      <c r="CQ73" s="131"/>
      <c r="CR73" s="131"/>
      <c r="CS73" s="131"/>
      <c r="CT73" s="131"/>
      <c r="CU73" s="131"/>
      <c r="CV73" s="131"/>
      <c r="CW73" s="131"/>
      <c r="CX73" s="131"/>
      <c r="CY73" s="131"/>
      <c r="CZ73" s="131"/>
      <c r="DA73" s="131"/>
      <c r="DB73" s="131"/>
      <c r="DC73" s="131"/>
      <c r="DD73" s="131"/>
      <c r="DE73" s="131"/>
      <c r="DF73" s="131"/>
      <c r="DG73" s="131"/>
      <c r="DH73" s="131"/>
      <c r="DI73" s="131"/>
      <c r="DJ73" s="131"/>
      <c r="DK73" s="131"/>
      <c r="DL73" s="131"/>
      <c r="DM73" s="131"/>
      <c r="DN73" s="131"/>
      <c r="DO73" s="131"/>
      <c r="DP73" s="131"/>
      <c r="DQ73" s="131"/>
      <c r="DR73" s="131"/>
      <c r="DS73" s="131"/>
      <c r="DT73" s="131"/>
      <c r="DU73" s="131"/>
      <c r="DV73" s="131"/>
      <c r="DW73" s="131"/>
      <c r="DX73" s="131"/>
      <c r="DY73" s="131"/>
      <c r="DZ73" s="131"/>
      <c r="EA73" s="131"/>
      <c r="EB73" s="131"/>
      <c r="EC73" s="131"/>
      <c r="ED73" s="131"/>
      <c r="EE73" s="131"/>
      <c r="EF73" s="131"/>
      <c r="EG73" s="131"/>
      <c r="EH73" s="131"/>
      <c r="EI73" s="131"/>
      <c r="EJ73" s="131"/>
      <c r="EK73" s="131"/>
      <c r="EL73" s="131"/>
      <c r="EM73" s="131"/>
      <c r="EN73" s="131"/>
      <c r="EO73" s="131"/>
      <c r="EP73" s="131"/>
      <c r="EQ73" s="131"/>
      <c r="ER73" s="131"/>
      <c r="ES73" s="131"/>
      <c r="ET73" s="131"/>
      <c r="EU73" s="131"/>
      <c r="EV73" s="131"/>
      <c r="EW73" s="131"/>
      <c r="EX73" s="131"/>
      <c r="EY73" s="131"/>
      <c r="EZ73" s="131"/>
      <c r="FA73" s="131"/>
      <c r="FB73" s="131"/>
      <c r="FC73" s="131"/>
      <c r="FD73" s="131"/>
      <c r="FE73" s="131"/>
      <c r="FF73" s="131"/>
      <c r="FG73" s="131"/>
      <c r="FH73" s="131"/>
      <c r="FI73" s="131"/>
      <c r="FJ73" s="131"/>
      <c r="FK73" s="131"/>
      <c r="FL73" s="131"/>
      <c r="FM73" s="131"/>
      <c r="FN73" s="131"/>
      <c r="FO73" s="131"/>
      <c r="FP73" s="131"/>
      <c r="FQ73" s="131"/>
      <c r="FR73" s="131"/>
      <c r="FS73" s="131"/>
      <c r="FT73" s="131"/>
      <c r="FU73" s="131"/>
      <c r="FV73" s="131"/>
      <c r="FW73" s="131"/>
      <c r="FX73" s="131"/>
      <c r="FY73" s="131"/>
      <c r="FZ73" s="131"/>
      <c r="GA73" s="131"/>
      <c r="GB73" s="131"/>
      <c r="GC73" s="131"/>
      <c r="GD73" s="131"/>
      <c r="GE73" s="131"/>
      <c r="GF73" s="131"/>
      <c r="GG73" s="131"/>
      <c r="GH73" s="131"/>
      <c r="GI73" s="131"/>
      <c r="GJ73" s="131"/>
      <c r="GK73" s="131"/>
      <c r="GL73" s="131"/>
      <c r="GM73" s="131"/>
      <c r="GN73" s="131"/>
      <c r="GO73" s="131"/>
      <c r="GP73" s="131"/>
      <c r="GQ73" s="131"/>
      <c r="GR73" s="131"/>
      <c r="GS73" s="131"/>
      <c r="GT73" s="131"/>
      <c r="GU73" s="131"/>
      <c r="GV73" s="131"/>
      <c r="GW73" s="131"/>
      <c r="GX73" s="131"/>
      <c r="GY73" s="131"/>
      <c r="GZ73" s="131"/>
      <c r="HA73" s="131"/>
      <c r="HB73" s="131"/>
      <c r="HC73" s="131"/>
      <c r="HD73" s="131"/>
      <c r="HE73" s="131"/>
      <c r="HF73" s="131"/>
      <c r="HG73" s="131"/>
      <c r="HH73" s="131"/>
      <c r="HI73" s="131"/>
      <c r="HJ73" s="131"/>
    </row>
    <row r="74" spans="3:218" x14ac:dyDescent="0.35">
      <c r="C74" s="23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  <c r="BB74" s="131"/>
      <c r="BC74" s="131"/>
      <c r="BD74" s="131"/>
      <c r="BE74" s="131"/>
      <c r="BF74" s="131"/>
      <c r="BG74" s="131"/>
      <c r="BH74" s="131"/>
      <c r="BI74" s="131"/>
      <c r="BJ74" s="131"/>
      <c r="BK74" s="131"/>
      <c r="BL74" s="131"/>
      <c r="BM74" s="131"/>
      <c r="BN74" s="131"/>
      <c r="BO74" s="131"/>
      <c r="BP74" s="131"/>
      <c r="BQ74" s="131"/>
      <c r="BR74" s="131"/>
      <c r="BS74" s="131"/>
      <c r="BT74" s="131"/>
      <c r="BU74" s="131"/>
      <c r="BV74" s="131"/>
      <c r="BW74" s="131"/>
      <c r="BX74" s="131"/>
      <c r="BY74" s="131"/>
      <c r="BZ74" s="131"/>
      <c r="CA74" s="131"/>
      <c r="CB74" s="131"/>
      <c r="CC74" s="131"/>
      <c r="CD74" s="131"/>
      <c r="CE74" s="131"/>
      <c r="CF74" s="131"/>
      <c r="CG74" s="131"/>
      <c r="CH74" s="131"/>
      <c r="CI74" s="131"/>
      <c r="CJ74" s="131"/>
      <c r="CK74" s="131"/>
      <c r="CL74" s="131"/>
      <c r="CM74" s="131"/>
      <c r="CN74" s="131"/>
      <c r="CO74" s="131"/>
      <c r="CP74" s="131"/>
      <c r="CQ74" s="131"/>
      <c r="CR74" s="131"/>
      <c r="CS74" s="131"/>
      <c r="CT74" s="131"/>
      <c r="CU74" s="131"/>
      <c r="CV74" s="131"/>
      <c r="CW74" s="131"/>
      <c r="CX74" s="131"/>
      <c r="CY74" s="131"/>
      <c r="CZ74" s="131"/>
      <c r="DA74" s="131"/>
      <c r="DB74" s="131"/>
      <c r="DC74" s="131"/>
      <c r="DD74" s="131"/>
      <c r="DE74" s="131"/>
      <c r="DF74" s="131"/>
      <c r="DG74" s="131"/>
      <c r="DH74" s="131"/>
      <c r="DI74" s="131"/>
      <c r="DJ74" s="131"/>
      <c r="DK74" s="131"/>
      <c r="DL74" s="131"/>
      <c r="DM74" s="131"/>
      <c r="DN74" s="131"/>
      <c r="DO74" s="131"/>
      <c r="DP74" s="131"/>
      <c r="DQ74" s="131"/>
      <c r="DR74" s="131"/>
      <c r="DS74" s="131"/>
      <c r="DT74" s="131"/>
      <c r="DU74" s="131"/>
      <c r="DV74" s="131"/>
      <c r="DW74" s="131"/>
      <c r="DX74" s="131"/>
      <c r="DY74" s="131"/>
      <c r="DZ74" s="131"/>
      <c r="EA74" s="131"/>
      <c r="EB74" s="131"/>
      <c r="EC74" s="131"/>
      <c r="ED74" s="131"/>
      <c r="EE74" s="131"/>
      <c r="EF74" s="131"/>
      <c r="EG74" s="131"/>
      <c r="EH74" s="131"/>
      <c r="EI74" s="131"/>
      <c r="EJ74" s="131"/>
      <c r="EK74" s="131"/>
      <c r="EL74" s="131"/>
      <c r="EM74" s="131"/>
      <c r="EN74" s="131"/>
      <c r="EO74" s="131"/>
      <c r="EP74" s="131"/>
      <c r="EQ74" s="131"/>
      <c r="ER74" s="131"/>
      <c r="ES74" s="131"/>
      <c r="ET74" s="131"/>
      <c r="EU74" s="131"/>
      <c r="EV74" s="131"/>
      <c r="EW74" s="131"/>
      <c r="EX74" s="131"/>
      <c r="EY74" s="131"/>
      <c r="EZ74" s="131"/>
      <c r="FA74" s="131"/>
      <c r="FB74" s="131"/>
      <c r="FC74" s="131"/>
      <c r="FD74" s="131"/>
      <c r="FE74" s="131"/>
      <c r="FF74" s="131"/>
      <c r="FG74" s="131"/>
      <c r="FH74" s="131"/>
      <c r="FI74" s="131"/>
      <c r="FJ74" s="131"/>
      <c r="FK74" s="131"/>
      <c r="FL74" s="131"/>
      <c r="FM74" s="131"/>
      <c r="FN74" s="131"/>
      <c r="FO74" s="131"/>
      <c r="FP74" s="131"/>
      <c r="FQ74" s="131"/>
      <c r="FR74" s="131"/>
      <c r="FS74" s="131"/>
      <c r="FT74" s="131"/>
      <c r="FU74" s="131"/>
      <c r="FV74" s="131"/>
      <c r="FW74" s="131"/>
      <c r="FX74" s="131"/>
      <c r="FY74" s="131"/>
      <c r="FZ74" s="131"/>
      <c r="GA74" s="131"/>
      <c r="GB74" s="131"/>
      <c r="GC74" s="131"/>
      <c r="GD74" s="131"/>
      <c r="GE74" s="131"/>
      <c r="GF74" s="131"/>
      <c r="GG74" s="131"/>
      <c r="GH74" s="131"/>
      <c r="GI74" s="131"/>
      <c r="GJ74" s="131"/>
      <c r="GK74" s="131"/>
      <c r="GL74" s="131"/>
      <c r="GM74" s="131"/>
      <c r="GN74" s="131"/>
      <c r="GO74" s="131"/>
      <c r="GP74" s="131"/>
      <c r="GQ74" s="131"/>
      <c r="GR74" s="131"/>
      <c r="GS74" s="131"/>
      <c r="GT74" s="131"/>
      <c r="GU74" s="131"/>
      <c r="GV74" s="131"/>
      <c r="GW74" s="131"/>
      <c r="GX74" s="131"/>
      <c r="GY74" s="131"/>
      <c r="GZ74" s="131"/>
      <c r="HA74" s="131"/>
      <c r="HB74" s="131"/>
      <c r="HC74" s="131"/>
      <c r="HD74" s="131"/>
      <c r="HE74" s="131"/>
      <c r="HF74" s="131"/>
      <c r="HG74" s="131"/>
      <c r="HH74" s="131"/>
      <c r="HI74" s="131"/>
      <c r="HJ74" s="131"/>
    </row>
    <row r="75" spans="3:218" x14ac:dyDescent="0.35">
      <c r="C75" s="23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  <c r="BB75" s="131"/>
      <c r="BC75" s="131"/>
      <c r="BD75" s="131"/>
      <c r="BE75" s="131"/>
      <c r="BF75" s="131"/>
      <c r="BG75" s="131"/>
      <c r="BH75" s="131"/>
      <c r="BI75" s="131"/>
      <c r="BJ75" s="131"/>
      <c r="BK75" s="131"/>
      <c r="BL75" s="131"/>
      <c r="BM75" s="131"/>
      <c r="BN75" s="131"/>
      <c r="BO75" s="131"/>
      <c r="BP75" s="131"/>
      <c r="BQ75" s="131"/>
      <c r="BR75" s="131"/>
      <c r="BS75" s="131"/>
      <c r="BT75" s="131"/>
      <c r="BU75" s="131"/>
      <c r="BV75" s="131"/>
      <c r="BW75" s="131"/>
      <c r="BX75" s="131"/>
      <c r="BY75" s="131"/>
      <c r="BZ75" s="131"/>
      <c r="CA75" s="131"/>
      <c r="CB75" s="131"/>
      <c r="CC75" s="131"/>
      <c r="CD75" s="131"/>
      <c r="CE75" s="131"/>
      <c r="CF75" s="131"/>
      <c r="CG75" s="131"/>
      <c r="CH75" s="131"/>
      <c r="CI75" s="131"/>
      <c r="CJ75" s="131"/>
      <c r="CK75" s="131"/>
      <c r="CL75" s="131"/>
      <c r="CM75" s="131"/>
      <c r="CN75" s="131"/>
      <c r="CO75" s="131"/>
      <c r="CP75" s="131"/>
      <c r="CQ75" s="131"/>
      <c r="CR75" s="131"/>
      <c r="CS75" s="131"/>
      <c r="CT75" s="131"/>
      <c r="CU75" s="131"/>
      <c r="CV75" s="131"/>
      <c r="CW75" s="131"/>
      <c r="CX75" s="131"/>
      <c r="CY75" s="131"/>
      <c r="CZ75" s="131"/>
      <c r="DA75" s="131"/>
      <c r="DB75" s="131"/>
      <c r="DC75" s="131"/>
      <c r="DD75" s="131"/>
      <c r="DE75" s="131"/>
      <c r="DF75" s="131"/>
      <c r="DG75" s="131"/>
      <c r="DH75" s="131"/>
      <c r="DI75" s="131"/>
      <c r="DJ75" s="131"/>
      <c r="DK75" s="131"/>
      <c r="DL75" s="131"/>
      <c r="DM75" s="131"/>
      <c r="DN75" s="131"/>
      <c r="DO75" s="131"/>
      <c r="DP75" s="131"/>
      <c r="DQ75" s="131"/>
      <c r="DR75" s="131"/>
      <c r="DS75" s="131"/>
      <c r="DT75" s="131"/>
      <c r="DU75" s="131"/>
      <c r="DV75" s="131"/>
      <c r="DW75" s="131"/>
      <c r="DX75" s="131"/>
      <c r="DY75" s="131"/>
      <c r="DZ75" s="131"/>
      <c r="EA75" s="131"/>
      <c r="EB75" s="131"/>
      <c r="EC75" s="131"/>
      <c r="ED75" s="131"/>
      <c r="EE75" s="131"/>
      <c r="EF75" s="131"/>
      <c r="EG75" s="131"/>
      <c r="EH75" s="131"/>
      <c r="EI75" s="131"/>
      <c r="EJ75" s="131"/>
      <c r="EK75" s="131"/>
      <c r="EL75" s="131"/>
      <c r="EM75" s="131"/>
      <c r="EN75" s="131"/>
      <c r="EO75" s="131"/>
      <c r="EP75" s="131"/>
      <c r="EQ75" s="131"/>
      <c r="ER75" s="131"/>
      <c r="ES75" s="131"/>
      <c r="ET75" s="131"/>
      <c r="EU75" s="131"/>
      <c r="EV75" s="131"/>
      <c r="EW75" s="131"/>
      <c r="EX75" s="131"/>
      <c r="EY75" s="131"/>
      <c r="EZ75" s="131"/>
      <c r="FA75" s="131"/>
      <c r="FB75" s="131"/>
      <c r="FC75" s="131"/>
      <c r="FD75" s="131"/>
      <c r="FE75" s="131"/>
      <c r="FF75" s="131"/>
      <c r="FG75" s="131"/>
      <c r="FH75" s="131"/>
      <c r="FI75" s="131"/>
      <c r="FJ75" s="131"/>
      <c r="FK75" s="131"/>
      <c r="FL75" s="131"/>
      <c r="FM75" s="131"/>
      <c r="FN75" s="131"/>
      <c r="FO75" s="131"/>
      <c r="FP75" s="131"/>
      <c r="FQ75" s="131"/>
      <c r="FR75" s="131"/>
      <c r="FS75" s="131"/>
      <c r="FT75" s="131"/>
      <c r="FU75" s="131"/>
      <c r="FV75" s="131"/>
      <c r="FW75" s="131"/>
      <c r="FX75" s="131"/>
      <c r="FY75" s="131"/>
      <c r="FZ75" s="131"/>
      <c r="GA75" s="131"/>
      <c r="GB75" s="131"/>
      <c r="GC75" s="131"/>
      <c r="GD75" s="131"/>
      <c r="GE75" s="131"/>
      <c r="GF75" s="131"/>
      <c r="GG75" s="131"/>
      <c r="GH75" s="131"/>
      <c r="GI75" s="131"/>
      <c r="GJ75" s="131"/>
      <c r="GK75" s="131"/>
      <c r="GL75" s="131"/>
      <c r="GM75" s="131"/>
      <c r="GN75" s="131"/>
      <c r="GO75" s="131"/>
      <c r="GP75" s="131"/>
      <c r="GQ75" s="131"/>
      <c r="GR75" s="131"/>
      <c r="GS75" s="131"/>
      <c r="GT75" s="131"/>
      <c r="GU75" s="131"/>
      <c r="GV75" s="131"/>
      <c r="GW75" s="131"/>
      <c r="GX75" s="131"/>
      <c r="GY75" s="131"/>
      <c r="GZ75" s="131"/>
      <c r="HA75" s="131"/>
      <c r="HB75" s="131"/>
      <c r="HC75" s="131"/>
      <c r="HD75" s="131"/>
      <c r="HE75" s="131"/>
      <c r="HF75" s="131"/>
      <c r="HG75" s="131"/>
      <c r="HH75" s="131"/>
      <c r="HI75" s="131"/>
      <c r="HJ75" s="131"/>
    </row>
    <row r="76" spans="3:218" x14ac:dyDescent="0.35">
      <c r="C76" s="23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131"/>
      <c r="BA76" s="131"/>
      <c r="BB76" s="131"/>
      <c r="BC76" s="131"/>
      <c r="BD76" s="131"/>
      <c r="BE76" s="131"/>
      <c r="BF76" s="131"/>
      <c r="BG76" s="131"/>
      <c r="BH76" s="131"/>
      <c r="BI76" s="131"/>
      <c r="BJ76" s="131"/>
      <c r="BK76" s="131"/>
      <c r="BL76" s="131"/>
      <c r="BM76" s="131"/>
      <c r="BN76" s="131"/>
      <c r="BO76" s="131"/>
      <c r="BP76" s="131"/>
      <c r="BQ76" s="131"/>
      <c r="BR76" s="131"/>
      <c r="BS76" s="131"/>
      <c r="BT76" s="131"/>
      <c r="BU76" s="131"/>
      <c r="BV76" s="131"/>
      <c r="BW76" s="131"/>
      <c r="BX76" s="131"/>
      <c r="BY76" s="131"/>
      <c r="BZ76" s="131"/>
      <c r="CA76" s="131"/>
      <c r="CB76" s="131"/>
      <c r="CC76" s="131"/>
      <c r="CD76" s="131"/>
      <c r="CE76" s="131"/>
      <c r="CF76" s="131"/>
      <c r="CG76" s="131"/>
      <c r="CH76" s="131"/>
      <c r="CI76" s="131"/>
      <c r="CJ76" s="131"/>
      <c r="CK76" s="131"/>
      <c r="CL76" s="131"/>
      <c r="CM76" s="131"/>
      <c r="CN76" s="131"/>
      <c r="CO76" s="131"/>
      <c r="CP76" s="131"/>
      <c r="CQ76" s="131"/>
      <c r="CR76" s="131"/>
      <c r="CS76" s="131"/>
      <c r="CT76" s="131"/>
      <c r="CU76" s="131"/>
      <c r="CV76" s="131"/>
      <c r="CW76" s="131"/>
      <c r="CX76" s="131"/>
      <c r="CY76" s="131"/>
      <c r="CZ76" s="131"/>
      <c r="DA76" s="131"/>
      <c r="DB76" s="131"/>
      <c r="DC76" s="131"/>
      <c r="DD76" s="131"/>
      <c r="DE76" s="131"/>
      <c r="DF76" s="131"/>
      <c r="DG76" s="131"/>
      <c r="DH76" s="131"/>
      <c r="DI76" s="131"/>
      <c r="DJ76" s="131"/>
      <c r="DK76" s="131"/>
      <c r="DL76" s="131"/>
      <c r="DM76" s="131"/>
      <c r="DN76" s="131"/>
      <c r="DO76" s="131"/>
      <c r="DP76" s="131"/>
      <c r="DQ76" s="131"/>
      <c r="DR76" s="131"/>
      <c r="DS76" s="131"/>
      <c r="DT76" s="131"/>
      <c r="DU76" s="131"/>
      <c r="DV76" s="131"/>
      <c r="DW76" s="131"/>
      <c r="DX76" s="131"/>
      <c r="DY76" s="131"/>
      <c r="DZ76" s="131"/>
      <c r="EA76" s="131"/>
      <c r="EB76" s="131"/>
      <c r="EC76" s="131"/>
      <c r="ED76" s="131"/>
      <c r="EE76" s="131"/>
      <c r="EF76" s="131"/>
      <c r="EG76" s="131"/>
      <c r="EH76" s="131"/>
      <c r="EI76" s="131"/>
      <c r="EJ76" s="131"/>
      <c r="EK76" s="131"/>
      <c r="EL76" s="131"/>
      <c r="EM76" s="131"/>
      <c r="EN76" s="131"/>
      <c r="EO76" s="131"/>
      <c r="EP76" s="131"/>
      <c r="EQ76" s="131"/>
      <c r="ER76" s="131"/>
      <c r="ES76" s="131"/>
      <c r="ET76" s="131"/>
      <c r="EU76" s="131"/>
      <c r="EV76" s="131"/>
      <c r="EW76" s="131"/>
      <c r="EX76" s="131"/>
      <c r="EY76" s="131"/>
      <c r="EZ76" s="131"/>
      <c r="FA76" s="131"/>
      <c r="FB76" s="131"/>
      <c r="FC76" s="131"/>
      <c r="FD76" s="131"/>
      <c r="FE76" s="131"/>
      <c r="FF76" s="131"/>
      <c r="FG76" s="131"/>
      <c r="FH76" s="131"/>
      <c r="FI76" s="131"/>
      <c r="FJ76" s="131"/>
      <c r="FK76" s="131"/>
      <c r="FL76" s="131"/>
      <c r="FM76" s="131"/>
      <c r="FN76" s="131"/>
      <c r="FO76" s="131"/>
      <c r="FP76" s="131"/>
      <c r="FQ76" s="131"/>
      <c r="FR76" s="131"/>
      <c r="FS76" s="131"/>
      <c r="FT76" s="131"/>
      <c r="FU76" s="131"/>
      <c r="FV76" s="131"/>
      <c r="FW76" s="131"/>
      <c r="FX76" s="131"/>
      <c r="FY76" s="131"/>
      <c r="FZ76" s="131"/>
      <c r="GA76" s="131"/>
      <c r="GB76" s="131"/>
      <c r="GC76" s="131"/>
      <c r="GD76" s="131"/>
      <c r="GE76" s="131"/>
      <c r="GF76" s="131"/>
      <c r="GG76" s="131"/>
      <c r="GH76" s="131"/>
      <c r="GI76" s="131"/>
      <c r="GJ76" s="131"/>
      <c r="GK76" s="131"/>
      <c r="GL76" s="131"/>
      <c r="GM76" s="131"/>
      <c r="GN76" s="131"/>
      <c r="GO76" s="131"/>
      <c r="GP76" s="131"/>
      <c r="GQ76" s="131"/>
      <c r="GR76" s="131"/>
      <c r="GS76" s="131"/>
      <c r="GT76" s="131"/>
      <c r="GU76" s="131"/>
      <c r="GV76" s="131"/>
      <c r="GW76" s="131"/>
      <c r="GX76" s="131"/>
      <c r="GY76" s="131"/>
      <c r="GZ76" s="131"/>
      <c r="HA76" s="131"/>
      <c r="HB76" s="131"/>
      <c r="HC76" s="131"/>
      <c r="HD76" s="131"/>
      <c r="HE76" s="131"/>
      <c r="HF76" s="131"/>
      <c r="HG76" s="131"/>
      <c r="HH76" s="131"/>
      <c r="HI76" s="131"/>
      <c r="HJ76" s="131"/>
    </row>
    <row r="77" spans="3:218" x14ac:dyDescent="0.35">
      <c r="C77" s="23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  <c r="BB77" s="131"/>
      <c r="BC77" s="131"/>
      <c r="BD77" s="131"/>
      <c r="BE77" s="131"/>
      <c r="BF77" s="131"/>
      <c r="BG77" s="131"/>
      <c r="BH77" s="131"/>
      <c r="BI77" s="131"/>
      <c r="BJ77" s="131"/>
      <c r="BK77" s="131"/>
      <c r="BL77" s="131"/>
      <c r="BM77" s="131"/>
      <c r="BN77" s="131"/>
      <c r="BO77" s="131"/>
      <c r="BP77" s="131"/>
      <c r="BQ77" s="131"/>
      <c r="BR77" s="131"/>
      <c r="BS77" s="131"/>
      <c r="BT77" s="131"/>
      <c r="BU77" s="131"/>
      <c r="BV77" s="131"/>
      <c r="BW77" s="131"/>
      <c r="BX77" s="131"/>
      <c r="BY77" s="131"/>
      <c r="BZ77" s="131"/>
      <c r="CA77" s="131"/>
      <c r="CB77" s="131"/>
      <c r="CC77" s="131"/>
      <c r="CD77" s="131"/>
      <c r="CE77" s="131"/>
      <c r="CF77" s="131"/>
      <c r="CG77" s="131"/>
      <c r="CH77" s="131"/>
      <c r="CI77" s="131"/>
      <c r="CJ77" s="131"/>
      <c r="CK77" s="131"/>
      <c r="CL77" s="131"/>
      <c r="CM77" s="131"/>
      <c r="CN77" s="131"/>
      <c r="CO77" s="131"/>
      <c r="CP77" s="131"/>
      <c r="CQ77" s="131"/>
      <c r="CR77" s="131"/>
      <c r="CS77" s="131"/>
      <c r="CT77" s="131"/>
      <c r="CU77" s="131"/>
      <c r="CV77" s="131"/>
      <c r="CW77" s="131"/>
      <c r="CX77" s="131"/>
      <c r="CY77" s="131"/>
      <c r="CZ77" s="131"/>
      <c r="DA77" s="131"/>
      <c r="DB77" s="131"/>
      <c r="DC77" s="131"/>
      <c r="DD77" s="131"/>
      <c r="DE77" s="131"/>
      <c r="DF77" s="131"/>
      <c r="DG77" s="131"/>
      <c r="DH77" s="131"/>
      <c r="DI77" s="131"/>
      <c r="DJ77" s="131"/>
      <c r="DK77" s="131"/>
      <c r="DL77" s="131"/>
      <c r="DM77" s="131"/>
      <c r="DN77" s="131"/>
      <c r="DO77" s="131"/>
      <c r="DP77" s="131"/>
      <c r="DQ77" s="131"/>
      <c r="DR77" s="131"/>
      <c r="DS77" s="131"/>
      <c r="DT77" s="131"/>
      <c r="DU77" s="131"/>
      <c r="DV77" s="131"/>
      <c r="DW77" s="131"/>
      <c r="DX77" s="131"/>
      <c r="DY77" s="131"/>
      <c r="DZ77" s="131"/>
      <c r="EA77" s="131"/>
      <c r="EB77" s="131"/>
      <c r="EC77" s="131"/>
      <c r="ED77" s="131"/>
      <c r="EE77" s="131"/>
      <c r="EF77" s="131"/>
      <c r="EG77" s="131"/>
      <c r="EH77" s="131"/>
      <c r="EI77" s="131"/>
      <c r="EJ77" s="131"/>
      <c r="EK77" s="131"/>
      <c r="EL77" s="131"/>
      <c r="EM77" s="131"/>
      <c r="EN77" s="131"/>
      <c r="EO77" s="131"/>
      <c r="EP77" s="131"/>
      <c r="EQ77" s="131"/>
      <c r="ER77" s="131"/>
      <c r="ES77" s="131"/>
      <c r="ET77" s="131"/>
      <c r="EU77" s="131"/>
      <c r="EV77" s="131"/>
      <c r="EW77" s="131"/>
      <c r="EX77" s="131"/>
      <c r="EY77" s="131"/>
      <c r="EZ77" s="131"/>
      <c r="FA77" s="131"/>
      <c r="FB77" s="131"/>
      <c r="FC77" s="131"/>
      <c r="FD77" s="131"/>
      <c r="FE77" s="131"/>
      <c r="FF77" s="131"/>
      <c r="FG77" s="131"/>
      <c r="FH77" s="131"/>
      <c r="FI77" s="131"/>
      <c r="FJ77" s="131"/>
      <c r="FK77" s="131"/>
      <c r="FL77" s="131"/>
      <c r="FM77" s="131"/>
      <c r="FN77" s="131"/>
      <c r="FO77" s="131"/>
      <c r="FP77" s="131"/>
      <c r="FQ77" s="131"/>
      <c r="FR77" s="131"/>
      <c r="FS77" s="131"/>
      <c r="FT77" s="131"/>
      <c r="FU77" s="131"/>
      <c r="FV77" s="131"/>
      <c r="FW77" s="131"/>
      <c r="FX77" s="131"/>
      <c r="FY77" s="131"/>
      <c r="FZ77" s="131"/>
      <c r="GA77" s="131"/>
      <c r="GB77" s="131"/>
      <c r="GC77" s="131"/>
      <c r="GD77" s="131"/>
      <c r="GE77" s="131"/>
      <c r="GF77" s="131"/>
      <c r="GG77" s="131"/>
      <c r="GH77" s="131"/>
      <c r="GI77" s="131"/>
      <c r="GJ77" s="131"/>
      <c r="GK77" s="131"/>
      <c r="GL77" s="131"/>
      <c r="GM77" s="131"/>
      <c r="GN77" s="131"/>
      <c r="GO77" s="131"/>
      <c r="GP77" s="131"/>
      <c r="GQ77" s="131"/>
      <c r="GR77" s="131"/>
      <c r="GS77" s="131"/>
      <c r="GT77" s="131"/>
      <c r="GU77" s="131"/>
      <c r="GV77" s="131"/>
      <c r="GW77" s="131"/>
      <c r="GX77" s="131"/>
      <c r="GY77" s="131"/>
      <c r="GZ77" s="131"/>
      <c r="HA77" s="131"/>
      <c r="HB77" s="131"/>
      <c r="HC77" s="131"/>
      <c r="HD77" s="131"/>
      <c r="HE77" s="131"/>
      <c r="HF77" s="131"/>
      <c r="HG77" s="131"/>
      <c r="HH77" s="131"/>
      <c r="HI77" s="131"/>
      <c r="HJ77" s="131"/>
    </row>
    <row r="78" spans="3:218" x14ac:dyDescent="0.35">
      <c r="C78" s="23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  <c r="BU78" s="131"/>
      <c r="BV78" s="131"/>
      <c r="BW78" s="131"/>
      <c r="BX78" s="131"/>
      <c r="BY78" s="131"/>
      <c r="BZ78" s="131"/>
      <c r="CA78" s="131"/>
      <c r="CB78" s="131"/>
      <c r="CC78" s="131"/>
      <c r="CD78" s="131"/>
      <c r="CE78" s="131"/>
      <c r="CF78" s="131"/>
      <c r="CG78" s="131"/>
      <c r="CH78" s="131"/>
      <c r="CI78" s="131"/>
      <c r="CJ78" s="131"/>
      <c r="CK78" s="131"/>
      <c r="CL78" s="131"/>
      <c r="CM78" s="131"/>
      <c r="CN78" s="131"/>
      <c r="CO78" s="131"/>
      <c r="CP78" s="131"/>
      <c r="CQ78" s="131"/>
      <c r="CR78" s="131"/>
      <c r="CS78" s="131"/>
      <c r="CT78" s="131"/>
      <c r="CU78" s="131"/>
      <c r="CV78" s="131"/>
      <c r="CW78" s="131"/>
      <c r="CX78" s="131"/>
      <c r="CY78" s="131"/>
      <c r="CZ78" s="131"/>
      <c r="DA78" s="131"/>
      <c r="DB78" s="131"/>
      <c r="DC78" s="131"/>
      <c r="DD78" s="131"/>
      <c r="DE78" s="131"/>
      <c r="DF78" s="131"/>
      <c r="DG78" s="131"/>
      <c r="DH78" s="131"/>
      <c r="DI78" s="131"/>
      <c r="DJ78" s="131"/>
      <c r="DK78" s="131"/>
      <c r="DL78" s="131"/>
      <c r="DM78" s="131"/>
      <c r="DN78" s="131"/>
      <c r="DO78" s="131"/>
      <c r="DP78" s="131"/>
      <c r="DQ78" s="131"/>
      <c r="DR78" s="131"/>
      <c r="DS78" s="131"/>
      <c r="DT78" s="131"/>
      <c r="DU78" s="131"/>
      <c r="DV78" s="131"/>
      <c r="DW78" s="131"/>
      <c r="DX78" s="131"/>
      <c r="DY78" s="131"/>
      <c r="DZ78" s="131"/>
      <c r="EA78" s="131"/>
      <c r="EB78" s="131"/>
      <c r="EC78" s="131"/>
      <c r="ED78" s="131"/>
      <c r="EE78" s="131"/>
      <c r="EF78" s="131"/>
      <c r="EG78" s="131"/>
      <c r="EH78" s="131"/>
      <c r="EI78" s="131"/>
      <c r="EJ78" s="131"/>
      <c r="EK78" s="131"/>
      <c r="EL78" s="131"/>
      <c r="EM78" s="131"/>
      <c r="EN78" s="131"/>
      <c r="EO78" s="131"/>
      <c r="EP78" s="131"/>
      <c r="EQ78" s="131"/>
      <c r="ER78" s="131"/>
      <c r="ES78" s="131"/>
      <c r="ET78" s="131"/>
      <c r="EU78" s="131"/>
      <c r="EV78" s="131"/>
      <c r="EW78" s="131"/>
      <c r="EX78" s="131"/>
      <c r="EY78" s="131"/>
      <c r="EZ78" s="131"/>
      <c r="FA78" s="131"/>
      <c r="FB78" s="131"/>
      <c r="FC78" s="131"/>
      <c r="FD78" s="131"/>
      <c r="FE78" s="131"/>
      <c r="FF78" s="131"/>
      <c r="FG78" s="131"/>
      <c r="FH78" s="131"/>
      <c r="FI78" s="131"/>
      <c r="FJ78" s="131"/>
      <c r="FK78" s="131"/>
      <c r="FL78" s="131"/>
      <c r="FM78" s="131"/>
      <c r="FN78" s="131"/>
      <c r="FO78" s="131"/>
      <c r="FP78" s="131"/>
      <c r="FQ78" s="131"/>
      <c r="FR78" s="131"/>
      <c r="FS78" s="131"/>
      <c r="FT78" s="131"/>
      <c r="FU78" s="131"/>
      <c r="FV78" s="131"/>
      <c r="FW78" s="131"/>
      <c r="FX78" s="131"/>
      <c r="FY78" s="131"/>
      <c r="FZ78" s="131"/>
      <c r="GA78" s="131"/>
      <c r="GB78" s="131"/>
      <c r="GC78" s="131"/>
      <c r="GD78" s="131"/>
      <c r="GE78" s="131"/>
      <c r="GF78" s="131"/>
      <c r="GG78" s="131"/>
      <c r="GH78" s="131"/>
      <c r="GI78" s="131"/>
      <c r="GJ78" s="131"/>
      <c r="GK78" s="131"/>
      <c r="GL78" s="131"/>
      <c r="GM78" s="131"/>
      <c r="GN78" s="131"/>
      <c r="GO78" s="131"/>
      <c r="GP78" s="131"/>
      <c r="GQ78" s="131"/>
      <c r="GR78" s="131"/>
      <c r="GS78" s="131"/>
      <c r="GT78" s="131"/>
      <c r="GU78" s="131"/>
      <c r="GV78" s="131"/>
      <c r="GW78" s="131"/>
      <c r="GX78" s="131"/>
      <c r="GY78" s="131"/>
      <c r="GZ78" s="131"/>
      <c r="HA78" s="131"/>
      <c r="HB78" s="131"/>
      <c r="HC78" s="131"/>
      <c r="HD78" s="131"/>
      <c r="HE78" s="131"/>
      <c r="HF78" s="131"/>
      <c r="HG78" s="131"/>
      <c r="HH78" s="131"/>
      <c r="HI78" s="131"/>
      <c r="HJ78" s="131"/>
    </row>
    <row r="79" spans="3:218" x14ac:dyDescent="0.35">
      <c r="C79" s="23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1"/>
      <c r="CE79" s="131"/>
      <c r="CF79" s="131"/>
      <c r="CG79" s="131"/>
      <c r="CH79" s="131"/>
      <c r="CI79" s="131"/>
      <c r="CJ79" s="131"/>
      <c r="CK79" s="131"/>
      <c r="CL79" s="131"/>
      <c r="CM79" s="131"/>
      <c r="CN79" s="131"/>
      <c r="CO79" s="131"/>
      <c r="CP79" s="131"/>
      <c r="CQ79" s="131"/>
      <c r="CR79" s="131"/>
      <c r="CS79" s="131"/>
      <c r="CT79" s="131"/>
      <c r="CU79" s="131"/>
      <c r="CV79" s="131"/>
      <c r="CW79" s="131"/>
      <c r="CX79" s="131"/>
      <c r="CY79" s="131"/>
      <c r="CZ79" s="131"/>
      <c r="DA79" s="131"/>
      <c r="DB79" s="131"/>
      <c r="DC79" s="131"/>
      <c r="DD79" s="131"/>
      <c r="DE79" s="131"/>
      <c r="DF79" s="131"/>
      <c r="DG79" s="131"/>
      <c r="DH79" s="131"/>
      <c r="DI79" s="131"/>
      <c r="DJ79" s="131"/>
      <c r="DK79" s="131"/>
      <c r="DL79" s="131"/>
      <c r="DM79" s="131"/>
      <c r="DN79" s="131"/>
      <c r="DO79" s="131"/>
      <c r="DP79" s="131"/>
      <c r="DQ79" s="131"/>
      <c r="DR79" s="131"/>
      <c r="DS79" s="131"/>
      <c r="DT79" s="131"/>
      <c r="DU79" s="131"/>
      <c r="DV79" s="131"/>
      <c r="DW79" s="131"/>
      <c r="DX79" s="131"/>
      <c r="DY79" s="131"/>
      <c r="DZ79" s="131"/>
      <c r="EA79" s="131"/>
      <c r="EB79" s="131"/>
      <c r="EC79" s="131"/>
      <c r="ED79" s="131"/>
      <c r="EE79" s="131"/>
      <c r="EF79" s="131"/>
      <c r="EG79" s="131"/>
      <c r="EH79" s="131"/>
      <c r="EI79" s="131"/>
      <c r="EJ79" s="131"/>
      <c r="EK79" s="131"/>
      <c r="EL79" s="131"/>
      <c r="EM79" s="131"/>
      <c r="EN79" s="131"/>
      <c r="EO79" s="131"/>
      <c r="EP79" s="131"/>
      <c r="EQ79" s="131"/>
      <c r="ER79" s="131"/>
      <c r="ES79" s="131"/>
      <c r="ET79" s="131"/>
      <c r="EU79" s="131"/>
      <c r="EV79" s="131"/>
      <c r="EW79" s="131"/>
      <c r="EX79" s="131"/>
      <c r="EY79" s="131"/>
      <c r="EZ79" s="131"/>
      <c r="FA79" s="131"/>
      <c r="FB79" s="131"/>
      <c r="FC79" s="131"/>
      <c r="FD79" s="131"/>
      <c r="FE79" s="131"/>
      <c r="FF79" s="131"/>
      <c r="FG79" s="131"/>
      <c r="FH79" s="131"/>
      <c r="FI79" s="131"/>
      <c r="FJ79" s="131"/>
      <c r="FK79" s="131"/>
      <c r="FL79" s="131"/>
      <c r="FM79" s="131"/>
      <c r="FN79" s="131"/>
      <c r="FO79" s="131"/>
      <c r="FP79" s="131"/>
      <c r="FQ79" s="131"/>
      <c r="FR79" s="131"/>
      <c r="FS79" s="131"/>
      <c r="FT79" s="131"/>
      <c r="FU79" s="131"/>
      <c r="FV79" s="131"/>
      <c r="FW79" s="131"/>
      <c r="FX79" s="131"/>
      <c r="FY79" s="131"/>
      <c r="FZ79" s="131"/>
      <c r="GA79" s="131"/>
      <c r="GB79" s="131"/>
      <c r="GC79" s="131"/>
      <c r="GD79" s="131"/>
      <c r="GE79" s="131"/>
      <c r="GF79" s="131"/>
      <c r="GG79" s="131"/>
      <c r="GH79" s="131"/>
      <c r="GI79" s="131"/>
      <c r="GJ79" s="131"/>
      <c r="GK79" s="131"/>
      <c r="GL79" s="131"/>
      <c r="GM79" s="131"/>
      <c r="GN79" s="131"/>
      <c r="GO79" s="131"/>
      <c r="GP79" s="131"/>
      <c r="GQ79" s="131"/>
      <c r="GR79" s="131"/>
      <c r="GS79" s="131"/>
      <c r="GT79" s="131"/>
      <c r="GU79" s="131"/>
      <c r="GV79" s="131"/>
      <c r="GW79" s="131"/>
      <c r="GX79" s="131"/>
      <c r="GY79" s="131"/>
      <c r="GZ79" s="131"/>
      <c r="HA79" s="131"/>
      <c r="HB79" s="131"/>
      <c r="HC79" s="131"/>
      <c r="HD79" s="131"/>
      <c r="HE79" s="131"/>
      <c r="HF79" s="131"/>
      <c r="HG79" s="131"/>
      <c r="HH79" s="131"/>
      <c r="HI79" s="131"/>
      <c r="HJ79" s="131"/>
    </row>
    <row r="80" spans="3:218" x14ac:dyDescent="0.35">
      <c r="C80" s="23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  <c r="BB80" s="131"/>
      <c r="BC80" s="131"/>
      <c r="BD80" s="131"/>
      <c r="BE80" s="131"/>
      <c r="BF80" s="131"/>
      <c r="BG80" s="131"/>
      <c r="BH80" s="131"/>
      <c r="BI80" s="131"/>
      <c r="BJ80" s="131"/>
      <c r="BK80" s="131"/>
      <c r="BL80" s="131"/>
      <c r="BM80" s="131"/>
      <c r="BN80" s="131"/>
      <c r="BO80" s="131"/>
      <c r="BP80" s="131"/>
      <c r="BQ80" s="131"/>
      <c r="BR80" s="131"/>
      <c r="BS80" s="131"/>
      <c r="BT80" s="131"/>
      <c r="BU80" s="131"/>
      <c r="BV80" s="131"/>
      <c r="BW80" s="131"/>
      <c r="BX80" s="131"/>
      <c r="BY80" s="131"/>
      <c r="BZ80" s="131"/>
      <c r="CA80" s="131"/>
      <c r="CB80" s="131"/>
      <c r="CC80" s="131"/>
      <c r="CD80" s="131"/>
      <c r="CE80" s="131"/>
      <c r="CF80" s="131"/>
      <c r="CG80" s="131"/>
      <c r="CH80" s="131"/>
      <c r="CI80" s="131"/>
      <c r="CJ80" s="131"/>
      <c r="CK80" s="131"/>
      <c r="CL80" s="131"/>
      <c r="CM80" s="131"/>
      <c r="CN80" s="131"/>
      <c r="CO80" s="131"/>
      <c r="CP80" s="131"/>
      <c r="CQ80" s="131"/>
      <c r="CR80" s="131"/>
      <c r="CS80" s="131"/>
      <c r="CT80" s="131"/>
      <c r="CU80" s="131"/>
      <c r="CV80" s="131"/>
      <c r="CW80" s="131"/>
      <c r="CX80" s="131"/>
      <c r="CY80" s="131"/>
      <c r="CZ80" s="131"/>
      <c r="DA80" s="131"/>
      <c r="DB80" s="131"/>
      <c r="DC80" s="131"/>
      <c r="DD80" s="131"/>
      <c r="DE80" s="131"/>
      <c r="DF80" s="131"/>
      <c r="DG80" s="131"/>
      <c r="DH80" s="131"/>
      <c r="DI80" s="131"/>
      <c r="DJ80" s="131"/>
      <c r="DK80" s="131"/>
      <c r="DL80" s="131"/>
      <c r="DM80" s="131"/>
      <c r="DN80" s="131"/>
      <c r="DO80" s="131"/>
      <c r="DP80" s="131"/>
      <c r="DQ80" s="131"/>
      <c r="DR80" s="131"/>
      <c r="DS80" s="131"/>
      <c r="DT80" s="131"/>
      <c r="DU80" s="131"/>
      <c r="DV80" s="131"/>
      <c r="DW80" s="131"/>
      <c r="DX80" s="131"/>
      <c r="DY80" s="131"/>
      <c r="DZ80" s="131"/>
      <c r="EA80" s="131"/>
      <c r="EB80" s="131"/>
      <c r="EC80" s="131"/>
      <c r="ED80" s="131"/>
      <c r="EE80" s="131"/>
      <c r="EF80" s="131"/>
      <c r="EG80" s="131"/>
      <c r="EH80" s="131"/>
      <c r="EI80" s="131"/>
      <c r="EJ80" s="131"/>
      <c r="EK80" s="131"/>
      <c r="EL80" s="131"/>
      <c r="EM80" s="131"/>
      <c r="EN80" s="131"/>
      <c r="EO80" s="131"/>
      <c r="EP80" s="131"/>
      <c r="EQ80" s="131"/>
      <c r="ER80" s="131"/>
      <c r="ES80" s="131"/>
      <c r="ET80" s="131"/>
      <c r="EU80" s="131"/>
      <c r="EV80" s="131"/>
      <c r="EW80" s="131"/>
      <c r="EX80" s="131"/>
      <c r="EY80" s="131"/>
      <c r="EZ80" s="131"/>
      <c r="FA80" s="131"/>
      <c r="FB80" s="131"/>
      <c r="FC80" s="131"/>
      <c r="FD80" s="131"/>
      <c r="FE80" s="131"/>
      <c r="FF80" s="131"/>
      <c r="FG80" s="131"/>
      <c r="FH80" s="131"/>
      <c r="FI80" s="131"/>
      <c r="FJ80" s="131"/>
      <c r="FK80" s="131"/>
      <c r="FL80" s="131"/>
      <c r="FM80" s="131"/>
      <c r="FN80" s="131"/>
      <c r="FO80" s="131"/>
      <c r="FP80" s="131"/>
      <c r="FQ80" s="131"/>
      <c r="FR80" s="131"/>
      <c r="FS80" s="131"/>
      <c r="FT80" s="131"/>
      <c r="FU80" s="131"/>
      <c r="FV80" s="131"/>
      <c r="FW80" s="131"/>
      <c r="FX80" s="131"/>
      <c r="FY80" s="131"/>
      <c r="FZ80" s="131"/>
      <c r="GA80" s="131"/>
      <c r="GB80" s="131"/>
      <c r="GC80" s="131"/>
      <c r="GD80" s="131"/>
      <c r="GE80" s="131"/>
      <c r="GF80" s="131"/>
      <c r="GG80" s="131"/>
      <c r="GH80" s="131"/>
      <c r="GI80" s="131"/>
      <c r="GJ80" s="131"/>
      <c r="GK80" s="131"/>
      <c r="GL80" s="131"/>
      <c r="GM80" s="131"/>
      <c r="GN80" s="131"/>
      <c r="GO80" s="131"/>
      <c r="GP80" s="131"/>
      <c r="GQ80" s="131"/>
      <c r="GR80" s="131"/>
      <c r="GS80" s="131"/>
      <c r="GT80" s="131"/>
      <c r="GU80" s="131"/>
      <c r="GV80" s="131"/>
      <c r="GW80" s="131"/>
      <c r="GX80" s="131"/>
      <c r="GY80" s="131"/>
      <c r="GZ80" s="131"/>
      <c r="HA80" s="131"/>
      <c r="HB80" s="131"/>
      <c r="HC80" s="131"/>
      <c r="HD80" s="131"/>
      <c r="HE80" s="131"/>
      <c r="HF80" s="131"/>
      <c r="HG80" s="131"/>
      <c r="HH80" s="131"/>
      <c r="HI80" s="131"/>
      <c r="HJ80" s="131"/>
    </row>
    <row r="81" spans="2:218" x14ac:dyDescent="0.35">
      <c r="C81" s="23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  <c r="BB81" s="131"/>
      <c r="BC81" s="131"/>
      <c r="BD81" s="131"/>
      <c r="BE81" s="131"/>
      <c r="BF81" s="131"/>
      <c r="BG81" s="131"/>
      <c r="BH81" s="131"/>
      <c r="BI81" s="131"/>
      <c r="BJ81" s="131"/>
      <c r="BK81" s="131"/>
      <c r="BL81" s="131"/>
      <c r="BM81" s="131"/>
      <c r="BN81" s="131"/>
      <c r="BO81" s="131"/>
      <c r="BP81" s="131"/>
      <c r="BQ81" s="131"/>
      <c r="BR81" s="131"/>
      <c r="BS81" s="131"/>
      <c r="BT81" s="131"/>
      <c r="BU81" s="131"/>
      <c r="BV81" s="131"/>
      <c r="BW81" s="131"/>
      <c r="BX81" s="131"/>
      <c r="BY81" s="131"/>
      <c r="BZ81" s="131"/>
      <c r="CA81" s="131"/>
      <c r="CB81" s="131"/>
      <c r="CC81" s="131"/>
      <c r="CD81" s="131"/>
      <c r="CE81" s="131"/>
      <c r="CF81" s="131"/>
      <c r="CG81" s="131"/>
      <c r="CH81" s="131"/>
      <c r="CI81" s="131"/>
      <c r="CJ81" s="131"/>
      <c r="CK81" s="131"/>
      <c r="CL81" s="131"/>
      <c r="CM81" s="131"/>
      <c r="CN81" s="131"/>
      <c r="CO81" s="131"/>
      <c r="CP81" s="131"/>
      <c r="CQ81" s="131"/>
      <c r="CR81" s="131"/>
      <c r="CS81" s="131"/>
      <c r="CT81" s="131"/>
      <c r="CU81" s="131"/>
      <c r="CV81" s="131"/>
      <c r="CW81" s="131"/>
      <c r="CX81" s="131"/>
      <c r="CY81" s="131"/>
      <c r="CZ81" s="131"/>
      <c r="DA81" s="131"/>
      <c r="DB81" s="131"/>
      <c r="DC81" s="131"/>
      <c r="DD81" s="131"/>
      <c r="DE81" s="131"/>
      <c r="DF81" s="131"/>
      <c r="DG81" s="131"/>
      <c r="DH81" s="131"/>
      <c r="DI81" s="131"/>
      <c r="DJ81" s="131"/>
      <c r="DK81" s="131"/>
      <c r="DL81" s="131"/>
      <c r="DM81" s="131"/>
      <c r="DN81" s="131"/>
      <c r="DO81" s="131"/>
      <c r="DP81" s="131"/>
      <c r="DQ81" s="131"/>
      <c r="DR81" s="131"/>
      <c r="DS81" s="131"/>
      <c r="DT81" s="131"/>
      <c r="DU81" s="131"/>
      <c r="DV81" s="131"/>
      <c r="DW81" s="131"/>
      <c r="DX81" s="131"/>
      <c r="DY81" s="131"/>
      <c r="DZ81" s="131"/>
      <c r="EA81" s="131"/>
      <c r="EB81" s="131"/>
      <c r="EC81" s="131"/>
      <c r="ED81" s="131"/>
      <c r="EE81" s="131"/>
      <c r="EF81" s="131"/>
      <c r="EG81" s="131"/>
      <c r="EH81" s="131"/>
      <c r="EI81" s="131"/>
      <c r="EJ81" s="131"/>
      <c r="EK81" s="131"/>
      <c r="EL81" s="131"/>
      <c r="EM81" s="131"/>
      <c r="EN81" s="131"/>
      <c r="EO81" s="131"/>
      <c r="EP81" s="131"/>
      <c r="EQ81" s="131"/>
      <c r="ER81" s="131"/>
      <c r="ES81" s="131"/>
      <c r="ET81" s="131"/>
      <c r="EU81" s="131"/>
      <c r="EV81" s="131"/>
      <c r="EW81" s="131"/>
      <c r="EX81" s="131"/>
      <c r="EY81" s="131"/>
      <c r="EZ81" s="131"/>
      <c r="FA81" s="131"/>
      <c r="FB81" s="131"/>
      <c r="FC81" s="131"/>
      <c r="FD81" s="131"/>
      <c r="FE81" s="131"/>
      <c r="FF81" s="131"/>
      <c r="FG81" s="131"/>
      <c r="FH81" s="131"/>
      <c r="FI81" s="131"/>
      <c r="FJ81" s="131"/>
      <c r="FK81" s="131"/>
      <c r="FL81" s="131"/>
      <c r="FM81" s="131"/>
      <c r="FN81" s="131"/>
      <c r="FO81" s="131"/>
      <c r="FP81" s="131"/>
      <c r="FQ81" s="131"/>
      <c r="FR81" s="131"/>
      <c r="FS81" s="131"/>
      <c r="FT81" s="131"/>
      <c r="FU81" s="131"/>
      <c r="FV81" s="131"/>
      <c r="FW81" s="131"/>
      <c r="FX81" s="131"/>
      <c r="FY81" s="131"/>
      <c r="FZ81" s="131"/>
      <c r="GA81" s="131"/>
      <c r="GB81" s="131"/>
      <c r="GC81" s="131"/>
      <c r="GD81" s="131"/>
      <c r="GE81" s="131"/>
      <c r="GF81" s="131"/>
      <c r="GG81" s="131"/>
      <c r="GH81" s="131"/>
      <c r="GI81" s="131"/>
      <c r="GJ81" s="131"/>
      <c r="GK81" s="131"/>
      <c r="GL81" s="131"/>
      <c r="GM81" s="131"/>
      <c r="GN81" s="131"/>
      <c r="GO81" s="131"/>
      <c r="GP81" s="131"/>
      <c r="GQ81" s="131"/>
      <c r="GR81" s="131"/>
      <c r="GS81" s="131"/>
      <c r="GT81" s="131"/>
      <c r="GU81" s="131"/>
      <c r="GV81" s="131"/>
      <c r="GW81" s="131"/>
      <c r="GX81" s="131"/>
      <c r="GY81" s="131"/>
      <c r="GZ81" s="131"/>
      <c r="HA81" s="131"/>
      <c r="HB81" s="131"/>
      <c r="HC81" s="131"/>
      <c r="HD81" s="131"/>
      <c r="HE81" s="131"/>
      <c r="HF81" s="131"/>
      <c r="HG81" s="131"/>
      <c r="HH81" s="131"/>
      <c r="HI81" s="131"/>
      <c r="HJ81" s="131"/>
    </row>
    <row r="82" spans="2:218" x14ac:dyDescent="0.35">
      <c r="C82" s="23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  <c r="BA82" s="131"/>
      <c r="BB82" s="131"/>
      <c r="BC82" s="131"/>
      <c r="BD82" s="131"/>
      <c r="BE82" s="131"/>
      <c r="BF82" s="131"/>
      <c r="BG82" s="131"/>
      <c r="BH82" s="131"/>
      <c r="BI82" s="131"/>
      <c r="BJ82" s="131"/>
      <c r="BK82" s="131"/>
      <c r="BL82" s="131"/>
      <c r="BM82" s="131"/>
      <c r="BN82" s="131"/>
      <c r="BO82" s="131"/>
      <c r="BP82" s="131"/>
      <c r="BQ82" s="131"/>
      <c r="BR82" s="131"/>
      <c r="BS82" s="131"/>
      <c r="BT82" s="131"/>
      <c r="BU82" s="131"/>
      <c r="BV82" s="131"/>
      <c r="BW82" s="131"/>
      <c r="BX82" s="131"/>
      <c r="BY82" s="131"/>
      <c r="BZ82" s="131"/>
      <c r="CA82" s="131"/>
      <c r="CB82" s="131"/>
      <c r="CC82" s="131"/>
      <c r="CD82" s="131"/>
      <c r="CE82" s="131"/>
      <c r="CF82" s="131"/>
      <c r="CG82" s="131"/>
      <c r="CH82" s="131"/>
      <c r="CI82" s="131"/>
      <c r="CJ82" s="131"/>
      <c r="CK82" s="131"/>
      <c r="CL82" s="131"/>
      <c r="CM82" s="131"/>
      <c r="CN82" s="131"/>
      <c r="CO82" s="131"/>
      <c r="CP82" s="131"/>
      <c r="CQ82" s="131"/>
      <c r="CR82" s="131"/>
      <c r="CS82" s="131"/>
      <c r="CT82" s="131"/>
      <c r="CU82" s="131"/>
      <c r="CV82" s="131"/>
      <c r="CW82" s="131"/>
      <c r="CX82" s="131"/>
      <c r="CY82" s="131"/>
      <c r="CZ82" s="131"/>
      <c r="DA82" s="131"/>
      <c r="DB82" s="131"/>
      <c r="DC82" s="131"/>
      <c r="DD82" s="131"/>
      <c r="DE82" s="131"/>
      <c r="DF82" s="131"/>
      <c r="DG82" s="131"/>
      <c r="DH82" s="131"/>
      <c r="DI82" s="131"/>
      <c r="DJ82" s="131"/>
      <c r="DK82" s="131"/>
      <c r="DL82" s="131"/>
      <c r="DM82" s="131"/>
      <c r="DN82" s="131"/>
      <c r="DO82" s="131"/>
      <c r="DP82" s="131"/>
      <c r="DQ82" s="131"/>
      <c r="DR82" s="131"/>
      <c r="DS82" s="131"/>
      <c r="DT82" s="131"/>
      <c r="DU82" s="131"/>
      <c r="DV82" s="131"/>
      <c r="DW82" s="131"/>
      <c r="DX82" s="131"/>
      <c r="DY82" s="131"/>
      <c r="DZ82" s="131"/>
      <c r="EA82" s="131"/>
      <c r="EB82" s="131"/>
      <c r="EC82" s="131"/>
      <c r="ED82" s="131"/>
      <c r="EE82" s="131"/>
      <c r="EF82" s="131"/>
      <c r="EG82" s="131"/>
      <c r="EH82" s="131"/>
      <c r="EI82" s="131"/>
      <c r="EJ82" s="131"/>
      <c r="EK82" s="131"/>
      <c r="EL82" s="131"/>
      <c r="EM82" s="131"/>
      <c r="EN82" s="131"/>
      <c r="EO82" s="131"/>
      <c r="EP82" s="131"/>
      <c r="EQ82" s="131"/>
      <c r="ER82" s="131"/>
      <c r="ES82" s="131"/>
      <c r="ET82" s="131"/>
      <c r="EU82" s="131"/>
      <c r="EV82" s="131"/>
      <c r="EW82" s="131"/>
      <c r="EX82" s="131"/>
      <c r="EY82" s="131"/>
      <c r="EZ82" s="131"/>
      <c r="FA82" s="131"/>
      <c r="FB82" s="131"/>
      <c r="FC82" s="131"/>
      <c r="FD82" s="131"/>
      <c r="FE82" s="131"/>
      <c r="FF82" s="131"/>
      <c r="FG82" s="131"/>
      <c r="FH82" s="131"/>
      <c r="FI82" s="131"/>
      <c r="FJ82" s="131"/>
      <c r="FK82" s="131"/>
      <c r="FL82" s="131"/>
      <c r="FM82" s="131"/>
      <c r="FN82" s="131"/>
      <c r="FO82" s="131"/>
      <c r="FP82" s="131"/>
      <c r="FQ82" s="131"/>
      <c r="FR82" s="131"/>
      <c r="FS82" s="131"/>
      <c r="FT82" s="131"/>
      <c r="FU82" s="131"/>
      <c r="FV82" s="131"/>
      <c r="FW82" s="131"/>
      <c r="FX82" s="131"/>
      <c r="FY82" s="131"/>
      <c r="FZ82" s="131"/>
      <c r="GA82" s="131"/>
      <c r="GB82" s="131"/>
      <c r="GC82" s="131"/>
      <c r="GD82" s="131"/>
      <c r="GE82" s="131"/>
      <c r="GF82" s="131"/>
      <c r="GG82" s="131"/>
      <c r="GH82" s="131"/>
      <c r="GI82" s="131"/>
      <c r="GJ82" s="131"/>
      <c r="GK82" s="131"/>
      <c r="GL82" s="131"/>
      <c r="GM82" s="131"/>
      <c r="GN82" s="131"/>
      <c r="GO82" s="131"/>
      <c r="GP82" s="131"/>
      <c r="GQ82" s="131"/>
      <c r="GR82" s="131"/>
      <c r="GS82" s="131"/>
      <c r="GT82" s="131"/>
      <c r="GU82" s="131"/>
      <c r="GV82" s="131"/>
      <c r="GW82" s="131"/>
      <c r="GX82" s="131"/>
      <c r="GY82" s="131"/>
      <c r="GZ82" s="131"/>
      <c r="HA82" s="131"/>
      <c r="HB82" s="131"/>
      <c r="HC82" s="131"/>
      <c r="HD82" s="131"/>
      <c r="HE82" s="131"/>
      <c r="HF82" s="131"/>
      <c r="HG82" s="131"/>
      <c r="HH82" s="131"/>
      <c r="HI82" s="131"/>
      <c r="HJ82" s="131"/>
    </row>
    <row r="83" spans="2:218" x14ac:dyDescent="0.35">
      <c r="C83" s="23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31"/>
      <c r="BA83" s="131"/>
      <c r="BB83" s="131"/>
      <c r="BC83" s="131"/>
      <c r="BD83" s="131"/>
      <c r="BE83" s="131"/>
      <c r="BF83" s="131"/>
      <c r="BG83" s="131"/>
      <c r="BH83" s="131"/>
      <c r="BI83" s="131"/>
      <c r="BJ83" s="131"/>
      <c r="BK83" s="131"/>
      <c r="BL83" s="131"/>
      <c r="BM83" s="131"/>
      <c r="BN83" s="131"/>
      <c r="BO83" s="131"/>
      <c r="BP83" s="131"/>
      <c r="BQ83" s="131"/>
      <c r="BR83" s="131"/>
      <c r="BS83" s="131"/>
      <c r="BT83" s="131"/>
      <c r="BU83" s="131"/>
      <c r="BV83" s="131"/>
      <c r="BW83" s="131"/>
      <c r="BX83" s="131"/>
      <c r="BY83" s="131"/>
      <c r="BZ83" s="131"/>
      <c r="CA83" s="131"/>
      <c r="CB83" s="131"/>
      <c r="CC83" s="131"/>
      <c r="CD83" s="131"/>
      <c r="CE83" s="131"/>
      <c r="CF83" s="131"/>
      <c r="CG83" s="131"/>
      <c r="CH83" s="131"/>
      <c r="CI83" s="131"/>
      <c r="CJ83" s="131"/>
      <c r="CK83" s="131"/>
      <c r="CL83" s="131"/>
      <c r="CM83" s="131"/>
      <c r="CN83" s="131"/>
      <c r="CO83" s="131"/>
      <c r="CP83" s="131"/>
      <c r="CQ83" s="131"/>
      <c r="CR83" s="131"/>
      <c r="CS83" s="131"/>
      <c r="CT83" s="131"/>
      <c r="CU83" s="131"/>
      <c r="CV83" s="131"/>
      <c r="CW83" s="131"/>
      <c r="CX83" s="131"/>
      <c r="CY83" s="131"/>
      <c r="CZ83" s="131"/>
      <c r="DA83" s="131"/>
      <c r="DB83" s="131"/>
      <c r="DC83" s="131"/>
      <c r="DD83" s="131"/>
      <c r="DE83" s="131"/>
      <c r="DF83" s="131"/>
      <c r="DG83" s="131"/>
      <c r="DH83" s="131"/>
      <c r="DI83" s="131"/>
      <c r="DJ83" s="131"/>
      <c r="DK83" s="131"/>
      <c r="DL83" s="131"/>
      <c r="DM83" s="131"/>
      <c r="DN83" s="131"/>
      <c r="DO83" s="131"/>
      <c r="DP83" s="131"/>
      <c r="DQ83" s="131"/>
      <c r="DR83" s="131"/>
      <c r="DS83" s="131"/>
      <c r="DT83" s="131"/>
      <c r="DU83" s="131"/>
      <c r="DV83" s="131"/>
      <c r="DW83" s="131"/>
      <c r="DX83" s="131"/>
      <c r="DY83" s="131"/>
      <c r="DZ83" s="131"/>
      <c r="EA83" s="131"/>
      <c r="EB83" s="131"/>
      <c r="EC83" s="131"/>
      <c r="ED83" s="131"/>
      <c r="EE83" s="131"/>
      <c r="EF83" s="131"/>
      <c r="EG83" s="131"/>
      <c r="EH83" s="131"/>
      <c r="EI83" s="131"/>
      <c r="EJ83" s="131"/>
      <c r="EK83" s="131"/>
      <c r="EL83" s="131"/>
      <c r="EM83" s="131"/>
      <c r="EN83" s="131"/>
      <c r="EO83" s="131"/>
      <c r="EP83" s="131"/>
      <c r="EQ83" s="131"/>
      <c r="ER83" s="131"/>
      <c r="ES83" s="131"/>
      <c r="ET83" s="131"/>
      <c r="EU83" s="131"/>
      <c r="EV83" s="131"/>
      <c r="EW83" s="131"/>
      <c r="EX83" s="131"/>
      <c r="EY83" s="131"/>
      <c r="EZ83" s="131"/>
      <c r="FA83" s="131"/>
      <c r="FB83" s="131"/>
      <c r="FC83" s="131"/>
      <c r="FD83" s="131"/>
      <c r="FE83" s="131"/>
      <c r="FF83" s="131"/>
      <c r="FG83" s="131"/>
      <c r="FH83" s="131"/>
      <c r="FI83" s="131"/>
      <c r="FJ83" s="131"/>
      <c r="FK83" s="131"/>
      <c r="FL83" s="131"/>
      <c r="FM83" s="131"/>
      <c r="FN83" s="131"/>
      <c r="FO83" s="131"/>
      <c r="FP83" s="131"/>
      <c r="FQ83" s="131"/>
      <c r="FR83" s="131"/>
      <c r="FS83" s="131"/>
      <c r="FT83" s="131"/>
      <c r="FU83" s="131"/>
      <c r="FV83" s="131"/>
      <c r="FW83" s="131"/>
      <c r="FX83" s="131"/>
      <c r="FY83" s="131"/>
      <c r="FZ83" s="131"/>
      <c r="GA83" s="131"/>
      <c r="GB83" s="131"/>
      <c r="GC83" s="131"/>
      <c r="GD83" s="131"/>
      <c r="GE83" s="131"/>
      <c r="GF83" s="131"/>
      <c r="GG83" s="131"/>
      <c r="GH83" s="131"/>
      <c r="GI83" s="131"/>
      <c r="GJ83" s="131"/>
      <c r="GK83" s="131"/>
      <c r="GL83" s="131"/>
      <c r="GM83" s="131"/>
      <c r="GN83" s="131"/>
      <c r="GO83" s="131"/>
      <c r="GP83" s="131"/>
      <c r="GQ83" s="131"/>
      <c r="GR83" s="131"/>
      <c r="GS83" s="131"/>
      <c r="GT83" s="131"/>
      <c r="GU83" s="131"/>
      <c r="GV83" s="131"/>
      <c r="GW83" s="131"/>
      <c r="GX83" s="131"/>
      <c r="GY83" s="131"/>
      <c r="GZ83" s="131"/>
      <c r="HA83" s="131"/>
      <c r="HB83" s="131"/>
      <c r="HC83" s="131"/>
      <c r="HD83" s="131"/>
      <c r="HE83" s="131"/>
      <c r="HF83" s="131"/>
      <c r="HG83" s="131"/>
      <c r="HH83" s="131"/>
      <c r="HI83" s="131"/>
      <c r="HJ83" s="131"/>
    </row>
    <row r="84" spans="2:218" x14ac:dyDescent="0.35">
      <c r="C84" s="23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31"/>
      <c r="BA84" s="131"/>
      <c r="BB84" s="131"/>
      <c r="BC84" s="131"/>
      <c r="BD84" s="131"/>
      <c r="BE84" s="131"/>
      <c r="BF84" s="131"/>
      <c r="BG84" s="131"/>
      <c r="BH84" s="131"/>
      <c r="BI84" s="131"/>
      <c r="BJ84" s="131"/>
      <c r="BK84" s="131"/>
      <c r="BL84" s="131"/>
      <c r="BM84" s="131"/>
      <c r="BN84" s="131"/>
      <c r="BO84" s="131"/>
      <c r="BP84" s="131"/>
      <c r="BQ84" s="131"/>
      <c r="BR84" s="131"/>
      <c r="BS84" s="131"/>
      <c r="BT84" s="131"/>
      <c r="BU84" s="131"/>
      <c r="BV84" s="131"/>
      <c r="BW84" s="131"/>
      <c r="BX84" s="131"/>
      <c r="BY84" s="131"/>
      <c r="BZ84" s="131"/>
      <c r="CA84" s="131"/>
      <c r="CB84" s="131"/>
      <c r="CC84" s="131"/>
      <c r="CD84" s="131"/>
      <c r="CE84" s="131"/>
      <c r="CF84" s="131"/>
      <c r="CG84" s="131"/>
      <c r="CH84" s="131"/>
      <c r="CI84" s="131"/>
      <c r="CJ84" s="131"/>
      <c r="CK84" s="131"/>
      <c r="CL84" s="131"/>
      <c r="CM84" s="131"/>
      <c r="CN84" s="131"/>
      <c r="CO84" s="131"/>
      <c r="CP84" s="131"/>
      <c r="CQ84" s="131"/>
      <c r="CR84" s="131"/>
      <c r="CS84" s="131"/>
      <c r="CT84" s="131"/>
      <c r="CU84" s="131"/>
      <c r="CV84" s="131"/>
      <c r="CW84" s="131"/>
      <c r="CX84" s="131"/>
      <c r="CY84" s="131"/>
      <c r="CZ84" s="131"/>
      <c r="DA84" s="131"/>
      <c r="DB84" s="131"/>
      <c r="DC84" s="131"/>
      <c r="DD84" s="131"/>
      <c r="DE84" s="131"/>
      <c r="DF84" s="131"/>
      <c r="DG84" s="131"/>
      <c r="DH84" s="131"/>
      <c r="DI84" s="131"/>
      <c r="DJ84" s="131"/>
      <c r="DK84" s="131"/>
      <c r="DL84" s="131"/>
      <c r="DM84" s="131"/>
      <c r="DN84" s="131"/>
      <c r="DO84" s="131"/>
      <c r="DP84" s="131"/>
      <c r="DQ84" s="131"/>
      <c r="DR84" s="131"/>
      <c r="DS84" s="131"/>
      <c r="DT84" s="131"/>
      <c r="DU84" s="131"/>
      <c r="DV84" s="131"/>
      <c r="DW84" s="131"/>
      <c r="DX84" s="131"/>
      <c r="DY84" s="131"/>
      <c r="DZ84" s="131"/>
      <c r="EA84" s="131"/>
      <c r="EB84" s="131"/>
      <c r="EC84" s="131"/>
      <c r="ED84" s="131"/>
      <c r="EE84" s="131"/>
      <c r="EF84" s="131"/>
      <c r="EG84" s="131"/>
      <c r="EH84" s="131"/>
      <c r="EI84" s="131"/>
      <c r="EJ84" s="131"/>
      <c r="EK84" s="131"/>
      <c r="EL84" s="131"/>
      <c r="EM84" s="131"/>
      <c r="EN84" s="131"/>
      <c r="EO84" s="131"/>
      <c r="EP84" s="131"/>
      <c r="EQ84" s="131"/>
      <c r="ER84" s="131"/>
      <c r="ES84" s="131"/>
      <c r="ET84" s="131"/>
      <c r="EU84" s="131"/>
      <c r="EV84" s="131"/>
      <c r="EW84" s="131"/>
      <c r="EX84" s="131"/>
      <c r="EY84" s="131"/>
      <c r="EZ84" s="131"/>
      <c r="FA84" s="131"/>
      <c r="FB84" s="131"/>
      <c r="FC84" s="131"/>
      <c r="FD84" s="131"/>
      <c r="FE84" s="131"/>
      <c r="FF84" s="131"/>
      <c r="FG84" s="131"/>
      <c r="FH84" s="131"/>
      <c r="FI84" s="131"/>
      <c r="FJ84" s="131"/>
      <c r="FK84" s="131"/>
      <c r="FL84" s="131"/>
      <c r="FM84" s="131"/>
      <c r="FN84" s="131"/>
      <c r="FO84" s="131"/>
      <c r="FP84" s="131"/>
      <c r="FQ84" s="131"/>
      <c r="FR84" s="131"/>
      <c r="FS84" s="131"/>
      <c r="FT84" s="131"/>
      <c r="FU84" s="131"/>
      <c r="FV84" s="131"/>
      <c r="FW84" s="131"/>
      <c r="FX84" s="131"/>
      <c r="FY84" s="131"/>
      <c r="FZ84" s="131"/>
      <c r="GA84" s="131"/>
      <c r="GB84" s="131"/>
      <c r="GC84" s="131"/>
      <c r="GD84" s="131"/>
      <c r="GE84" s="131"/>
      <c r="GF84" s="131"/>
      <c r="GG84" s="131"/>
      <c r="GH84" s="131"/>
      <c r="GI84" s="131"/>
      <c r="GJ84" s="131"/>
      <c r="GK84" s="131"/>
      <c r="GL84" s="131"/>
      <c r="GM84" s="131"/>
      <c r="GN84" s="131"/>
      <c r="GO84" s="131"/>
      <c r="GP84" s="131"/>
      <c r="GQ84" s="131"/>
      <c r="GR84" s="131"/>
      <c r="GS84" s="131"/>
      <c r="GT84" s="131"/>
      <c r="GU84" s="131"/>
      <c r="GV84" s="131"/>
      <c r="GW84" s="131"/>
      <c r="GX84" s="131"/>
      <c r="GY84" s="131"/>
      <c r="GZ84" s="131"/>
      <c r="HA84" s="131"/>
      <c r="HB84" s="131"/>
      <c r="HC84" s="131"/>
      <c r="HD84" s="131"/>
      <c r="HE84" s="131"/>
      <c r="HF84" s="131"/>
      <c r="HG84" s="131"/>
      <c r="HH84" s="131"/>
      <c r="HI84" s="131"/>
      <c r="HJ84" s="131"/>
    </row>
    <row r="85" spans="2:218" x14ac:dyDescent="0.35">
      <c r="C85" s="23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31"/>
      <c r="BJ85" s="131"/>
      <c r="BK85" s="131"/>
      <c r="BL85" s="131"/>
      <c r="BM85" s="131"/>
      <c r="BN85" s="131"/>
      <c r="BO85" s="131"/>
      <c r="BP85" s="131"/>
      <c r="BQ85" s="131"/>
      <c r="BR85" s="131"/>
      <c r="BS85" s="131"/>
      <c r="BT85" s="131"/>
      <c r="BU85" s="131"/>
      <c r="BV85" s="131"/>
      <c r="BW85" s="131"/>
      <c r="BX85" s="131"/>
      <c r="BY85" s="131"/>
      <c r="BZ85" s="131"/>
      <c r="CA85" s="131"/>
      <c r="CB85" s="131"/>
      <c r="CC85" s="131"/>
      <c r="CD85" s="131"/>
      <c r="CE85" s="131"/>
      <c r="CF85" s="131"/>
      <c r="CG85" s="131"/>
      <c r="CH85" s="131"/>
      <c r="CI85" s="131"/>
      <c r="CJ85" s="131"/>
      <c r="CK85" s="131"/>
      <c r="CL85" s="131"/>
      <c r="CM85" s="131"/>
      <c r="CN85" s="131"/>
      <c r="CO85" s="131"/>
      <c r="CP85" s="131"/>
      <c r="CQ85" s="131"/>
      <c r="CR85" s="131"/>
      <c r="CS85" s="131"/>
      <c r="CT85" s="131"/>
      <c r="CU85" s="131"/>
      <c r="CV85" s="131"/>
      <c r="CW85" s="131"/>
      <c r="CX85" s="131"/>
      <c r="CY85" s="131"/>
      <c r="CZ85" s="131"/>
      <c r="DA85" s="131"/>
      <c r="DB85" s="131"/>
      <c r="DC85" s="131"/>
      <c r="DD85" s="131"/>
      <c r="DE85" s="131"/>
      <c r="DF85" s="131"/>
      <c r="DG85" s="131"/>
      <c r="DH85" s="131"/>
      <c r="DI85" s="131"/>
      <c r="DJ85" s="131"/>
      <c r="DK85" s="131"/>
      <c r="DL85" s="131"/>
      <c r="DM85" s="131"/>
      <c r="DN85" s="131"/>
      <c r="DO85" s="131"/>
      <c r="DP85" s="131"/>
      <c r="DQ85" s="131"/>
      <c r="DR85" s="131"/>
      <c r="DS85" s="131"/>
      <c r="DT85" s="131"/>
      <c r="DU85" s="131"/>
      <c r="DV85" s="131"/>
      <c r="DW85" s="131"/>
      <c r="DX85" s="131"/>
      <c r="DY85" s="131"/>
      <c r="DZ85" s="131"/>
      <c r="EA85" s="131"/>
      <c r="EB85" s="131"/>
      <c r="EC85" s="131"/>
      <c r="ED85" s="131"/>
      <c r="EE85" s="131"/>
      <c r="EF85" s="131"/>
      <c r="EG85" s="131"/>
      <c r="EH85" s="131"/>
      <c r="EI85" s="131"/>
      <c r="EJ85" s="131"/>
      <c r="EK85" s="131"/>
      <c r="EL85" s="131"/>
      <c r="EM85" s="131"/>
      <c r="EN85" s="131"/>
      <c r="EO85" s="131"/>
      <c r="EP85" s="131"/>
      <c r="EQ85" s="131"/>
      <c r="ER85" s="131"/>
      <c r="ES85" s="131"/>
      <c r="ET85" s="131"/>
      <c r="EU85" s="131"/>
      <c r="EV85" s="131"/>
      <c r="EW85" s="131"/>
      <c r="EX85" s="131"/>
      <c r="EY85" s="131"/>
      <c r="EZ85" s="131"/>
      <c r="FA85" s="131"/>
      <c r="FB85" s="131"/>
      <c r="FC85" s="131"/>
      <c r="FD85" s="131"/>
      <c r="FE85" s="131"/>
      <c r="FF85" s="131"/>
      <c r="FG85" s="131"/>
      <c r="FH85" s="131"/>
      <c r="FI85" s="131"/>
      <c r="FJ85" s="131"/>
      <c r="FK85" s="131"/>
      <c r="FL85" s="131"/>
      <c r="FM85" s="131"/>
      <c r="FN85" s="131"/>
      <c r="FO85" s="131"/>
      <c r="FP85" s="131"/>
      <c r="FQ85" s="131"/>
      <c r="FR85" s="131"/>
      <c r="FS85" s="131"/>
      <c r="FT85" s="131"/>
      <c r="FU85" s="131"/>
      <c r="FV85" s="131"/>
      <c r="FW85" s="131"/>
      <c r="FX85" s="131"/>
      <c r="FY85" s="131"/>
      <c r="FZ85" s="131"/>
      <c r="GA85" s="131"/>
      <c r="GB85" s="131"/>
      <c r="GC85" s="131"/>
      <c r="GD85" s="131"/>
      <c r="GE85" s="131"/>
      <c r="GF85" s="131"/>
      <c r="GG85" s="131"/>
      <c r="GH85" s="131"/>
      <c r="GI85" s="131"/>
      <c r="GJ85" s="131"/>
      <c r="GK85" s="131"/>
      <c r="GL85" s="131"/>
      <c r="GM85" s="131"/>
      <c r="GN85" s="131"/>
      <c r="GO85" s="131"/>
      <c r="GP85" s="131"/>
      <c r="GQ85" s="131"/>
      <c r="GR85" s="131"/>
      <c r="GS85" s="131"/>
      <c r="GT85" s="131"/>
      <c r="GU85" s="131"/>
      <c r="GV85" s="131"/>
      <c r="GW85" s="131"/>
      <c r="GX85" s="131"/>
      <c r="GY85" s="131"/>
      <c r="GZ85" s="131"/>
      <c r="HA85" s="131"/>
      <c r="HB85" s="131"/>
      <c r="HC85" s="131"/>
      <c r="HD85" s="131"/>
      <c r="HE85" s="131"/>
      <c r="HF85" s="131"/>
      <c r="HG85" s="131"/>
      <c r="HH85" s="131"/>
      <c r="HI85" s="131"/>
      <c r="HJ85" s="131"/>
    </row>
    <row r="86" spans="2:218" x14ac:dyDescent="0.35">
      <c r="C86" s="23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  <c r="BB86" s="131"/>
      <c r="BC86" s="131"/>
      <c r="BD86" s="131"/>
      <c r="BE86" s="131"/>
      <c r="BF86" s="131"/>
      <c r="BG86" s="131"/>
      <c r="BH86" s="131"/>
      <c r="BI86" s="131"/>
      <c r="BJ86" s="131"/>
      <c r="BK86" s="131"/>
      <c r="BL86" s="131"/>
      <c r="BM86" s="131"/>
      <c r="BN86" s="131"/>
      <c r="BO86" s="131"/>
      <c r="BP86" s="131"/>
      <c r="BQ86" s="131"/>
      <c r="BR86" s="131"/>
      <c r="BS86" s="131"/>
      <c r="BT86" s="131"/>
      <c r="BU86" s="131"/>
      <c r="BV86" s="131"/>
      <c r="BW86" s="131"/>
      <c r="BX86" s="131"/>
      <c r="BY86" s="131"/>
      <c r="BZ86" s="131"/>
      <c r="CA86" s="131"/>
      <c r="CB86" s="131"/>
      <c r="CC86" s="131"/>
      <c r="CD86" s="131"/>
      <c r="CE86" s="131"/>
      <c r="CF86" s="131"/>
      <c r="CG86" s="131"/>
      <c r="CH86" s="131"/>
      <c r="CI86" s="131"/>
      <c r="CJ86" s="131"/>
      <c r="CK86" s="131"/>
      <c r="CL86" s="131"/>
      <c r="CM86" s="131"/>
      <c r="CN86" s="131"/>
      <c r="CO86" s="131"/>
      <c r="CP86" s="131"/>
      <c r="CQ86" s="131"/>
      <c r="CR86" s="131"/>
      <c r="CS86" s="131"/>
      <c r="CT86" s="131"/>
      <c r="CU86" s="131"/>
      <c r="CV86" s="131"/>
      <c r="CW86" s="131"/>
      <c r="CX86" s="131"/>
      <c r="CY86" s="131"/>
      <c r="CZ86" s="131"/>
      <c r="DA86" s="131"/>
      <c r="DB86" s="131"/>
      <c r="DC86" s="131"/>
      <c r="DD86" s="131"/>
      <c r="DE86" s="131"/>
      <c r="DF86" s="131"/>
      <c r="DG86" s="131"/>
      <c r="DH86" s="131"/>
      <c r="DI86" s="131"/>
      <c r="DJ86" s="131"/>
      <c r="DK86" s="131"/>
      <c r="DL86" s="131"/>
      <c r="DM86" s="131"/>
      <c r="DN86" s="131"/>
      <c r="DO86" s="131"/>
      <c r="DP86" s="131"/>
      <c r="DQ86" s="131"/>
      <c r="DR86" s="131"/>
      <c r="DS86" s="131"/>
      <c r="DT86" s="131"/>
      <c r="DU86" s="131"/>
      <c r="DV86" s="131"/>
      <c r="DW86" s="131"/>
      <c r="DX86" s="131"/>
      <c r="DY86" s="131"/>
      <c r="DZ86" s="131"/>
      <c r="EA86" s="131"/>
      <c r="EB86" s="131"/>
      <c r="EC86" s="131"/>
      <c r="ED86" s="131"/>
      <c r="EE86" s="131"/>
      <c r="EF86" s="131"/>
      <c r="EG86" s="131"/>
      <c r="EH86" s="131"/>
      <c r="EI86" s="131"/>
      <c r="EJ86" s="131"/>
      <c r="EK86" s="131"/>
      <c r="EL86" s="131"/>
      <c r="EM86" s="131"/>
      <c r="EN86" s="131"/>
      <c r="EO86" s="131"/>
      <c r="EP86" s="131"/>
      <c r="EQ86" s="131"/>
      <c r="ER86" s="131"/>
      <c r="ES86" s="131"/>
      <c r="ET86" s="131"/>
      <c r="EU86" s="131"/>
      <c r="EV86" s="131"/>
      <c r="EW86" s="131"/>
      <c r="EX86" s="131"/>
      <c r="EY86" s="131"/>
      <c r="EZ86" s="131"/>
      <c r="FA86" s="131"/>
      <c r="FB86" s="131"/>
      <c r="FC86" s="131"/>
      <c r="FD86" s="131"/>
      <c r="FE86" s="131"/>
      <c r="FF86" s="131"/>
      <c r="FG86" s="131"/>
      <c r="FH86" s="131"/>
      <c r="FI86" s="131"/>
      <c r="FJ86" s="131"/>
      <c r="FK86" s="131"/>
      <c r="FL86" s="131"/>
      <c r="FM86" s="131"/>
      <c r="FN86" s="131"/>
      <c r="FO86" s="131"/>
      <c r="FP86" s="131"/>
      <c r="FQ86" s="131"/>
      <c r="FR86" s="131"/>
      <c r="FS86" s="131"/>
      <c r="FT86" s="131"/>
      <c r="FU86" s="131"/>
      <c r="FV86" s="131"/>
      <c r="FW86" s="131"/>
      <c r="FX86" s="131"/>
      <c r="FY86" s="131"/>
      <c r="FZ86" s="131"/>
      <c r="GA86" s="131"/>
      <c r="GB86" s="131"/>
      <c r="GC86" s="131"/>
      <c r="GD86" s="131"/>
      <c r="GE86" s="131"/>
      <c r="GF86" s="131"/>
      <c r="GG86" s="131"/>
      <c r="GH86" s="131"/>
      <c r="GI86" s="131"/>
      <c r="GJ86" s="131"/>
      <c r="GK86" s="131"/>
      <c r="GL86" s="131"/>
      <c r="GM86" s="131"/>
      <c r="GN86" s="131"/>
      <c r="GO86" s="131"/>
      <c r="GP86" s="131"/>
      <c r="GQ86" s="131"/>
      <c r="GR86" s="131"/>
      <c r="GS86" s="131"/>
      <c r="GT86" s="131"/>
      <c r="GU86" s="131"/>
      <c r="GV86" s="131"/>
      <c r="GW86" s="131"/>
      <c r="GX86" s="131"/>
      <c r="GY86" s="131"/>
      <c r="GZ86" s="131"/>
      <c r="HA86" s="131"/>
      <c r="HB86" s="131"/>
      <c r="HC86" s="131"/>
      <c r="HD86" s="131"/>
      <c r="HE86" s="131"/>
      <c r="HF86" s="131"/>
      <c r="HG86" s="131"/>
      <c r="HH86" s="131"/>
      <c r="HI86" s="131"/>
      <c r="HJ86" s="131"/>
    </row>
    <row r="87" spans="2:218" x14ac:dyDescent="0.35">
      <c r="C87" s="23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  <c r="BB87" s="131"/>
      <c r="BC87" s="131"/>
      <c r="BD87" s="131"/>
      <c r="BE87" s="131"/>
      <c r="BF87" s="131"/>
      <c r="BG87" s="131"/>
      <c r="BH87" s="131"/>
      <c r="BI87" s="131"/>
      <c r="BJ87" s="131"/>
      <c r="BK87" s="131"/>
      <c r="BL87" s="131"/>
      <c r="BM87" s="131"/>
      <c r="BN87" s="131"/>
      <c r="BO87" s="131"/>
      <c r="BP87" s="131"/>
      <c r="BQ87" s="131"/>
      <c r="BR87" s="131"/>
      <c r="BS87" s="131"/>
      <c r="BT87" s="131"/>
      <c r="BU87" s="131"/>
      <c r="BV87" s="131"/>
      <c r="BW87" s="131"/>
      <c r="BX87" s="131"/>
      <c r="BY87" s="131"/>
      <c r="BZ87" s="131"/>
      <c r="CA87" s="131"/>
      <c r="CB87" s="131"/>
      <c r="CC87" s="131"/>
      <c r="CD87" s="131"/>
      <c r="CE87" s="131"/>
      <c r="CF87" s="131"/>
      <c r="CG87" s="131"/>
      <c r="CH87" s="131"/>
      <c r="CI87" s="131"/>
      <c r="CJ87" s="131"/>
      <c r="CK87" s="131"/>
      <c r="CL87" s="131"/>
      <c r="CM87" s="131"/>
      <c r="CN87" s="131"/>
      <c r="CO87" s="131"/>
      <c r="CP87" s="131"/>
      <c r="CQ87" s="131"/>
      <c r="CR87" s="131"/>
      <c r="CS87" s="131"/>
      <c r="CT87" s="131"/>
      <c r="CU87" s="131"/>
      <c r="CV87" s="131"/>
      <c r="CW87" s="131"/>
      <c r="CX87" s="131"/>
      <c r="CY87" s="131"/>
      <c r="CZ87" s="131"/>
      <c r="DA87" s="131"/>
      <c r="DB87" s="131"/>
      <c r="DC87" s="131"/>
      <c r="DD87" s="131"/>
      <c r="DE87" s="131"/>
      <c r="DF87" s="131"/>
      <c r="DG87" s="131"/>
      <c r="DH87" s="131"/>
      <c r="DI87" s="131"/>
      <c r="DJ87" s="131"/>
      <c r="DK87" s="131"/>
      <c r="DL87" s="131"/>
      <c r="DM87" s="131"/>
      <c r="DN87" s="131"/>
      <c r="DO87" s="131"/>
      <c r="DP87" s="131"/>
      <c r="DQ87" s="131"/>
      <c r="DR87" s="131"/>
      <c r="DS87" s="131"/>
      <c r="DT87" s="131"/>
      <c r="DU87" s="131"/>
      <c r="DV87" s="131"/>
      <c r="DW87" s="131"/>
      <c r="DX87" s="131"/>
      <c r="DY87" s="131"/>
      <c r="DZ87" s="131"/>
      <c r="EA87" s="131"/>
      <c r="EB87" s="131"/>
      <c r="EC87" s="131"/>
      <c r="ED87" s="131"/>
      <c r="EE87" s="131"/>
      <c r="EF87" s="131"/>
      <c r="EG87" s="131"/>
      <c r="EH87" s="131"/>
      <c r="EI87" s="131"/>
      <c r="EJ87" s="131"/>
      <c r="EK87" s="131"/>
      <c r="EL87" s="131"/>
      <c r="EM87" s="131"/>
      <c r="EN87" s="131"/>
      <c r="EO87" s="131"/>
      <c r="EP87" s="131"/>
      <c r="EQ87" s="131"/>
      <c r="ER87" s="131"/>
      <c r="ES87" s="131"/>
      <c r="ET87" s="131"/>
      <c r="EU87" s="131"/>
      <c r="EV87" s="131"/>
      <c r="EW87" s="131"/>
      <c r="EX87" s="131"/>
      <c r="EY87" s="131"/>
      <c r="EZ87" s="131"/>
      <c r="FA87" s="131"/>
      <c r="FB87" s="131"/>
      <c r="FC87" s="131"/>
      <c r="FD87" s="131"/>
      <c r="FE87" s="131"/>
      <c r="FF87" s="131"/>
      <c r="FG87" s="131"/>
      <c r="FH87" s="131"/>
      <c r="FI87" s="131"/>
      <c r="FJ87" s="131"/>
      <c r="FK87" s="131"/>
      <c r="FL87" s="131"/>
      <c r="FM87" s="131"/>
      <c r="FN87" s="131"/>
      <c r="FO87" s="131"/>
      <c r="FP87" s="131"/>
      <c r="FQ87" s="131"/>
      <c r="FR87" s="131"/>
      <c r="FS87" s="131"/>
      <c r="FT87" s="131"/>
      <c r="FU87" s="131"/>
      <c r="FV87" s="131"/>
      <c r="FW87" s="131"/>
      <c r="FX87" s="131"/>
      <c r="FY87" s="131"/>
      <c r="FZ87" s="131"/>
      <c r="GA87" s="131"/>
      <c r="GB87" s="131"/>
      <c r="GC87" s="131"/>
      <c r="GD87" s="131"/>
      <c r="GE87" s="131"/>
      <c r="GF87" s="131"/>
      <c r="GG87" s="131"/>
      <c r="GH87" s="131"/>
      <c r="GI87" s="131"/>
      <c r="GJ87" s="131"/>
      <c r="GK87" s="131"/>
      <c r="GL87" s="131"/>
      <c r="GM87" s="131"/>
      <c r="GN87" s="131"/>
      <c r="GO87" s="131"/>
      <c r="GP87" s="131"/>
      <c r="GQ87" s="131"/>
      <c r="GR87" s="131"/>
      <c r="GS87" s="131"/>
      <c r="GT87" s="131"/>
      <c r="GU87" s="131"/>
      <c r="GV87" s="131"/>
      <c r="GW87" s="131"/>
      <c r="GX87" s="131"/>
      <c r="GY87" s="131"/>
      <c r="GZ87" s="131"/>
      <c r="HA87" s="131"/>
      <c r="HB87" s="131"/>
      <c r="HC87" s="131"/>
      <c r="HD87" s="131"/>
      <c r="HE87" s="131"/>
      <c r="HF87" s="131"/>
      <c r="HG87" s="131"/>
      <c r="HH87" s="131"/>
      <c r="HI87" s="131"/>
      <c r="HJ87" s="131"/>
    </row>
    <row r="88" spans="2:218" x14ac:dyDescent="0.35">
      <c r="C88" s="23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  <c r="BA88" s="131"/>
      <c r="BB88" s="131"/>
      <c r="BC88" s="131"/>
      <c r="BD88" s="131"/>
      <c r="BE88" s="131"/>
      <c r="BF88" s="131"/>
      <c r="BG88" s="131"/>
      <c r="BH88" s="131"/>
      <c r="BI88" s="131"/>
      <c r="BJ88" s="131"/>
      <c r="BK88" s="131"/>
      <c r="BL88" s="131"/>
      <c r="BM88" s="131"/>
      <c r="BN88" s="131"/>
      <c r="BO88" s="131"/>
      <c r="BP88" s="131"/>
      <c r="BQ88" s="131"/>
      <c r="BR88" s="131"/>
      <c r="BS88" s="131"/>
      <c r="BT88" s="131"/>
      <c r="BU88" s="131"/>
      <c r="BV88" s="131"/>
      <c r="BW88" s="131"/>
      <c r="BX88" s="131"/>
      <c r="BY88" s="131"/>
      <c r="BZ88" s="131"/>
      <c r="CA88" s="131"/>
      <c r="CB88" s="131"/>
      <c r="CC88" s="131"/>
      <c r="CD88" s="131"/>
      <c r="CE88" s="131"/>
      <c r="CF88" s="131"/>
      <c r="CG88" s="131"/>
      <c r="CH88" s="131"/>
      <c r="CI88" s="131"/>
      <c r="CJ88" s="131"/>
      <c r="CK88" s="131"/>
      <c r="CL88" s="131"/>
      <c r="CM88" s="131"/>
      <c r="CN88" s="131"/>
      <c r="CO88" s="131"/>
      <c r="CP88" s="131"/>
      <c r="CQ88" s="131"/>
      <c r="CR88" s="131"/>
      <c r="CS88" s="131"/>
      <c r="CT88" s="131"/>
      <c r="CU88" s="131"/>
      <c r="CV88" s="131"/>
      <c r="CW88" s="131"/>
      <c r="CX88" s="131"/>
      <c r="CY88" s="131"/>
      <c r="CZ88" s="131"/>
      <c r="DA88" s="131"/>
      <c r="DB88" s="131"/>
      <c r="DC88" s="131"/>
      <c r="DD88" s="131"/>
      <c r="DE88" s="131"/>
      <c r="DF88" s="131"/>
      <c r="DG88" s="131"/>
      <c r="DH88" s="131"/>
      <c r="DI88" s="131"/>
      <c r="DJ88" s="131"/>
      <c r="DK88" s="131"/>
      <c r="DL88" s="131"/>
      <c r="DM88" s="131"/>
      <c r="DN88" s="131"/>
      <c r="DO88" s="131"/>
      <c r="DP88" s="131"/>
      <c r="DQ88" s="131"/>
      <c r="DR88" s="131"/>
      <c r="DS88" s="131"/>
      <c r="DT88" s="131"/>
      <c r="DU88" s="131"/>
      <c r="DV88" s="131"/>
      <c r="DW88" s="131"/>
      <c r="DX88" s="131"/>
      <c r="DY88" s="131"/>
      <c r="DZ88" s="131"/>
      <c r="EA88" s="131"/>
      <c r="EB88" s="131"/>
      <c r="EC88" s="131"/>
      <c r="ED88" s="131"/>
      <c r="EE88" s="131"/>
      <c r="EF88" s="131"/>
      <c r="EG88" s="131"/>
      <c r="EH88" s="131"/>
      <c r="EI88" s="131"/>
      <c r="EJ88" s="131"/>
      <c r="EK88" s="131"/>
      <c r="EL88" s="131"/>
      <c r="EM88" s="131"/>
      <c r="EN88" s="131"/>
      <c r="EO88" s="131"/>
      <c r="EP88" s="131"/>
      <c r="EQ88" s="131"/>
      <c r="ER88" s="131"/>
      <c r="ES88" s="131"/>
      <c r="ET88" s="131"/>
      <c r="EU88" s="131"/>
      <c r="EV88" s="131"/>
      <c r="EW88" s="131"/>
      <c r="EX88" s="131"/>
      <c r="EY88" s="131"/>
      <c r="EZ88" s="131"/>
      <c r="FA88" s="131"/>
      <c r="FB88" s="131"/>
      <c r="FC88" s="131"/>
      <c r="FD88" s="131"/>
      <c r="FE88" s="131"/>
      <c r="FF88" s="131"/>
      <c r="FG88" s="131"/>
      <c r="FH88" s="131"/>
      <c r="FI88" s="131"/>
      <c r="FJ88" s="131"/>
      <c r="FK88" s="131"/>
      <c r="FL88" s="131"/>
      <c r="FM88" s="131"/>
      <c r="FN88" s="131"/>
      <c r="FO88" s="131"/>
      <c r="FP88" s="131"/>
      <c r="FQ88" s="131"/>
      <c r="FR88" s="131"/>
      <c r="FS88" s="131"/>
      <c r="FT88" s="131"/>
      <c r="FU88" s="131"/>
      <c r="FV88" s="131"/>
      <c r="FW88" s="131"/>
      <c r="FX88" s="131"/>
      <c r="FY88" s="131"/>
      <c r="FZ88" s="131"/>
      <c r="GA88" s="131"/>
      <c r="GB88" s="131"/>
      <c r="GC88" s="131"/>
      <c r="GD88" s="131"/>
      <c r="GE88" s="131"/>
      <c r="GF88" s="131"/>
      <c r="GG88" s="131"/>
      <c r="GH88" s="131"/>
      <c r="GI88" s="131"/>
      <c r="GJ88" s="131"/>
      <c r="GK88" s="131"/>
      <c r="GL88" s="131"/>
      <c r="GM88" s="131"/>
      <c r="GN88" s="131"/>
      <c r="GO88" s="131"/>
      <c r="GP88" s="131"/>
      <c r="GQ88" s="131"/>
      <c r="GR88" s="131"/>
      <c r="GS88" s="131"/>
      <c r="GT88" s="131"/>
      <c r="GU88" s="131"/>
      <c r="GV88" s="131"/>
      <c r="GW88" s="131"/>
      <c r="GX88" s="131"/>
      <c r="GY88" s="131"/>
      <c r="GZ88" s="131"/>
      <c r="HA88" s="131"/>
      <c r="HB88" s="131"/>
      <c r="HC88" s="131"/>
      <c r="HD88" s="131"/>
      <c r="HE88" s="131"/>
      <c r="HF88" s="131"/>
      <c r="HG88" s="131"/>
      <c r="HH88" s="131"/>
      <c r="HI88" s="131"/>
      <c r="HJ88" s="131"/>
    </row>
    <row r="89" spans="2:218" x14ac:dyDescent="0.35">
      <c r="B89" s="5" t="s">
        <v>202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1" spans="2:218" ht="13.3" thickBot="1" x14ac:dyDescent="0.4">
      <c r="B91" s="4" t="s">
        <v>162</v>
      </c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  <c r="BB91" s="131"/>
      <c r="BC91" s="131"/>
      <c r="BD91" s="131"/>
      <c r="BE91" s="131"/>
      <c r="BF91" s="131"/>
      <c r="BG91" s="131"/>
      <c r="BH91" s="131"/>
      <c r="BI91" s="131"/>
      <c r="BJ91" s="131"/>
      <c r="BK91" s="131"/>
      <c r="BL91" s="131"/>
      <c r="BM91" s="131"/>
      <c r="BN91" s="131"/>
      <c r="BO91" s="131"/>
      <c r="BP91" s="131"/>
      <c r="BQ91" s="131"/>
      <c r="BR91" s="131"/>
      <c r="BS91" s="131"/>
      <c r="BT91" s="131"/>
      <c r="BU91" s="131"/>
      <c r="BV91" s="131"/>
      <c r="BW91" s="131"/>
      <c r="BX91" s="131"/>
      <c r="BY91" s="131"/>
      <c r="BZ91" s="131"/>
      <c r="CA91" s="131"/>
      <c r="CB91" s="131"/>
      <c r="CC91" s="131"/>
      <c r="CD91" s="131"/>
      <c r="CE91" s="131"/>
      <c r="CF91" s="131"/>
      <c r="CG91" s="131"/>
      <c r="CH91" s="131"/>
      <c r="CI91" s="131"/>
      <c r="CJ91" s="131"/>
      <c r="CK91" s="131"/>
      <c r="CL91" s="131"/>
      <c r="CM91" s="131"/>
      <c r="CN91" s="131"/>
      <c r="CO91" s="131"/>
      <c r="CP91" s="131"/>
      <c r="CQ91" s="131"/>
      <c r="CR91" s="131"/>
      <c r="CS91" s="131"/>
      <c r="CT91" s="131"/>
      <c r="CU91" s="131"/>
      <c r="CV91" s="131"/>
      <c r="CW91" s="131"/>
      <c r="CX91" s="131"/>
      <c r="CY91" s="131"/>
      <c r="CZ91" s="131"/>
      <c r="DA91" s="131"/>
      <c r="DB91" s="131"/>
      <c r="DC91" s="131"/>
      <c r="DD91" s="131"/>
      <c r="DE91" s="131"/>
      <c r="DF91" s="131"/>
      <c r="DG91" s="131"/>
      <c r="DH91" s="131"/>
      <c r="DI91" s="131"/>
      <c r="DJ91" s="131"/>
      <c r="DK91" s="131"/>
      <c r="DL91" s="131"/>
      <c r="DM91" s="131"/>
      <c r="DN91" s="131"/>
      <c r="DO91" s="131"/>
      <c r="DP91" s="131"/>
      <c r="DQ91" s="131"/>
      <c r="DR91" s="131"/>
      <c r="DS91" s="131"/>
      <c r="DT91" s="131"/>
      <c r="DU91" s="131"/>
      <c r="DV91" s="131"/>
      <c r="DW91" s="131"/>
      <c r="DX91" s="131"/>
      <c r="DY91" s="131"/>
      <c r="DZ91" s="131"/>
      <c r="EA91" s="131"/>
      <c r="EB91" s="131"/>
      <c r="EC91" s="131"/>
      <c r="ED91" s="131"/>
      <c r="EE91" s="131"/>
      <c r="EF91" s="131"/>
      <c r="EG91" s="131"/>
      <c r="EH91" s="131"/>
      <c r="EI91" s="131"/>
      <c r="EJ91" s="131"/>
      <c r="EK91" s="131"/>
      <c r="EL91" s="131"/>
      <c r="EM91" s="131"/>
      <c r="EN91" s="131"/>
      <c r="EO91" s="131"/>
      <c r="EP91" s="131"/>
      <c r="EQ91" s="131"/>
      <c r="ER91" s="131"/>
      <c r="ES91" s="131"/>
      <c r="ET91" s="131"/>
      <c r="EU91" s="131"/>
      <c r="EV91" s="131"/>
      <c r="EW91" s="131"/>
      <c r="EX91" s="131"/>
      <c r="EY91" s="131"/>
      <c r="EZ91" s="131"/>
      <c r="FA91" s="131"/>
      <c r="FB91" s="131"/>
      <c r="FC91" s="131"/>
      <c r="FD91" s="131"/>
      <c r="FE91" s="131"/>
      <c r="FF91" s="131"/>
      <c r="FG91" s="131"/>
      <c r="FH91" s="131"/>
      <c r="FI91" s="131"/>
      <c r="FJ91" s="131"/>
      <c r="FK91" s="131"/>
      <c r="FL91" s="131"/>
      <c r="FM91" s="131"/>
      <c r="FN91" s="131"/>
      <c r="FO91" s="131"/>
      <c r="FP91" s="131"/>
      <c r="FQ91" s="131"/>
      <c r="FR91" s="131"/>
      <c r="FS91" s="131"/>
      <c r="FT91" s="131"/>
      <c r="FU91" s="131"/>
      <c r="FV91" s="131"/>
      <c r="FW91" s="131"/>
      <c r="FX91" s="131"/>
      <c r="FY91" s="131"/>
      <c r="FZ91" s="131"/>
      <c r="GA91" s="131"/>
      <c r="GB91" s="131"/>
      <c r="GC91" s="131"/>
      <c r="GD91" s="131"/>
      <c r="GE91" s="131"/>
      <c r="GF91" s="131"/>
      <c r="GG91" s="131"/>
      <c r="GH91" s="131"/>
      <c r="GI91" s="131"/>
      <c r="GJ91" s="131"/>
      <c r="GK91" s="131"/>
      <c r="GL91" s="131"/>
      <c r="GM91" s="131"/>
      <c r="GN91" s="131"/>
      <c r="GO91" s="131"/>
      <c r="GP91" s="131"/>
      <c r="GQ91" s="131"/>
      <c r="GR91" s="131"/>
      <c r="GS91" s="131"/>
      <c r="GT91" s="131"/>
      <c r="GU91" s="131"/>
      <c r="GV91" s="131"/>
      <c r="GW91" s="131"/>
      <c r="GX91" s="131"/>
      <c r="GY91" s="131"/>
      <c r="GZ91" s="131"/>
      <c r="HA91" s="131"/>
      <c r="HB91" s="131"/>
      <c r="HC91" s="131"/>
      <c r="HD91" s="131"/>
      <c r="HE91" s="131"/>
      <c r="HF91" s="131"/>
      <c r="HG91" s="131"/>
      <c r="HH91" s="131"/>
      <c r="HI91" s="131"/>
      <c r="HJ91" s="131"/>
    </row>
    <row r="92" spans="2:218" x14ac:dyDescent="0.35">
      <c r="B92" s="112" t="s">
        <v>109</v>
      </c>
      <c r="C92" s="113">
        <v>40209</v>
      </c>
      <c r="D92" s="113">
        <v>40237</v>
      </c>
      <c r="E92" s="113">
        <v>40268</v>
      </c>
      <c r="F92" s="113">
        <v>40298</v>
      </c>
      <c r="G92" s="113">
        <v>40329</v>
      </c>
      <c r="H92" s="113">
        <v>40359</v>
      </c>
      <c r="I92" s="113">
        <v>40390</v>
      </c>
      <c r="J92" s="113">
        <v>40421</v>
      </c>
      <c r="K92" s="113">
        <v>40451</v>
      </c>
      <c r="L92" s="113">
        <v>40482</v>
      </c>
      <c r="M92" s="113">
        <v>40512</v>
      </c>
      <c r="N92" s="113">
        <v>40543</v>
      </c>
      <c r="O92" s="113">
        <v>40574</v>
      </c>
      <c r="P92" s="113">
        <v>40602</v>
      </c>
      <c r="Q92" s="113">
        <v>40633</v>
      </c>
      <c r="R92" s="113">
        <v>40663</v>
      </c>
      <c r="S92" s="113">
        <v>40694</v>
      </c>
      <c r="T92" s="113">
        <v>40724</v>
      </c>
      <c r="U92" s="113">
        <v>40755</v>
      </c>
      <c r="V92" s="113">
        <v>40786</v>
      </c>
      <c r="W92" s="113">
        <v>40816</v>
      </c>
      <c r="X92" s="113">
        <v>40847</v>
      </c>
      <c r="Y92" s="113">
        <v>40877</v>
      </c>
      <c r="Z92" s="113">
        <v>40908</v>
      </c>
      <c r="AA92" s="113">
        <v>40939</v>
      </c>
      <c r="AB92" s="113">
        <v>40968</v>
      </c>
      <c r="AC92" s="113">
        <v>40999</v>
      </c>
      <c r="AD92" s="113">
        <v>41029</v>
      </c>
      <c r="AE92" s="113">
        <v>41060</v>
      </c>
      <c r="AF92" s="113">
        <v>41090</v>
      </c>
      <c r="AG92" s="113">
        <v>41121</v>
      </c>
      <c r="AH92" s="113">
        <v>41152</v>
      </c>
      <c r="AI92" s="113">
        <v>41182</v>
      </c>
      <c r="AJ92" s="113">
        <v>41213</v>
      </c>
      <c r="AK92" s="113">
        <v>41243</v>
      </c>
      <c r="AL92" s="113">
        <v>41274</v>
      </c>
      <c r="AM92" s="113">
        <v>41305</v>
      </c>
      <c r="AN92" s="113">
        <v>41333</v>
      </c>
      <c r="AO92" s="113">
        <v>41364</v>
      </c>
      <c r="AP92" s="113">
        <v>41394</v>
      </c>
      <c r="AQ92" s="113">
        <v>41425</v>
      </c>
      <c r="AR92" s="113">
        <v>41455</v>
      </c>
      <c r="AS92" s="113">
        <v>41486</v>
      </c>
      <c r="AT92" s="113">
        <v>41517</v>
      </c>
      <c r="AU92" s="113">
        <v>41547</v>
      </c>
      <c r="AV92" s="113">
        <v>41578</v>
      </c>
      <c r="AW92" s="113">
        <v>41608</v>
      </c>
      <c r="AX92" s="113">
        <v>41639</v>
      </c>
      <c r="AY92" s="113">
        <v>41670</v>
      </c>
      <c r="AZ92" s="113">
        <v>41698</v>
      </c>
      <c r="BA92" s="113">
        <v>41729</v>
      </c>
      <c r="BB92" s="113">
        <v>41759</v>
      </c>
      <c r="BC92" s="113">
        <v>41790</v>
      </c>
      <c r="BD92" s="113">
        <v>41820</v>
      </c>
      <c r="BE92" s="113">
        <v>41851</v>
      </c>
      <c r="BF92" s="113">
        <v>41882</v>
      </c>
      <c r="BG92" s="113">
        <v>41912</v>
      </c>
      <c r="BH92" s="113">
        <v>41943</v>
      </c>
      <c r="BI92" s="113">
        <v>41973</v>
      </c>
      <c r="BJ92" s="113">
        <v>42004</v>
      </c>
      <c r="BK92" s="113">
        <v>42035</v>
      </c>
      <c r="BL92" s="113">
        <v>42063</v>
      </c>
      <c r="BM92" s="113">
        <v>42094</v>
      </c>
      <c r="BN92" s="113">
        <v>42124</v>
      </c>
      <c r="BO92" s="113">
        <v>42155</v>
      </c>
      <c r="BP92" s="113">
        <v>42185</v>
      </c>
      <c r="BQ92" s="113">
        <v>42216</v>
      </c>
      <c r="BR92" s="113">
        <v>42247</v>
      </c>
      <c r="BS92" s="113">
        <v>42277</v>
      </c>
      <c r="BT92" s="113">
        <v>42308</v>
      </c>
      <c r="BU92" s="113">
        <v>42338</v>
      </c>
      <c r="BV92" s="113">
        <v>42369</v>
      </c>
      <c r="BW92" s="113">
        <v>42400</v>
      </c>
      <c r="BX92" s="113">
        <v>42429</v>
      </c>
      <c r="BY92" s="113">
        <v>42460</v>
      </c>
      <c r="BZ92" s="113">
        <v>42490</v>
      </c>
      <c r="CA92" s="113">
        <v>42521</v>
      </c>
      <c r="CB92" s="113">
        <v>42551</v>
      </c>
      <c r="CC92" s="113">
        <v>42582</v>
      </c>
      <c r="CD92" s="113">
        <v>42613</v>
      </c>
      <c r="CE92" s="113">
        <v>42643</v>
      </c>
      <c r="CF92" s="113">
        <v>42674</v>
      </c>
      <c r="CG92" s="113">
        <v>42704</v>
      </c>
      <c r="CH92" s="113">
        <v>42735</v>
      </c>
      <c r="CI92" s="113">
        <v>42766</v>
      </c>
      <c r="CJ92" s="113">
        <v>42794</v>
      </c>
      <c r="CK92" s="113">
        <v>42825</v>
      </c>
      <c r="CL92" s="113">
        <v>42855</v>
      </c>
      <c r="CM92" s="113">
        <v>42886</v>
      </c>
      <c r="CN92" s="113">
        <v>42916</v>
      </c>
      <c r="CO92" s="113">
        <v>42947</v>
      </c>
      <c r="CP92" s="113">
        <v>42978</v>
      </c>
      <c r="CQ92" s="113">
        <v>43008</v>
      </c>
      <c r="CR92" s="113">
        <v>43039</v>
      </c>
      <c r="CS92" s="113">
        <v>43069</v>
      </c>
      <c r="CT92" s="113">
        <v>43100</v>
      </c>
      <c r="CU92" s="113">
        <v>43131</v>
      </c>
      <c r="CV92" s="113">
        <v>43159</v>
      </c>
      <c r="CW92" s="113">
        <v>43190</v>
      </c>
      <c r="CX92" s="113">
        <v>43220</v>
      </c>
      <c r="CY92" s="113">
        <v>43251</v>
      </c>
      <c r="CZ92" s="113">
        <v>43281</v>
      </c>
      <c r="DA92" s="113">
        <v>43312</v>
      </c>
      <c r="DB92" s="113">
        <v>43343</v>
      </c>
      <c r="DC92" s="113">
        <v>43373</v>
      </c>
      <c r="DD92" s="113">
        <v>43404</v>
      </c>
      <c r="DE92" s="113">
        <v>43434</v>
      </c>
      <c r="DF92" s="113">
        <v>43465</v>
      </c>
      <c r="DG92" s="113">
        <v>43496</v>
      </c>
      <c r="DH92" s="113">
        <v>43524</v>
      </c>
      <c r="DI92" s="113">
        <v>43555</v>
      </c>
      <c r="DJ92" s="113">
        <v>43585</v>
      </c>
      <c r="DK92" s="113">
        <v>43616</v>
      </c>
      <c r="DL92" s="113">
        <v>43646</v>
      </c>
      <c r="DM92" s="113">
        <v>43677</v>
      </c>
      <c r="DN92" s="113">
        <v>43708</v>
      </c>
      <c r="DO92" s="113">
        <v>43738</v>
      </c>
      <c r="DP92" s="113">
        <v>43769</v>
      </c>
      <c r="DQ92" s="113">
        <v>43799</v>
      </c>
      <c r="DR92" s="113">
        <v>43830</v>
      </c>
      <c r="DS92" s="113">
        <v>43861</v>
      </c>
      <c r="DT92" s="113">
        <v>43890</v>
      </c>
      <c r="DU92" s="113">
        <v>43921</v>
      </c>
      <c r="DV92" s="113">
        <v>43951</v>
      </c>
      <c r="DW92" s="113">
        <v>43982</v>
      </c>
      <c r="DX92" s="113">
        <v>44012</v>
      </c>
      <c r="DY92" s="113">
        <v>44043</v>
      </c>
      <c r="DZ92" s="113">
        <v>44074</v>
      </c>
      <c r="EA92" s="113">
        <v>44104</v>
      </c>
      <c r="EB92" s="113">
        <v>44135</v>
      </c>
      <c r="EC92" s="113">
        <v>44165</v>
      </c>
      <c r="ED92" s="113">
        <v>44196</v>
      </c>
      <c r="EE92" s="113">
        <v>44227</v>
      </c>
      <c r="EF92" s="113">
        <v>44255</v>
      </c>
      <c r="EG92" s="113">
        <v>44286</v>
      </c>
      <c r="EH92" s="113">
        <v>44316</v>
      </c>
      <c r="EI92" s="113">
        <v>44347</v>
      </c>
      <c r="EJ92" s="113">
        <v>44377</v>
      </c>
      <c r="EK92" s="113">
        <v>44408</v>
      </c>
      <c r="EL92" s="113">
        <v>44439</v>
      </c>
      <c r="EM92" s="113">
        <v>44469</v>
      </c>
      <c r="EN92" s="113">
        <v>44500</v>
      </c>
      <c r="EO92" s="113">
        <v>44530</v>
      </c>
      <c r="EP92" s="113">
        <v>44561</v>
      </c>
      <c r="EQ92" s="113">
        <v>44592</v>
      </c>
      <c r="ER92" s="113">
        <v>44620</v>
      </c>
      <c r="ES92" s="113">
        <v>44651</v>
      </c>
      <c r="ET92" s="113">
        <v>44681</v>
      </c>
      <c r="EU92" s="113">
        <v>44712</v>
      </c>
      <c r="EV92" s="113">
        <v>44742</v>
      </c>
      <c r="EW92" s="113">
        <v>44773</v>
      </c>
      <c r="EX92" s="113">
        <v>44804</v>
      </c>
      <c r="EY92" s="113">
        <v>44834</v>
      </c>
      <c r="EZ92" s="113">
        <v>44865</v>
      </c>
      <c r="FA92" s="113">
        <v>44895</v>
      </c>
      <c r="FB92" s="113">
        <v>44926</v>
      </c>
      <c r="FC92" s="113">
        <v>44957</v>
      </c>
      <c r="FD92" s="113">
        <v>44985</v>
      </c>
      <c r="FE92" s="113">
        <v>45016</v>
      </c>
      <c r="FF92" s="113">
        <v>45046</v>
      </c>
      <c r="FG92" s="113">
        <v>45077</v>
      </c>
      <c r="FH92" s="113">
        <v>45107</v>
      </c>
      <c r="FI92" s="113">
        <v>45138</v>
      </c>
      <c r="FJ92" s="113">
        <v>45169</v>
      </c>
      <c r="FK92" s="113">
        <v>45199</v>
      </c>
      <c r="FL92" s="113">
        <v>45230</v>
      </c>
      <c r="FM92" s="113">
        <v>45260</v>
      </c>
      <c r="FN92" s="113">
        <v>45291</v>
      </c>
      <c r="FO92" s="113">
        <v>45322</v>
      </c>
      <c r="FP92" s="113">
        <v>45351</v>
      </c>
      <c r="FQ92" s="113">
        <v>45382</v>
      </c>
      <c r="FR92" s="113">
        <v>45412</v>
      </c>
      <c r="FS92" s="113">
        <v>45443</v>
      </c>
      <c r="FT92" s="113">
        <v>45473</v>
      </c>
      <c r="FU92" s="113">
        <v>45504</v>
      </c>
      <c r="FV92" s="113">
        <v>45535</v>
      </c>
      <c r="FW92" s="113">
        <v>45565</v>
      </c>
      <c r="FX92" s="113">
        <v>45596</v>
      </c>
      <c r="FY92" s="113">
        <v>45626</v>
      </c>
      <c r="FZ92" s="113">
        <v>45657</v>
      </c>
      <c r="GA92" s="113">
        <v>45688</v>
      </c>
      <c r="GB92" s="113">
        <v>45716</v>
      </c>
      <c r="GC92" s="113">
        <v>45747</v>
      </c>
      <c r="GD92" s="113">
        <v>45777</v>
      </c>
      <c r="GE92" s="113">
        <v>45808</v>
      </c>
      <c r="GF92" s="113">
        <v>45838</v>
      </c>
      <c r="GG92" s="113">
        <v>45869</v>
      </c>
      <c r="GH92" s="113">
        <v>45900</v>
      </c>
      <c r="GI92" s="113">
        <v>45930</v>
      </c>
      <c r="GJ92" s="113">
        <v>45961</v>
      </c>
      <c r="GK92" s="113">
        <v>45991</v>
      </c>
      <c r="GL92" s="113">
        <v>46022</v>
      </c>
      <c r="GM92" s="113">
        <v>46053</v>
      </c>
      <c r="GN92" s="113">
        <v>46081</v>
      </c>
      <c r="GO92" s="113">
        <v>46112</v>
      </c>
      <c r="GP92" s="113">
        <v>46142</v>
      </c>
      <c r="GQ92" s="113">
        <v>46173</v>
      </c>
      <c r="GR92" s="113">
        <v>46203</v>
      </c>
      <c r="GS92" s="113">
        <v>46234</v>
      </c>
      <c r="GT92" s="113">
        <v>46265</v>
      </c>
      <c r="GU92" s="113">
        <v>46295</v>
      </c>
      <c r="GV92" s="113">
        <v>46326</v>
      </c>
      <c r="GW92" s="113">
        <v>46356</v>
      </c>
      <c r="GX92" s="113">
        <v>46387</v>
      </c>
      <c r="GY92" s="113">
        <v>46418</v>
      </c>
      <c r="GZ92" s="113">
        <v>46446</v>
      </c>
      <c r="HA92" s="113">
        <v>46477</v>
      </c>
      <c r="HB92" s="113">
        <v>46507</v>
      </c>
      <c r="HC92" s="113">
        <v>46538</v>
      </c>
      <c r="HD92" s="113">
        <v>46568</v>
      </c>
      <c r="HE92" s="113">
        <v>46599</v>
      </c>
      <c r="HF92" s="113">
        <v>46630</v>
      </c>
      <c r="HG92" s="113">
        <v>46660</v>
      </c>
      <c r="HH92" s="113">
        <v>46691</v>
      </c>
      <c r="HI92" s="113">
        <v>46721</v>
      </c>
      <c r="HJ92" s="113">
        <v>46752</v>
      </c>
    </row>
    <row r="93" spans="2:218" x14ac:dyDescent="0.35">
      <c r="B93" s="107" t="s">
        <v>156</v>
      </c>
      <c r="C93" s="130">
        <f t="shared" ref="C93:BN93" si="408">C59</f>
        <v>3.6321305778191398E-2</v>
      </c>
      <c r="D93" s="130">
        <f t="shared" si="408"/>
        <v>6.149350757163978E-2</v>
      </c>
      <c r="E93" s="130">
        <f t="shared" si="408"/>
        <v>0.11342696620058393</v>
      </c>
      <c r="F93" s="130">
        <f t="shared" si="408"/>
        <v>0.17945305277128543</v>
      </c>
      <c r="G93" s="130">
        <f t="shared" si="408"/>
        <v>0.34736849244579021</v>
      </c>
      <c r="H93" s="130">
        <f t="shared" si="408"/>
        <v>0.46863839463632789</v>
      </c>
      <c r="I93" s="130">
        <f t="shared" si="408"/>
        <v>0.16942861040141649</v>
      </c>
      <c r="J93" s="130">
        <f t="shared" si="408"/>
        <v>0.42561730226757605</v>
      </c>
      <c r="K93" s="130">
        <f t="shared" si="408"/>
        <v>0.69584893793353042</v>
      </c>
      <c r="L93" s="130">
        <f t="shared" si="408"/>
        <v>0.84540351475173847</v>
      </c>
      <c r="M93" s="130">
        <f t="shared" si="408"/>
        <v>1.0212620532947045</v>
      </c>
      <c r="N93" s="130">
        <f t="shared" si="408"/>
        <v>1.5401188637520256</v>
      </c>
      <c r="O93" s="130">
        <f t="shared" si="408"/>
        <v>1.827514300928494</v>
      </c>
      <c r="P93" s="130">
        <f t="shared" si="408"/>
        <v>1.6542003107699967</v>
      </c>
      <c r="Q93" s="130">
        <f t="shared" si="408"/>
        <v>4.3208955964776097</v>
      </c>
      <c r="R93" s="130">
        <f t="shared" si="408"/>
        <v>2.6793156173389794</v>
      </c>
      <c r="S93" s="130">
        <f t="shared" si="408"/>
        <v>1.5238555777841676</v>
      </c>
      <c r="T93" s="130">
        <f t="shared" si="408"/>
        <v>2.1807333319345767</v>
      </c>
      <c r="U93" s="130">
        <f t="shared" si="408"/>
        <v>5.2223568783612526</v>
      </c>
      <c r="V93" s="130">
        <f t="shared" si="408"/>
        <v>7.2122419562704794</v>
      </c>
      <c r="W93" s="130">
        <f t="shared" si="408"/>
        <v>10.757101914110047</v>
      </c>
      <c r="X93" s="130">
        <f t="shared" si="408"/>
        <v>11.71419991396853</v>
      </c>
      <c r="Y93" s="130">
        <f t="shared" si="408"/>
        <v>12.062149467038649</v>
      </c>
      <c r="Z93" s="130">
        <f t="shared" si="408"/>
        <v>8.3610862985641514</v>
      </c>
      <c r="AA93" s="130">
        <f t="shared" si="408"/>
        <v>8.9730558912826375</v>
      </c>
      <c r="AB93" s="130">
        <f t="shared" si="408"/>
        <v>14.52009569184886</v>
      </c>
      <c r="AC93" s="130">
        <f t="shared" si="408"/>
        <v>10.251954660894288</v>
      </c>
      <c r="AD93" s="130">
        <f t="shared" si="408"/>
        <v>14.909709242755831</v>
      </c>
      <c r="AE93" s="130">
        <f t="shared" si="408"/>
        <v>12.332208262139696</v>
      </c>
      <c r="AF93" s="130">
        <f t="shared" si="408"/>
        <v>17.081204217757431</v>
      </c>
      <c r="AG93" s="130">
        <f t="shared" si="408"/>
        <v>12.876623523120552</v>
      </c>
      <c r="AH93" s="130">
        <f t="shared" si="408"/>
        <v>9.6795123384140815</v>
      </c>
      <c r="AI93" s="130">
        <f t="shared" si="408"/>
        <v>18.050007599232405</v>
      </c>
      <c r="AJ93" s="130">
        <f t="shared" si="408"/>
        <v>13.158394356214714</v>
      </c>
      <c r="AK93" s="130">
        <f t="shared" si="408"/>
        <v>21.217437497132124</v>
      </c>
      <c r="AL93" s="130">
        <f t="shared" si="408"/>
        <v>280.26953985052893</v>
      </c>
      <c r="AM93" s="130">
        <f t="shared" si="408"/>
        <v>156.90492358702585</v>
      </c>
      <c r="AN93" s="130">
        <f t="shared" si="408"/>
        <v>161.18247355404415</v>
      </c>
      <c r="AO93" s="130">
        <f t="shared" si="408"/>
        <v>100.1676415131561</v>
      </c>
      <c r="AP93" s="130">
        <f t="shared" si="408"/>
        <v>138.24287077362493</v>
      </c>
      <c r="AQ93" s="130">
        <f t="shared" si="408"/>
        <v>143.07858009366632</v>
      </c>
      <c r="AR93" s="130">
        <f t="shared" si="408"/>
        <v>111.52779410963734</v>
      </c>
      <c r="AS93" s="130">
        <f t="shared" si="408"/>
        <v>113.69447784104183</v>
      </c>
      <c r="AT93" s="130">
        <f t="shared" si="408"/>
        <v>89.609130098663698</v>
      </c>
      <c r="AU93" s="130">
        <f t="shared" si="408"/>
        <v>116.99894473021499</v>
      </c>
      <c r="AV93" s="130">
        <f t="shared" si="408"/>
        <v>88.045665387353338</v>
      </c>
      <c r="AW93" s="130">
        <f t="shared" si="408"/>
        <v>116.71679301567255</v>
      </c>
      <c r="AX93" s="130">
        <f t="shared" si="408"/>
        <v>114.52213856735955</v>
      </c>
      <c r="AY93" s="130">
        <f t="shared" si="408"/>
        <v>150.41161703444993</v>
      </c>
      <c r="AZ93" s="130">
        <f t="shared" si="408"/>
        <v>197.3494709364511</v>
      </c>
      <c r="BA93" s="130">
        <f t="shared" si="408"/>
        <v>142.02735366806317</v>
      </c>
      <c r="BB93" s="130">
        <f t="shared" si="408"/>
        <v>190.31797181927647</v>
      </c>
      <c r="BC93" s="130">
        <f t="shared" si="408"/>
        <v>149.70031998411031</v>
      </c>
      <c r="BD93" s="130">
        <f t="shared" si="408"/>
        <v>216.33701680034551</v>
      </c>
      <c r="BE93" s="130">
        <f t="shared" si="408"/>
        <v>225.23290007377344</v>
      </c>
      <c r="BF93" s="130">
        <f t="shared" si="408"/>
        <v>164.19789848207554</v>
      </c>
      <c r="BG93" s="130">
        <f t="shared" si="408"/>
        <v>227.18867361771791</v>
      </c>
      <c r="BH93" s="130">
        <f t="shared" si="408"/>
        <v>343.23710035754806</v>
      </c>
      <c r="BI93" s="130">
        <f t="shared" si="408"/>
        <v>255.28232904115259</v>
      </c>
      <c r="BJ93" s="130">
        <f t="shared" si="408"/>
        <v>348.89587864449874</v>
      </c>
      <c r="BK93" s="130">
        <f t="shared" si="408"/>
        <v>252.1635384722756</v>
      </c>
      <c r="BL93" s="130">
        <f t="shared" si="408"/>
        <v>363.39261434205491</v>
      </c>
      <c r="BM93" s="130">
        <f t="shared" si="408"/>
        <v>275.05353733927416</v>
      </c>
      <c r="BN93" s="130">
        <f t="shared" si="408"/>
        <v>387.5669969653855</v>
      </c>
      <c r="BO93" s="130">
        <f t="shared" ref="BO93:DZ93" si="409">BO59</f>
        <v>396.73629007910381</v>
      </c>
      <c r="BP93" s="130">
        <f t="shared" si="409"/>
        <v>290.97630352887143</v>
      </c>
      <c r="BQ93" s="130">
        <f t="shared" si="409"/>
        <v>416.92745214254376</v>
      </c>
      <c r="BR93" s="130">
        <f t="shared" si="409"/>
        <v>308.6783940679976</v>
      </c>
      <c r="BS93" s="130">
        <f t="shared" si="409"/>
        <v>306.68584005060842</v>
      </c>
      <c r="BT93" s="130">
        <f t="shared" si="409"/>
        <v>317.19923591744663</v>
      </c>
      <c r="BU93" s="130">
        <f t="shared" si="409"/>
        <v>330.86471278592296</v>
      </c>
      <c r="BV93" s="130">
        <f t="shared" si="409"/>
        <v>256.3947960716165</v>
      </c>
      <c r="BW93" s="130">
        <f t="shared" si="409"/>
        <v>371.19673859857249</v>
      </c>
      <c r="BX93" s="130">
        <f t="shared" si="409"/>
        <v>279.7171496165389</v>
      </c>
      <c r="BY93" s="130">
        <f t="shared" si="409"/>
        <v>400.5279647050167</v>
      </c>
      <c r="BZ93" s="130">
        <f t="shared" si="409"/>
        <v>403.96639929727746</v>
      </c>
      <c r="CA93" s="130">
        <f t="shared" si="409"/>
        <v>411.35779020424894</v>
      </c>
      <c r="CB93" s="130">
        <f t="shared" si="409"/>
        <v>420.86055406272828</v>
      </c>
      <c r="CC93" s="130">
        <f t="shared" si="409"/>
        <v>1301.5766822586004</v>
      </c>
      <c r="CD93" s="130">
        <f t="shared" si="409"/>
        <v>3659.5053804794716</v>
      </c>
      <c r="CE93" s="130">
        <f t="shared" si="409"/>
        <v>2746.4225865812282</v>
      </c>
      <c r="CF93" s="130">
        <f t="shared" si="409"/>
        <v>3748.0855194723126</v>
      </c>
      <c r="CG93" s="130">
        <f t="shared" si="409"/>
        <v>3771.7931763071238</v>
      </c>
      <c r="CH93" s="130">
        <f t="shared" si="409"/>
        <v>2803.9879715982488</v>
      </c>
      <c r="CI93" s="130">
        <f t="shared" si="409"/>
        <v>2845.5766624388502</v>
      </c>
      <c r="CJ93" s="130">
        <f t="shared" si="409"/>
        <v>5277.2574984091834</v>
      </c>
      <c r="CK93" s="130">
        <f t="shared" si="409"/>
        <v>2887.4359077852005</v>
      </c>
      <c r="CL93" s="130">
        <f t="shared" si="409"/>
        <v>3838.5294338458957</v>
      </c>
      <c r="CM93" s="130">
        <f t="shared" si="409"/>
        <v>2918.9936495113939</v>
      </c>
      <c r="CN93" s="130">
        <f t="shared" si="409"/>
        <v>3973.2519302416817</v>
      </c>
      <c r="CO93" s="130">
        <f t="shared" si="409"/>
        <v>2980.2817399195146</v>
      </c>
      <c r="CP93" s="130">
        <f t="shared" si="409"/>
        <v>4022.0525660660569</v>
      </c>
      <c r="CQ93" s="130">
        <f t="shared" si="409"/>
        <v>3034.844944860351</v>
      </c>
      <c r="CR93" s="130">
        <f t="shared" si="409"/>
        <v>4102.1035735692658</v>
      </c>
      <c r="CS93" s="130">
        <f t="shared" si="409"/>
        <v>4132.407287254885</v>
      </c>
      <c r="CT93" s="130">
        <f t="shared" si="409"/>
        <v>2377.0964366119269</v>
      </c>
      <c r="CU93" s="130">
        <f t="shared" si="409"/>
        <v>3142.1436504974076</v>
      </c>
      <c r="CV93" s="130">
        <f t="shared" si="409"/>
        <v>4242.0075949696447</v>
      </c>
      <c r="CW93" s="130">
        <f t="shared" si="409"/>
        <v>4269.8890910964492</v>
      </c>
      <c r="CX93" s="130">
        <f t="shared" si="409"/>
        <v>3215.5589502716816</v>
      </c>
      <c r="CY93" s="130">
        <f t="shared" si="409"/>
        <v>4325.9787782269068</v>
      </c>
      <c r="CZ93" s="130">
        <f t="shared" si="409"/>
        <v>3254.1586688969901</v>
      </c>
      <c r="DA93" s="130">
        <f t="shared" si="409"/>
        <v>4376.3250475740451</v>
      </c>
      <c r="DB93" s="130">
        <f t="shared" si="409"/>
        <v>3317.9197029734351</v>
      </c>
      <c r="DC93" s="130">
        <f t="shared" si="409"/>
        <v>4485.4204045261877</v>
      </c>
      <c r="DD93" s="130">
        <f t="shared" si="409"/>
        <v>4514.0471384309249</v>
      </c>
      <c r="DE93" s="130">
        <f t="shared" si="409"/>
        <v>6284.6431332099664</v>
      </c>
      <c r="DF93" s="130">
        <f t="shared" si="409"/>
        <v>4577.8576575245925</v>
      </c>
      <c r="DG93" s="130">
        <f t="shared" si="409"/>
        <v>4549.6873153918641</v>
      </c>
      <c r="DH93" s="130">
        <f t="shared" si="409"/>
        <v>6408.494180740081</v>
      </c>
      <c r="DI93" s="130">
        <f t="shared" si="409"/>
        <v>4635.9225894203146</v>
      </c>
      <c r="DJ93" s="130">
        <f t="shared" si="409"/>
        <v>4694.1415220495373</v>
      </c>
      <c r="DK93" s="130">
        <f t="shared" si="409"/>
        <v>3511.1090153224991</v>
      </c>
      <c r="DL93" s="130">
        <f t="shared" si="409"/>
        <v>4782.4603682068619</v>
      </c>
      <c r="DM93" s="130">
        <f t="shared" si="409"/>
        <v>3586.8954596378335</v>
      </c>
      <c r="DN93" s="130">
        <f t="shared" si="409"/>
        <v>4811.3642005888951</v>
      </c>
      <c r="DO93" s="130">
        <f t="shared" si="409"/>
        <v>3622.6091066974072</v>
      </c>
      <c r="DP93" s="130">
        <f t="shared" si="409"/>
        <v>4887.3258009404035</v>
      </c>
      <c r="DQ93" s="130">
        <f t="shared" si="409"/>
        <v>4937.5866132109604</v>
      </c>
      <c r="DR93" s="130">
        <f t="shared" si="409"/>
        <v>4974.4034762827268</v>
      </c>
      <c r="DS93" s="130">
        <f t="shared" si="409"/>
        <v>4650.498208815754</v>
      </c>
      <c r="DT93" s="130">
        <f t="shared" si="409"/>
        <v>5049.3421463826371</v>
      </c>
      <c r="DU93" s="130">
        <f t="shared" si="409"/>
        <v>7022.8539855342415</v>
      </c>
      <c r="DV93" s="130">
        <f t="shared" si="409"/>
        <v>3819.2468291083223</v>
      </c>
      <c r="DW93" s="130">
        <f t="shared" si="409"/>
        <v>18561.066261819316</v>
      </c>
      <c r="DX93" s="130">
        <f t="shared" si="409"/>
        <v>43404.573829069021</v>
      </c>
      <c r="DY93" s="130">
        <f t="shared" si="409"/>
        <v>32618.578151448815</v>
      </c>
      <c r="DZ93" s="130">
        <f t="shared" si="409"/>
        <v>43979.452922050739</v>
      </c>
      <c r="EA93" s="130">
        <f t="shared" ref="EA93:GL93" si="410">EA59</f>
        <v>43940.43422945476</v>
      </c>
      <c r="EB93" s="130">
        <f t="shared" si="410"/>
        <v>44023.567451387236</v>
      </c>
      <c r="EC93" s="130">
        <f t="shared" si="410"/>
        <v>44137.311710764719</v>
      </c>
      <c r="ED93" s="130">
        <f t="shared" si="410"/>
        <v>44312.568081835212</v>
      </c>
      <c r="EE93" s="130">
        <f t="shared" si="410"/>
        <v>44395.810372764674</v>
      </c>
      <c r="EF93" s="130">
        <f t="shared" si="410"/>
        <v>44448.268404653121</v>
      </c>
      <c r="EG93" s="130">
        <f t="shared" si="410"/>
        <v>44903.609072684318</v>
      </c>
      <c r="EH93" s="130">
        <f t="shared" si="410"/>
        <v>37625.219740887318</v>
      </c>
      <c r="EI93" s="130">
        <f t="shared" si="410"/>
        <v>34137.981837089363</v>
      </c>
      <c r="EJ93" s="130">
        <f t="shared" si="410"/>
        <v>37888.707855090885</v>
      </c>
      <c r="EK93" s="130">
        <f t="shared" si="410"/>
        <v>34376.658079783709</v>
      </c>
      <c r="EL93" s="130">
        <f t="shared" si="410"/>
        <v>34498.281907460463</v>
      </c>
      <c r="EM93" s="130">
        <f t="shared" si="410"/>
        <v>38287.897281423429</v>
      </c>
      <c r="EN93" s="130">
        <f t="shared" si="410"/>
        <v>34738.254403137827</v>
      </c>
      <c r="EO93" s="130">
        <f t="shared" si="410"/>
        <v>38553.769383341831</v>
      </c>
      <c r="EP93" s="130">
        <f t="shared" si="410"/>
        <v>34979.08662152099</v>
      </c>
      <c r="EQ93" s="130">
        <f t="shared" si="410"/>
        <v>35101.806300913799</v>
      </c>
      <c r="ER93" s="130">
        <f t="shared" si="410"/>
        <v>48149.935717443121</v>
      </c>
      <c r="ES93" s="130">
        <f t="shared" si="410"/>
        <v>35335.983224991891</v>
      </c>
      <c r="ET93" s="130">
        <f t="shared" si="410"/>
        <v>39216.002445706428</v>
      </c>
      <c r="EU93" s="130">
        <f t="shared" si="410"/>
        <v>35578.944464607506</v>
      </c>
      <c r="EV93" s="130">
        <f t="shared" si="410"/>
        <v>39485.180141588724</v>
      </c>
      <c r="EW93" s="130">
        <f t="shared" si="410"/>
        <v>35822.766116286359</v>
      </c>
      <c r="EX93" s="130">
        <f t="shared" si="410"/>
        <v>35947.005279379526</v>
      </c>
      <c r="EY93" s="130">
        <f t="shared" si="410"/>
        <v>39892.953063343804</v>
      </c>
      <c r="EZ93" s="130">
        <f t="shared" si="410"/>
        <v>36192.124974104983</v>
      </c>
      <c r="FA93" s="130">
        <f t="shared" si="410"/>
        <v>40164.518038948663</v>
      </c>
      <c r="FB93" s="130">
        <f t="shared" si="410"/>
        <v>36438.105573837092</v>
      </c>
      <c r="FC93" s="130">
        <f t="shared" si="410"/>
        <v>36563.44209568073</v>
      </c>
      <c r="FD93" s="130">
        <f t="shared" si="410"/>
        <v>50151.315176677555</v>
      </c>
      <c r="FE93" s="130">
        <f t="shared" si="410"/>
        <v>36802.6003011391</v>
      </c>
      <c r="FF93" s="130">
        <f t="shared" si="410"/>
        <v>40840.84890363225</v>
      </c>
      <c r="FG93" s="130">
        <f t="shared" si="410"/>
        <v>37050.712833209851</v>
      </c>
      <c r="FH93" s="130">
        <f t="shared" si="410"/>
        <v>41115.723992869782</v>
      </c>
      <c r="FI93" s="130">
        <f t="shared" si="410"/>
        <v>37299.686947121605</v>
      </c>
      <c r="FJ93" s="130">
        <f t="shared" si="410"/>
        <v>37426.54502178332</v>
      </c>
      <c r="FK93" s="130">
        <f t="shared" si="410"/>
        <v>41532.092146325733</v>
      </c>
      <c r="FL93" s="130">
        <f t="shared" si="410"/>
        <v>37676.818936284144</v>
      </c>
      <c r="FM93" s="130">
        <f t="shared" si="410"/>
        <v>41809.35774748843</v>
      </c>
      <c r="FN93" s="130">
        <f t="shared" si="410"/>
        <v>37927.954916701216</v>
      </c>
      <c r="FO93" s="130">
        <f t="shared" si="410"/>
        <v>38055.911829880097</v>
      </c>
      <c r="FP93" s="130">
        <f t="shared" si="410"/>
        <v>46862.765161307165</v>
      </c>
      <c r="FQ93" s="130">
        <f t="shared" si="410"/>
        <v>321786.44881337677</v>
      </c>
      <c r="FR93" s="130">
        <f t="shared" si="410"/>
        <v>356464.2879667416</v>
      </c>
      <c r="FS93" s="130">
        <f t="shared" si="410"/>
        <v>322849.02748668264</v>
      </c>
      <c r="FT93" s="130">
        <f t="shared" si="410"/>
        <v>357640.40856131015</v>
      </c>
      <c r="FU93" s="130">
        <f t="shared" si="410"/>
        <v>323913.41646063747</v>
      </c>
      <c r="FV93" s="130">
        <f t="shared" si="410"/>
        <v>324455.02927349566</v>
      </c>
      <c r="FW93" s="130">
        <f t="shared" si="410"/>
        <v>359418.01667172997</v>
      </c>
      <c r="FX93" s="130">
        <f t="shared" si="410"/>
        <v>325522.14891463966</v>
      </c>
      <c r="FY93" s="130">
        <f t="shared" si="410"/>
        <v>360599.15932975727</v>
      </c>
      <c r="FZ93" s="130">
        <f t="shared" si="410"/>
        <v>326591.07935683866</v>
      </c>
      <c r="GA93" s="130">
        <f t="shared" si="410"/>
        <v>327135.00032050331</v>
      </c>
      <c r="GB93" s="130">
        <f t="shared" si="410"/>
        <v>447878.15423941507</v>
      </c>
      <c r="GC93" s="130">
        <f t="shared" si="410"/>
        <v>328171.49700989341</v>
      </c>
      <c r="GD93" s="130">
        <f t="shared" si="410"/>
        <v>363531.58639891644</v>
      </c>
      <c r="GE93" s="130">
        <f t="shared" si="410"/>
        <v>329244.91078219243</v>
      </c>
      <c r="GF93" s="130">
        <f t="shared" si="410"/>
        <v>364719.69002181303</v>
      </c>
      <c r="GG93" s="130">
        <f t="shared" si="410"/>
        <v>330320.13604587124</v>
      </c>
      <c r="GH93" s="130">
        <f t="shared" si="410"/>
        <v>330867.25628139917</v>
      </c>
      <c r="GI93" s="130">
        <f t="shared" si="410"/>
        <v>366515.37338439922</v>
      </c>
      <c r="GJ93" s="130">
        <f t="shared" si="410"/>
        <v>331945.21400480589</v>
      </c>
      <c r="GK93" s="130">
        <f t="shared" si="410"/>
        <v>367708.50236739503</v>
      </c>
      <c r="GL93" s="130">
        <f t="shared" si="410"/>
        <v>333024.98371560971</v>
      </c>
      <c r="GM93" s="130">
        <f t="shared" ref="GM93:HJ93" si="411">GM59</f>
        <v>333574.41361412482</v>
      </c>
      <c r="GN93" s="130">
        <f t="shared" si="411"/>
        <v>456686.85991010553</v>
      </c>
      <c r="GO93" s="130">
        <f t="shared" si="411"/>
        <v>334621.39589490654</v>
      </c>
      <c r="GP93" s="130">
        <f t="shared" si="411"/>
        <v>370670.60613835661</v>
      </c>
      <c r="GQ93" s="130">
        <f t="shared" si="411"/>
        <v>335705.65186502034</v>
      </c>
      <c r="GR93" s="130">
        <f t="shared" si="411"/>
        <v>371870.70063409966</v>
      </c>
      <c r="GS93" s="130">
        <f t="shared" si="411"/>
        <v>336791.7205068341</v>
      </c>
      <c r="GT93" s="130">
        <f t="shared" si="411"/>
        <v>337344.35176336067</v>
      </c>
      <c r="GU93" s="130">
        <f t="shared" si="411"/>
        <v>373684.47105819848</v>
      </c>
      <c r="GV93" s="130">
        <f t="shared" si="411"/>
        <v>338433.15464179969</v>
      </c>
      <c r="GW93" s="130">
        <f t="shared" si="411"/>
        <v>374889.59418191772</v>
      </c>
      <c r="GX93" s="130">
        <f t="shared" si="411"/>
        <v>339523.77068364929</v>
      </c>
      <c r="GY93" s="130">
        <f t="shared" si="411"/>
        <v>340078.71310217521</v>
      </c>
      <c r="GZ93" s="130">
        <f t="shared" si="411"/>
        <v>465584.25145276013</v>
      </c>
      <c r="HA93" s="130">
        <f t="shared" si="411"/>
        <v>341136.1877903805</v>
      </c>
      <c r="HB93" s="130">
        <f t="shared" si="411"/>
        <v>377881.39395288663</v>
      </c>
      <c r="HC93" s="130">
        <f t="shared" si="411"/>
        <v>342231.29299531429</v>
      </c>
      <c r="HD93" s="130">
        <f t="shared" si="411"/>
        <v>379093.48709773697</v>
      </c>
      <c r="HE93" s="130">
        <f t="shared" si="411"/>
        <v>343328.21204204112</v>
      </c>
      <c r="HF93" s="130">
        <f t="shared" si="411"/>
        <v>343886.35788664536</v>
      </c>
      <c r="HG93" s="130">
        <f t="shared" si="411"/>
        <v>380925.35629013774</v>
      </c>
      <c r="HH93" s="130">
        <f t="shared" si="411"/>
        <v>344986.01293153624</v>
      </c>
      <c r="HI93" s="130">
        <f t="shared" si="411"/>
        <v>382142.48130258918</v>
      </c>
      <c r="HJ93" s="130">
        <f t="shared" si="411"/>
        <v>346087.48230570444</v>
      </c>
    </row>
    <row r="94" spans="2:218" x14ac:dyDescent="0.35">
      <c r="B94" s="107" t="s">
        <v>154</v>
      </c>
      <c r="C94" s="133">
        <f t="shared" ref="C94:AH94" si="412">C61</f>
        <v>-1</v>
      </c>
      <c r="D94" s="133">
        <f t="shared" si="412"/>
        <v>-1</v>
      </c>
      <c r="E94" s="133">
        <f t="shared" si="412"/>
        <v>-1</v>
      </c>
      <c r="F94" s="133">
        <f t="shared" si="412"/>
        <v>-1</v>
      </c>
      <c r="G94" s="133">
        <f t="shared" si="412"/>
        <v>-1</v>
      </c>
      <c r="H94" s="133">
        <f t="shared" si="412"/>
        <v>-1</v>
      </c>
      <c r="I94" s="133">
        <f t="shared" si="412"/>
        <v>-1</v>
      </c>
      <c r="J94" s="133">
        <f t="shared" si="412"/>
        <v>-0.85902828743019632</v>
      </c>
      <c r="K94" s="133">
        <f t="shared" si="412"/>
        <v>-0.9137743887657821</v>
      </c>
      <c r="L94" s="133">
        <f t="shared" si="412"/>
        <v>-0.77525525185946798</v>
      </c>
      <c r="M94" s="133">
        <f t="shared" si="412"/>
        <v>-0.72582942928635308</v>
      </c>
      <c r="N94" s="133">
        <f t="shared" si="412"/>
        <v>-0.80520983992810635</v>
      </c>
      <c r="O94" s="133">
        <f t="shared" si="412"/>
        <v>-0.75376389680158928</v>
      </c>
      <c r="P94" s="133">
        <f t="shared" si="412"/>
        <v>-0.41965915871872894</v>
      </c>
      <c r="Q94" s="133">
        <f t="shared" si="412"/>
        <v>-0.81485319833875192</v>
      </c>
      <c r="R94" s="133">
        <f t="shared" si="412"/>
        <v>-7.2091608819728759E-3</v>
      </c>
      <c r="S94" s="133">
        <f t="shared" si="412"/>
        <v>4.6960778478899909</v>
      </c>
      <c r="T94" s="133">
        <f t="shared" si="412"/>
        <v>7.2036623818325314</v>
      </c>
      <c r="U94" s="133">
        <f t="shared" si="412"/>
        <v>1.6922710047368406</v>
      </c>
      <c r="V94" s="133">
        <f t="shared" si="412"/>
        <v>0.30333952424147892</v>
      </c>
      <c r="W94" s="133">
        <f t="shared" si="412"/>
        <v>-0.53983888601937435</v>
      </c>
      <c r="X94" s="133">
        <f t="shared" si="412"/>
        <v>-0.710607636467121</v>
      </c>
      <c r="Y94" s="133">
        <f t="shared" si="412"/>
        <v>-0.79191105143748275</v>
      </c>
      <c r="Z94" s="133">
        <f t="shared" si="412"/>
        <v>-0.46538047325649146</v>
      </c>
      <c r="AA94" s="133">
        <f t="shared" si="412"/>
        <v>-0.36253601122032408</v>
      </c>
      <c r="AB94" s="133">
        <f t="shared" si="412"/>
        <v>-0.65702705369940362</v>
      </c>
      <c r="AC94" s="133">
        <f t="shared" si="412"/>
        <v>-0.52691948409602807</v>
      </c>
      <c r="AD94" s="133">
        <f t="shared" si="412"/>
        <v>-0.65861171957641806</v>
      </c>
      <c r="AE94" s="133">
        <f t="shared" si="412"/>
        <v>-0.58158345283209512</v>
      </c>
      <c r="AF94" s="133">
        <f t="shared" si="412"/>
        <v>-0.61478125803568906</v>
      </c>
      <c r="AG94" s="133">
        <f t="shared" si="412"/>
        <v>-0.28397378525161665</v>
      </c>
      <c r="AH94" s="133">
        <f t="shared" si="412"/>
        <v>0.15088442583928874</v>
      </c>
      <c r="AI94" s="133">
        <f t="shared" ref="AI94:BN94" si="413">AI61</f>
        <v>-0.30969558148386178</v>
      </c>
      <c r="AJ94" s="133">
        <f t="shared" si="413"/>
        <v>-0.18759084804666093</v>
      </c>
      <c r="AK94" s="133">
        <f t="shared" si="413"/>
        <v>-0.41086193836133256</v>
      </c>
      <c r="AL94" s="133">
        <f t="shared" si="413"/>
        <v>-0.95158232319060776</v>
      </c>
      <c r="AM94" s="133">
        <f t="shared" si="413"/>
        <v>-0.87393639697336067</v>
      </c>
      <c r="AN94" s="133">
        <f t="shared" si="413"/>
        <v>-0.81139388588792849</v>
      </c>
      <c r="AO94" s="133">
        <f t="shared" si="413"/>
        <v>-7.6548088757276256E-2</v>
      </c>
      <c r="AP94" s="133">
        <f t="shared" si="413"/>
        <v>4.5551204131797363E-2</v>
      </c>
      <c r="AQ94" s="133">
        <f t="shared" si="413"/>
        <v>-7.5333289487567678E-2</v>
      </c>
      <c r="AR94" s="133">
        <f t="shared" si="413"/>
        <v>-0.15133262739013409</v>
      </c>
      <c r="AS94" s="133">
        <f t="shared" si="413"/>
        <v>-0.13188395888502047</v>
      </c>
      <c r="AT94" s="133">
        <f t="shared" si="413"/>
        <v>0.39316161045805864</v>
      </c>
      <c r="AU94" s="133">
        <f t="shared" si="413"/>
        <v>8.5565346703504686E-2</v>
      </c>
      <c r="AV94" s="133">
        <f t="shared" si="413"/>
        <v>1.4532723905227676</v>
      </c>
      <c r="AW94" s="133">
        <f t="shared" si="413"/>
        <v>7.6885526392404238</v>
      </c>
      <c r="AX94" s="133">
        <f t="shared" si="413"/>
        <v>5.2433343364388172</v>
      </c>
      <c r="AY94" s="133">
        <f t="shared" si="413"/>
        <v>4.3187381119423094</v>
      </c>
      <c r="AZ94" s="133">
        <f t="shared" si="413"/>
        <v>1.9653487147601458</v>
      </c>
      <c r="BA94" s="133">
        <f t="shared" si="413"/>
        <v>2.5176322524999777</v>
      </c>
      <c r="BB94" s="133">
        <f t="shared" si="413"/>
        <v>1.3056151544988035</v>
      </c>
      <c r="BC94" s="133">
        <f t="shared" si="413"/>
        <v>3.1502917299438424</v>
      </c>
      <c r="BD94" s="133">
        <f t="shared" si="413"/>
        <v>1.7734042415576186</v>
      </c>
      <c r="BE94" s="133">
        <f t="shared" si="413"/>
        <v>1.5995314175159296</v>
      </c>
      <c r="BF94" s="133">
        <f t="shared" si="413"/>
        <v>2.0853622651894259</v>
      </c>
      <c r="BG94" s="133">
        <f t="shared" si="413"/>
        <v>0.76236778719753273</v>
      </c>
      <c r="BH94" s="133">
        <f t="shared" si="413"/>
        <v>6.0101301412436303E-3</v>
      </c>
      <c r="BI94" s="133">
        <f t="shared" si="413"/>
        <v>0.47127300746090128</v>
      </c>
      <c r="BJ94" s="133">
        <f t="shared" si="413"/>
        <v>-0.10173774130667401</v>
      </c>
      <c r="BK94" s="133">
        <f t="shared" si="413"/>
        <v>-6.3306291500310419E-2</v>
      </c>
      <c r="BL94" s="133">
        <f t="shared" si="413"/>
        <v>-0.30623246029240037</v>
      </c>
      <c r="BM94" s="133">
        <f t="shared" si="413"/>
        <v>-0.11893516315306474</v>
      </c>
      <c r="BN94" s="133">
        <f t="shared" si="413"/>
        <v>-0.41893917241845768</v>
      </c>
      <c r="BO94" s="133">
        <f t="shared" ref="BO94:CT94" si="414">BO61</f>
        <v>-0.40403737718861799</v>
      </c>
      <c r="BP94" s="133">
        <f t="shared" si="414"/>
        <v>-0.13666509281545569</v>
      </c>
      <c r="BQ94" s="133">
        <f t="shared" si="414"/>
        <v>-0.30815301674742801</v>
      </c>
      <c r="BR94" s="133">
        <f t="shared" si="414"/>
        <v>-0.25608657938846324</v>
      </c>
      <c r="BS94" s="133">
        <f t="shared" si="414"/>
        <v>-0.22024440397855416</v>
      </c>
      <c r="BT94" s="133">
        <f t="shared" si="414"/>
        <v>-3.9121266738095795E-2</v>
      </c>
      <c r="BU94" s="133">
        <f t="shared" si="414"/>
        <v>8.20132403531173E-2</v>
      </c>
      <c r="BV94" s="133">
        <f t="shared" si="414"/>
        <v>0.67019770510625465</v>
      </c>
      <c r="BW94" s="133">
        <f t="shared" si="414"/>
        <v>1.8812830704796335E-2</v>
      </c>
      <c r="BX94" s="133">
        <f t="shared" si="414"/>
        <v>0.54402402781550263</v>
      </c>
      <c r="BY94" s="133">
        <f t="shared" si="414"/>
        <v>3.8204661455419231E-2</v>
      </c>
      <c r="BZ94" s="133">
        <f t="shared" si="414"/>
        <v>0.11390452469008761</v>
      </c>
      <c r="CA94" s="133">
        <f t="shared" si="414"/>
        <v>0.28024802870151233</v>
      </c>
      <c r="CB94" s="133">
        <f t="shared" si="414"/>
        <v>0.5488503108866869</v>
      </c>
      <c r="CC94" s="133">
        <f t="shared" si="414"/>
        <v>-0.49701004257087134</v>
      </c>
      <c r="CD94" s="133">
        <f t="shared" si="414"/>
        <v>-0.84383135408175802</v>
      </c>
      <c r="CE94" s="133">
        <f t="shared" si="414"/>
        <v>-0.7801321606695355</v>
      </c>
      <c r="CF94" s="133">
        <f t="shared" si="414"/>
        <v>-0.81699723860714679</v>
      </c>
      <c r="CG94" s="133">
        <f t="shared" si="414"/>
        <v>-0.80717129333372073</v>
      </c>
      <c r="CH94" s="133">
        <f t="shared" si="414"/>
        <v>-0.65830095931050669</v>
      </c>
      <c r="CI94" s="133">
        <f t="shared" si="414"/>
        <v>-0.679435802225693</v>
      </c>
      <c r="CJ94" s="133">
        <f t="shared" si="414"/>
        <v>-0.78201366896597779</v>
      </c>
      <c r="CK94" s="133">
        <f t="shared" si="414"/>
        <v>-0.64164053054473014</v>
      </c>
      <c r="CL94" s="133">
        <f t="shared" si="414"/>
        <v>-0.65273159344659715</v>
      </c>
      <c r="CM94" s="133">
        <f t="shared" si="414"/>
        <v>-0.21547619660518169</v>
      </c>
      <c r="CN94" s="133">
        <f t="shared" si="414"/>
        <v>-0.35611935892411783</v>
      </c>
      <c r="CO94" s="133">
        <f t="shared" si="414"/>
        <v>-6.5591698026775669E-2</v>
      </c>
      <c r="CP94" s="133">
        <f t="shared" si="414"/>
        <v>0.13934860987710396</v>
      </c>
      <c r="CQ94" s="133">
        <f t="shared" si="414"/>
        <v>0.37215247423179965</v>
      </c>
      <c r="CR94" s="133">
        <f t="shared" si="414"/>
        <v>0.49593736236664587</v>
      </c>
      <c r="CS94" s="133">
        <f t="shared" si="414"/>
        <v>1.4002958349705863</v>
      </c>
      <c r="CT94" s="133">
        <f t="shared" si="414"/>
        <v>4.9795680903292308</v>
      </c>
      <c r="CU94" s="133">
        <f t="shared" ref="CU94:DZ94" si="415">CU61</f>
        <v>2.20880300886432</v>
      </c>
      <c r="CV94" s="133">
        <f t="shared" si="415"/>
        <v>1.4326830560693149</v>
      </c>
      <c r="CW94" s="133">
        <f t="shared" si="415"/>
        <v>0.86201791905522107</v>
      </c>
      <c r="CX94" s="133">
        <f t="shared" si="415"/>
        <v>1.7766712220423231</v>
      </c>
      <c r="CY94" s="133">
        <f t="shared" si="415"/>
        <v>0.70752571352825777</v>
      </c>
      <c r="CZ94" s="133">
        <f t="shared" si="415"/>
        <v>0.91240828527559326</v>
      </c>
      <c r="DA94" s="133">
        <f t="shared" si="415"/>
        <v>0.87849620643629911</v>
      </c>
      <c r="DB94" s="133">
        <f t="shared" si="415"/>
        <v>1.1333216694957104</v>
      </c>
      <c r="DC94" s="133">
        <f t="shared" si="415"/>
        <v>0.49062504670758433</v>
      </c>
      <c r="DD94" s="133">
        <f t="shared" si="415"/>
        <v>0.39600004314319781</v>
      </c>
      <c r="DE94" s="133">
        <f t="shared" si="415"/>
        <v>-0.3191705703399963</v>
      </c>
      <c r="DF94" s="133">
        <f t="shared" si="415"/>
        <v>-0.1763920414164285</v>
      </c>
      <c r="DG94" s="133">
        <f t="shared" si="415"/>
        <v>-0.24201823972973979</v>
      </c>
      <c r="DH94" s="133">
        <f t="shared" si="415"/>
        <v>-0.4018516843597536</v>
      </c>
      <c r="DI94" s="133">
        <f t="shared" si="415"/>
        <v>-0.11224790306202737</v>
      </c>
      <c r="DJ94" s="133">
        <f t="shared" si="415"/>
        <v>0.12934174973177459</v>
      </c>
      <c r="DK94" s="133">
        <f t="shared" si="415"/>
        <v>1.4835116089948772</v>
      </c>
      <c r="DL94" s="133">
        <f t="shared" si="415"/>
        <v>1.3278499230249046</v>
      </c>
      <c r="DM94" s="133">
        <f t="shared" si="415"/>
        <v>1.6733787220462255</v>
      </c>
      <c r="DN94" s="133">
        <f t="shared" si="415"/>
        <v>0.97128082693035833</v>
      </c>
      <c r="DO94" s="133">
        <f t="shared" si="415"/>
        <v>1.2704630165020521</v>
      </c>
      <c r="DP94" s="133">
        <f t="shared" si="415"/>
        <v>0.88625853390542453</v>
      </c>
      <c r="DQ94" s="133">
        <f t="shared" si="415"/>
        <v>0.5237869407433402</v>
      </c>
      <c r="DR94" s="133">
        <f t="shared" si="415"/>
        <v>0.45134990243997342</v>
      </c>
      <c r="DS94" s="133">
        <f t="shared" si="415"/>
        <v>0.99544426926316287</v>
      </c>
      <c r="DT94" s="133">
        <f t="shared" si="415"/>
        <v>0.72544259181199533</v>
      </c>
      <c r="DU94" s="133">
        <f t="shared" si="415"/>
        <v>-0.16196321152015436</v>
      </c>
      <c r="DV94" s="133">
        <f t="shared" si="415"/>
        <v>1.0332097786444892</v>
      </c>
      <c r="DW94" s="133">
        <f t="shared" si="415"/>
        <v>-0.48444718288172062</v>
      </c>
      <c r="DX94" s="133">
        <f t="shared" si="415"/>
        <v>-0.79255112524639826</v>
      </c>
      <c r="DY94" s="133">
        <f t="shared" si="415"/>
        <v>-0.65924541687889882</v>
      </c>
      <c r="DZ94" s="133">
        <f t="shared" si="415"/>
        <v>-0.73893172294912168</v>
      </c>
      <c r="EA94" s="133">
        <f t="shared" ref="EA94:EG94" si="416">EA61</f>
        <v>-0.75666307838094671</v>
      </c>
      <c r="EB94" s="133">
        <f t="shared" si="416"/>
        <v>-0.69813895671507542</v>
      </c>
      <c r="EC94" s="133">
        <f t="shared" si="416"/>
        <v>-0.61169202799861566</v>
      </c>
      <c r="ED94" s="133">
        <f t="shared" si="416"/>
        <v>-0.34879445608504445</v>
      </c>
      <c r="EE94" s="133">
        <f t="shared" si="416"/>
        <v>-0.22708337314075389</v>
      </c>
      <c r="EF94" s="133">
        <f t="shared" si="416"/>
        <v>5.2918857804157726E-2</v>
      </c>
      <c r="EG94" s="133">
        <f t="shared" si="416"/>
        <v>0.30791558212915682</v>
      </c>
      <c r="EH94" s="130"/>
      <c r="EI94" s="130"/>
      <c r="EJ94" s="130"/>
      <c r="EK94" s="130"/>
      <c r="EL94" s="130"/>
      <c r="EM94" s="130"/>
      <c r="EN94" s="130"/>
      <c r="EO94" s="130"/>
      <c r="EP94" s="130"/>
      <c r="EQ94" s="130"/>
      <c r="ER94" s="130"/>
      <c r="ES94" s="130"/>
      <c r="ET94" s="130"/>
      <c r="EU94" s="130"/>
      <c r="EV94" s="130"/>
      <c r="EW94" s="130"/>
      <c r="EX94" s="130"/>
      <c r="EY94" s="130"/>
      <c r="EZ94" s="130"/>
      <c r="FA94" s="130"/>
      <c r="FB94" s="130"/>
      <c r="FC94" s="130"/>
      <c r="FD94" s="130"/>
      <c r="FE94" s="130"/>
      <c r="FF94" s="130"/>
      <c r="FG94" s="130"/>
      <c r="FH94" s="130"/>
      <c r="FI94" s="130"/>
      <c r="FJ94" s="130"/>
      <c r="FK94" s="130"/>
      <c r="FL94" s="130"/>
      <c r="FM94" s="130"/>
      <c r="FN94" s="130"/>
      <c r="FO94" s="130"/>
      <c r="FP94" s="130"/>
      <c r="FQ94" s="130"/>
      <c r="FR94" s="130"/>
      <c r="FS94" s="130"/>
      <c r="FT94" s="130"/>
      <c r="FU94" s="130"/>
      <c r="FV94" s="130"/>
      <c r="FW94" s="130"/>
      <c r="FX94" s="130"/>
      <c r="FY94" s="130"/>
      <c r="FZ94" s="130"/>
      <c r="GA94" s="130"/>
      <c r="GB94" s="130"/>
      <c r="GC94" s="130"/>
      <c r="GD94" s="130"/>
      <c r="GE94" s="130"/>
      <c r="GF94" s="130"/>
      <c r="GG94" s="130"/>
      <c r="GH94" s="130"/>
      <c r="GI94" s="130"/>
      <c r="GJ94" s="130"/>
      <c r="GK94" s="130"/>
      <c r="GL94" s="130"/>
      <c r="GM94" s="130"/>
      <c r="GN94" s="130"/>
      <c r="GO94" s="130"/>
      <c r="GP94" s="130"/>
      <c r="GQ94" s="130"/>
      <c r="GR94" s="130"/>
      <c r="GS94" s="130"/>
      <c r="GT94" s="130"/>
      <c r="GU94" s="130"/>
      <c r="GV94" s="130"/>
      <c r="GW94" s="130"/>
      <c r="GX94" s="130"/>
      <c r="GY94" s="130"/>
      <c r="GZ94" s="130"/>
      <c r="HA94" s="130"/>
      <c r="HB94" s="130"/>
      <c r="HC94" s="130"/>
      <c r="HD94" s="130"/>
      <c r="HE94" s="130"/>
      <c r="HF94" s="130"/>
      <c r="HG94" s="130"/>
      <c r="HH94" s="130"/>
      <c r="HI94" s="130"/>
      <c r="HJ94" s="130"/>
    </row>
    <row r="95" spans="2:218" ht="14.15" x14ac:dyDescent="0.35">
      <c r="B95" s="13" t="s">
        <v>155</v>
      </c>
      <c r="C95" s="133">
        <f t="shared" ref="C95:BN95" si="417">C94</f>
        <v>-1</v>
      </c>
      <c r="D95" s="133">
        <f t="shared" si="417"/>
        <v>-1</v>
      </c>
      <c r="E95" s="133">
        <f t="shared" si="417"/>
        <v>-1</v>
      </c>
      <c r="F95" s="133">
        <f t="shared" si="417"/>
        <v>-1</v>
      </c>
      <c r="G95" s="133">
        <f t="shared" si="417"/>
        <v>-1</v>
      </c>
      <c r="H95" s="133">
        <f t="shared" si="417"/>
        <v>-1</v>
      </c>
      <c r="I95" s="133">
        <f t="shared" si="417"/>
        <v>-1</v>
      </c>
      <c r="J95" s="133">
        <f t="shared" si="417"/>
        <v>-0.85902828743019632</v>
      </c>
      <c r="K95" s="133">
        <f t="shared" si="417"/>
        <v>-0.9137743887657821</v>
      </c>
      <c r="L95" s="133">
        <f t="shared" si="417"/>
        <v>-0.77525525185946798</v>
      </c>
      <c r="M95" s="133">
        <f t="shared" si="417"/>
        <v>-0.72582942928635308</v>
      </c>
      <c r="N95" s="133">
        <f t="shared" si="417"/>
        <v>-0.80520983992810635</v>
      </c>
      <c r="O95" s="133">
        <f t="shared" si="417"/>
        <v>-0.75376389680158928</v>
      </c>
      <c r="P95" s="133">
        <f t="shared" si="417"/>
        <v>-0.41965915871872894</v>
      </c>
      <c r="Q95" s="133">
        <f t="shared" si="417"/>
        <v>-0.81485319833875192</v>
      </c>
      <c r="R95" s="133">
        <f t="shared" si="417"/>
        <v>-7.2091608819728759E-3</v>
      </c>
      <c r="S95" s="133">
        <f t="shared" si="417"/>
        <v>4.6960778478899909</v>
      </c>
      <c r="T95" s="133">
        <f t="shared" si="417"/>
        <v>7.2036623818325314</v>
      </c>
      <c r="U95" s="133">
        <f t="shared" si="417"/>
        <v>1.6922710047368406</v>
      </c>
      <c r="V95" s="133">
        <f t="shared" si="417"/>
        <v>0.30333952424147892</v>
      </c>
      <c r="W95" s="133">
        <f t="shared" si="417"/>
        <v>-0.53983888601937435</v>
      </c>
      <c r="X95" s="133">
        <f t="shared" si="417"/>
        <v>-0.710607636467121</v>
      </c>
      <c r="Y95" s="133">
        <f t="shared" si="417"/>
        <v>-0.79191105143748275</v>
      </c>
      <c r="Z95" s="133">
        <f t="shared" si="417"/>
        <v>-0.46538047325649146</v>
      </c>
      <c r="AA95" s="133">
        <f t="shared" si="417"/>
        <v>-0.36253601122032408</v>
      </c>
      <c r="AB95" s="133">
        <f t="shared" si="417"/>
        <v>-0.65702705369940362</v>
      </c>
      <c r="AC95" s="133">
        <f t="shared" si="417"/>
        <v>-0.52691948409602807</v>
      </c>
      <c r="AD95" s="133">
        <f t="shared" si="417"/>
        <v>-0.65861171957641806</v>
      </c>
      <c r="AE95" s="133">
        <f t="shared" si="417"/>
        <v>-0.58158345283209512</v>
      </c>
      <c r="AF95" s="133">
        <f t="shared" si="417"/>
        <v>-0.61478125803568906</v>
      </c>
      <c r="AG95" s="133">
        <f t="shared" si="417"/>
        <v>-0.28397378525161665</v>
      </c>
      <c r="AH95" s="133">
        <f t="shared" si="417"/>
        <v>0.15088442583928874</v>
      </c>
      <c r="AI95" s="133">
        <f t="shared" si="417"/>
        <v>-0.30969558148386178</v>
      </c>
      <c r="AJ95" s="133">
        <f t="shared" si="417"/>
        <v>-0.18759084804666093</v>
      </c>
      <c r="AK95" s="133">
        <f t="shared" si="417"/>
        <v>-0.41086193836133256</v>
      </c>
      <c r="AL95" s="133">
        <f t="shared" si="417"/>
        <v>-0.95158232319060776</v>
      </c>
      <c r="AM95" s="133">
        <f t="shared" si="417"/>
        <v>-0.87393639697336067</v>
      </c>
      <c r="AN95" s="133">
        <f t="shared" si="417"/>
        <v>-0.81139388588792849</v>
      </c>
      <c r="AO95" s="133">
        <f t="shared" si="417"/>
        <v>-7.6548088757276256E-2</v>
      </c>
      <c r="AP95" s="133">
        <f t="shared" si="417"/>
        <v>4.5551204131797363E-2</v>
      </c>
      <c r="AQ95" s="133">
        <f t="shared" si="417"/>
        <v>-7.5333289487567678E-2</v>
      </c>
      <c r="AR95" s="133">
        <f t="shared" si="417"/>
        <v>-0.15133262739013409</v>
      </c>
      <c r="AS95" s="133">
        <f t="shared" si="417"/>
        <v>-0.13188395888502047</v>
      </c>
      <c r="AT95" s="133">
        <f t="shared" si="417"/>
        <v>0.39316161045805864</v>
      </c>
      <c r="AU95" s="133">
        <f t="shared" si="417"/>
        <v>8.5565346703504686E-2</v>
      </c>
      <c r="AV95" s="133">
        <f t="shared" si="417"/>
        <v>1.4532723905227676</v>
      </c>
      <c r="AW95" s="133">
        <f t="shared" si="417"/>
        <v>7.6885526392404238</v>
      </c>
      <c r="AX95" s="133">
        <f t="shared" si="417"/>
        <v>5.2433343364388172</v>
      </c>
      <c r="AY95" s="133">
        <f t="shared" si="417"/>
        <v>4.3187381119423094</v>
      </c>
      <c r="AZ95" s="133">
        <f t="shared" si="417"/>
        <v>1.9653487147601458</v>
      </c>
      <c r="BA95" s="133">
        <f t="shared" si="417"/>
        <v>2.5176322524999777</v>
      </c>
      <c r="BB95" s="133">
        <f t="shared" si="417"/>
        <v>1.3056151544988035</v>
      </c>
      <c r="BC95" s="133">
        <f t="shared" si="417"/>
        <v>3.1502917299438424</v>
      </c>
      <c r="BD95" s="133">
        <f t="shared" si="417"/>
        <v>1.7734042415576186</v>
      </c>
      <c r="BE95" s="133">
        <f t="shared" si="417"/>
        <v>1.5995314175159296</v>
      </c>
      <c r="BF95" s="133">
        <f t="shared" si="417"/>
        <v>2.0853622651894259</v>
      </c>
      <c r="BG95" s="133">
        <f t="shared" si="417"/>
        <v>0.76236778719753273</v>
      </c>
      <c r="BH95" s="133">
        <f t="shared" si="417"/>
        <v>6.0101301412436303E-3</v>
      </c>
      <c r="BI95" s="133">
        <f t="shared" si="417"/>
        <v>0.47127300746090128</v>
      </c>
      <c r="BJ95" s="133">
        <f t="shared" si="417"/>
        <v>-0.10173774130667401</v>
      </c>
      <c r="BK95" s="133">
        <f t="shared" si="417"/>
        <v>-6.3306291500310419E-2</v>
      </c>
      <c r="BL95" s="133">
        <f t="shared" si="417"/>
        <v>-0.30623246029240037</v>
      </c>
      <c r="BM95" s="133">
        <f t="shared" si="417"/>
        <v>-0.11893516315306474</v>
      </c>
      <c r="BN95" s="133">
        <f t="shared" si="417"/>
        <v>-0.41893917241845768</v>
      </c>
      <c r="BO95" s="133">
        <f t="shared" ref="BO95:DZ95" si="418">BO94</f>
        <v>-0.40403737718861799</v>
      </c>
      <c r="BP95" s="133">
        <f t="shared" si="418"/>
        <v>-0.13666509281545569</v>
      </c>
      <c r="BQ95" s="133">
        <f t="shared" si="418"/>
        <v>-0.30815301674742801</v>
      </c>
      <c r="BR95" s="133">
        <f t="shared" si="418"/>
        <v>-0.25608657938846324</v>
      </c>
      <c r="BS95" s="133">
        <f t="shared" si="418"/>
        <v>-0.22024440397855416</v>
      </c>
      <c r="BT95" s="133">
        <f t="shared" si="418"/>
        <v>-3.9121266738095795E-2</v>
      </c>
      <c r="BU95" s="133">
        <f t="shared" si="418"/>
        <v>8.20132403531173E-2</v>
      </c>
      <c r="BV95" s="133">
        <f t="shared" si="418"/>
        <v>0.67019770510625465</v>
      </c>
      <c r="BW95" s="133">
        <f t="shared" si="418"/>
        <v>1.8812830704796335E-2</v>
      </c>
      <c r="BX95" s="133">
        <f t="shared" si="418"/>
        <v>0.54402402781550263</v>
      </c>
      <c r="BY95" s="133">
        <f t="shared" si="418"/>
        <v>3.8204661455419231E-2</v>
      </c>
      <c r="BZ95" s="133">
        <f t="shared" si="418"/>
        <v>0.11390452469008761</v>
      </c>
      <c r="CA95" s="133">
        <f t="shared" si="418"/>
        <v>0.28024802870151233</v>
      </c>
      <c r="CB95" s="133">
        <f t="shared" si="418"/>
        <v>0.5488503108866869</v>
      </c>
      <c r="CC95" s="133">
        <f t="shared" si="418"/>
        <v>-0.49701004257087134</v>
      </c>
      <c r="CD95" s="133">
        <f t="shared" si="418"/>
        <v>-0.84383135408175802</v>
      </c>
      <c r="CE95" s="133">
        <f t="shared" si="418"/>
        <v>-0.7801321606695355</v>
      </c>
      <c r="CF95" s="133">
        <f t="shared" si="418"/>
        <v>-0.81699723860714679</v>
      </c>
      <c r="CG95" s="133">
        <f t="shared" si="418"/>
        <v>-0.80717129333372073</v>
      </c>
      <c r="CH95" s="133">
        <f t="shared" si="418"/>
        <v>-0.65830095931050669</v>
      </c>
      <c r="CI95" s="133">
        <f t="shared" si="418"/>
        <v>-0.679435802225693</v>
      </c>
      <c r="CJ95" s="133">
        <f t="shared" si="418"/>
        <v>-0.78201366896597779</v>
      </c>
      <c r="CK95" s="133">
        <f t="shared" si="418"/>
        <v>-0.64164053054473014</v>
      </c>
      <c r="CL95" s="133">
        <f t="shared" si="418"/>
        <v>-0.65273159344659715</v>
      </c>
      <c r="CM95" s="133">
        <f t="shared" si="418"/>
        <v>-0.21547619660518169</v>
      </c>
      <c r="CN95" s="133">
        <f t="shared" si="418"/>
        <v>-0.35611935892411783</v>
      </c>
      <c r="CO95" s="133">
        <f t="shared" si="418"/>
        <v>-6.5591698026775669E-2</v>
      </c>
      <c r="CP95" s="133">
        <f t="shared" si="418"/>
        <v>0.13934860987710396</v>
      </c>
      <c r="CQ95" s="133">
        <f t="shared" si="418"/>
        <v>0.37215247423179965</v>
      </c>
      <c r="CR95" s="133">
        <f t="shared" si="418"/>
        <v>0.49593736236664587</v>
      </c>
      <c r="CS95" s="133">
        <f t="shared" si="418"/>
        <v>1.4002958349705863</v>
      </c>
      <c r="CT95" s="133">
        <f t="shared" si="418"/>
        <v>4.9795680903292308</v>
      </c>
      <c r="CU95" s="133">
        <f t="shared" si="418"/>
        <v>2.20880300886432</v>
      </c>
      <c r="CV95" s="133">
        <f t="shared" si="418"/>
        <v>1.4326830560693149</v>
      </c>
      <c r="CW95" s="133">
        <f t="shared" si="418"/>
        <v>0.86201791905522107</v>
      </c>
      <c r="CX95" s="133">
        <f t="shared" si="418"/>
        <v>1.7766712220423231</v>
      </c>
      <c r="CY95" s="133">
        <f t="shared" si="418"/>
        <v>0.70752571352825777</v>
      </c>
      <c r="CZ95" s="133">
        <f t="shared" si="418"/>
        <v>0.91240828527559326</v>
      </c>
      <c r="DA95" s="133">
        <f t="shared" si="418"/>
        <v>0.87849620643629911</v>
      </c>
      <c r="DB95" s="133">
        <f t="shared" si="418"/>
        <v>1.1333216694957104</v>
      </c>
      <c r="DC95" s="133">
        <f t="shared" si="418"/>
        <v>0.49062504670758433</v>
      </c>
      <c r="DD95" s="133">
        <f t="shared" si="418"/>
        <v>0.39600004314319781</v>
      </c>
      <c r="DE95" s="133">
        <f t="shared" si="418"/>
        <v>-0.3191705703399963</v>
      </c>
      <c r="DF95" s="133">
        <f t="shared" si="418"/>
        <v>-0.1763920414164285</v>
      </c>
      <c r="DG95" s="133">
        <f t="shared" si="418"/>
        <v>-0.24201823972973979</v>
      </c>
      <c r="DH95" s="133">
        <f t="shared" si="418"/>
        <v>-0.4018516843597536</v>
      </c>
      <c r="DI95" s="133">
        <f t="shared" si="418"/>
        <v>-0.11224790306202737</v>
      </c>
      <c r="DJ95" s="133">
        <f t="shared" si="418"/>
        <v>0.12934174973177459</v>
      </c>
      <c r="DK95" s="133">
        <f t="shared" si="418"/>
        <v>1.4835116089948772</v>
      </c>
      <c r="DL95" s="133">
        <f t="shared" si="418"/>
        <v>1.3278499230249046</v>
      </c>
      <c r="DM95" s="133">
        <f t="shared" si="418"/>
        <v>1.6733787220462255</v>
      </c>
      <c r="DN95" s="133">
        <f t="shared" si="418"/>
        <v>0.97128082693035833</v>
      </c>
      <c r="DO95" s="133">
        <f t="shared" si="418"/>
        <v>1.2704630165020521</v>
      </c>
      <c r="DP95" s="133">
        <f t="shared" si="418"/>
        <v>0.88625853390542453</v>
      </c>
      <c r="DQ95" s="133">
        <f t="shared" si="418"/>
        <v>0.5237869407433402</v>
      </c>
      <c r="DR95" s="133">
        <f t="shared" si="418"/>
        <v>0.45134990243997342</v>
      </c>
      <c r="DS95" s="133">
        <f t="shared" si="418"/>
        <v>0.99544426926316287</v>
      </c>
      <c r="DT95" s="133">
        <f t="shared" si="418"/>
        <v>0.72544259181199533</v>
      </c>
      <c r="DU95" s="133">
        <f t="shared" si="418"/>
        <v>-0.16196321152015436</v>
      </c>
      <c r="DV95" s="133">
        <f t="shared" si="418"/>
        <v>1.0332097786444892</v>
      </c>
      <c r="DW95" s="133">
        <f t="shared" si="418"/>
        <v>-0.48444718288172062</v>
      </c>
      <c r="DX95" s="133">
        <f t="shared" si="418"/>
        <v>-0.79255112524639826</v>
      </c>
      <c r="DY95" s="133">
        <f t="shared" si="418"/>
        <v>-0.65924541687889882</v>
      </c>
      <c r="DZ95" s="133">
        <f t="shared" si="418"/>
        <v>-0.73893172294912168</v>
      </c>
      <c r="EA95" s="133">
        <f t="shared" ref="EA95:EF95" si="419">EA94</f>
        <v>-0.75666307838094671</v>
      </c>
      <c r="EB95" s="133">
        <f t="shared" si="419"/>
        <v>-0.69813895671507542</v>
      </c>
      <c r="EC95" s="133">
        <f t="shared" si="419"/>
        <v>-0.61169202799861566</v>
      </c>
      <c r="ED95" s="133">
        <f t="shared" si="419"/>
        <v>-0.34879445608504445</v>
      </c>
      <c r="EE95" s="133">
        <f t="shared" si="419"/>
        <v>-0.22708337314075389</v>
      </c>
      <c r="EF95" s="133">
        <f t="shared" si="419"/>
        <v>5.2918857804157726E-2</v>
      </c>
      <c r="EG95" s="133">
        <f>EG94</f>
        <v>0.30791558212915682</v>
      </c>
      <c r="EH95" s="133">
        <f>CN95*0.9</f>
        <v>-0.32050742303170604</v>
      </c>
      <c r="EI95" s="133">
        <f t="shared" ref="EI95:GT95" si="420">CO95*0.9</f>
        <v>-5.9032528224098102E-2</v>
      </c>
      <c r="EJ95" s="133">
        <f t="shared" si="420"/>
        <v>0.12541374888939358</v>
      </c>
      <c r="EK95" s="133">
        <f t="shared" si="420"/>
        <v>0.3349372268086197</v>
      </c>
      <c r="EL95" s="133">
        <f t="shared" si="420"/>
        <v>0.4463436261299813</v>
      </c>
      <c r="EM95" s="133">
        <f t="shared" si="420"/>
        <v>1.2602662514735277</v>
      </c>
      <c r="EN95" s="133">
        <f t="shared" si="420"/>
        <v>4.481611281296308</v>
      </c>
      <c r="EO95" s="133">
        <f t="shared" si="420"/>
        <v>1.9879227079778881</v>
      </c>
      <c r="EP95" s="133">
        <f t="shared" si="420"/>
        <v>1.2894147504623834</v>
      </c>
      <c r="EQ95" s="133">
        <f t="shared" si="420"/>
        <v>0.77581612714969894</v>
      </c>
      <c r="ER95" s="133">
        <f t="shared" si="420"/>
        <v>1.5990040998380908</v>
      </c>
      <c r="ES95" s="133">
        <f t="shared" si="420"/>
        <v>0.63677314217543202</v>
      </c>
      <c r="ET95" s="133">
        <f t="shared" si="420"/>
        <v>0.82116745674803393</v>
      </c>
      <c r="EU95" s="133">
        <f t="shared" si="420"/>
        <v>0.79064658579266922</v>
      </c>
      <c r="EV95" s="133">
        <f t="shared" si="420"/>
        <v>1.0199895025461394</v>
      </c>
      <c r="EW95" s="133">
        <f t="shared" si="420"/>
        <v>0.44156254203682593</v>
      </c>
      <c r="EX95" s="133">
        <f t="shared" si="420"/>
        <v>0.35640003882887805</v>
      </c>
      <c r="EY95" s="133">
        <f t="shared" si="420"/>
        <v>-0.28725351330599669</v>
      </c>
      <c r="EZ95" s="133">
        <f t="shared" si="420"/>
        <v>-0.15875283727478565</v>
      </c>
      <c r="FA95" s="133">
        <f t="shared" si="420"/>
        <v>-0.21781641575676583</v>
      </c>
      <c r="FB95" s="133">
        <f t="shared" si="420"/>
        <v>-0.36166651592377824</v>
      </c>
      <c r="FC95" s="133">
        <f t="shared" si="420"/>
        <v>-0.10102311275582464</v>
      </c>
      <c r="FD95" s="133">
        <f t="shared" si="420"/>
        <v>0.11640757475859713</v>
      </c>
      <c r="FE95" s="133">
        <f t="shared" si="420"/>
        <v>1.3351604480953896</v>
      </c>
      <c r="FF95" s="133">
        <f t="shared" si="420"/>
        <v>1.1950649307224142</v>
      </c>
      <c r="FG95" s="133">
        <f t="shared" si="420"/>
        <v>1.5060408498416029</v>
      </c>
      <c r="FH95" s="133">
        <f t="shared" si="420"/>
        <v>0.87415274423732248</v>
      </c>
      <c r="FI95" s="133">
        <f t="shared" si="420"/>
        <v>1.1434167148518468</v>
      </c>
      <c r="FJ95" s="133">
        <f t="shared" si="420"/>
        <v>0.79763268051488212</v>
      </c>
      <c r="FK95" s="133">
        <f t="shared" si="420"/>
        <v>0.47140824666900621</v>
      </c>
      <c r="FL95" s="133">
        <f t="shared" si="420"/>
        <v>0.40621491219597611</v>
      </c>
      <c r="FM95" s="133">
        <f t="shared" si="420"/>
        <v>0.89589984233684661</v>
      </c>
      <c r="FN95" s="133">
        <f t="shared" si="420"/>
        <v>0.65289833263079577</v>
      </c>
      <c r="FO95" s="133">
        <f t="shared" si="420"/>
        <v>-0.14576689036813892</v>
      </c>
      <c r="FP95" s="133">
        <f t="shared" si="420"/>
        <v>0.92988880078004021</v>
      </c>
      <c r="FQ95" s="133">
        <f t="shared" si="420"/>
        <v>-0.43600246459354858</v>
      </c>
      <c r="FR95" s="133">
        <f t="shared" si="420"/>
        <v>-0.71329601272175847</v>
      </c>
      <c r="FS95" s="133">
        <f t="shared" si="420"/>
        <v>-0.59332087519100896</v>
      </c>
      <c r="FT95" s="133">
        <f t="shared" si="420"/>
        <v>-0.66503855065420958</v>
      </c>
      <c r="FU95" s="133">
        <f t="shared" si="420"/>
        <v>-0.68099677054285201</v>
      </c>
      <c r="FV95" s="133">
        <f t="shared" si="420"/>
        <v>-0.62832506104356789</v>
      </c>
      <c r="FW95" s="133">
        <f t="shared" si="420"/>
        <v>-0.55052282519875406</v>
      </c>
      <c r="FX95" s="133">
        <f t="shared" si="420"/>
        <v>-0.31391501047654002</v>
      </c>
      <c r="FY95" s="133">
        <f t="shared" si="420"/>
        <v>-0.20437503582667851</v>
      </c>
      <c r="FZ95" s="133">
        <f t="shared" si="420"/>
        <v>4.7626972023741956E-2</v>
      </c>
      <c r="GA95" s="133">
        <f t="shared" si="420"/>
        <v>0.27712402391624114</v>
      </c>
      <c r="GB95" s="133">
        <f t="shared" si="420"/>
        <v>-0.28845668072853542</v>
      </c>
      <c r="GC95" s="133">
        <f t="shared" si="420"/>
        <v>-5.312927540168829E-2</v>
      </c>
      <c r="GD95" s="133">
        <f t="shared" si="420"/>
        <v>0.11287237400045422</v>
      </c>
      <c r="GE95" s="133">
        <f t="shared" si="420"/>
        <v>0.30144350412775772</v>
      </c>
      <c r="GF95" s="133">
        <f t="shared" si="420"/>
        <v>0.40170926351698316</v>
      </c>
      <c r="GG95" s="133">
        <f t="shared" si="420"/>
        <v>1.1342396263261749</v>
      </c>
      <c r="GH95" s="133">
        <f t="shared" si="420"/>
        <v>4.0334501531666778</v>
      </c>
      <c r="GI95" s="133">
        <f t="shared" si="420"/>
        <v>1.7891304371800993</v>
      </c>
      <c r="GJ95" s="133">
        <f t="shared" si="420"/>
        <v>1.1604732754161451</v>
      </c>
      <c r="GK95" s="133">
        <f t="shared" si="420"/>
        <v>0.69823451443472906</v>
      </c>
      <c r="GL95" s="133">
        <f t="shared" si="420"/>
        <v>1.4391036898542817</v>
      </c>
      <c r="GM95" s="133">
        <f t="shared" si="420"/>
        <v>0.57309582795788883</v>
      </c>
      <c r="GN95" s="133">
        <f t="shared" si="420"/>
        <v>0.7390507110732305</v>
      </c>
      <c r="GO95" s="133">
        <f t="shared" si="420"/>
        <v>0.7115819272134023</v>
      </c>
      <c r="GP95" s="133">
        <f t="shared" si="420"/>
        <v>0.91799055229152549</v>
      </c>
      <c r="GQ95" s="133">
        <f t="shared" si="420"/>
        <v>0.39740628783314336</v>
      </c>
      <c r="GR95" s="133">
        <f t="shared" si="420"/>
        <v>0.32076003494599026</v>
      </c>
      <c r="GS95" s="133">
        <f t="shared" si="420"/>
        <v>-0.25852816197539702</v>
      </c>
      <c r="GT95" s="133">
        <f t="shared" si="420"/>
        <v>-0.14287755354730708</v>
      </c>
      <c r="GU95" s="133">
        <f t="shared" ref="GU95:HJ95" si="421">FA95*0.9</f>
        <v>-0.19603477418108925</v>
      </c>
      <c r="GV95" s="133">
        <f t="shared" si="421"/>
        <v>-0.32549986433140043</v>
      </c>
      <c r="GW95" s="133">
        <f t="shared" si="421"/>
        <v>-9.0920801480242175E-2</v>
      </c>
      <c r="GX95" s="133">
        <f t="shared" si="421"/>
        <v>0.10476681728273742</v>
      </c>
      <c r="GY95" s="133">
        <f t="shared" si="421"/>
        <v>1.2016444032858506</v>
      </c>
      <c r="GZ95" s="133">
        <f t="shared" si="421"/>
        <v>1.0755584376501728</v>
      </c>
      <c r="HA95" s="133">
        <f t="shared" si="421"/>
        <v>1.3554367648574426</v>
      </c>
      <c r="HB95" s="133">
        <f t="shared" si="421"/>
        <v>0.78673746981359027</v>
      </c>
      <c r="HC95" s="133">
        <f t="shared" si="421"/>
        <v>1.0290750433666622</v>
      </c>
      <c r="HD95" s="133">
        <f t="shared" si="421"/>
        <v>0.71786941246339397</v>
      </c>
      <c r="HE95" s="133">
        <f t="shared" si="421"/>
        <v>0.4242674220021056</v>
      </c>
      <c r="HF95" s="133">
        <f t="shared" si="421"/>
        <v>0.36559342097637848</v>
      </c>
      <c r="HG95" s="133">
        <f t="shared" si="421"/>
        <v>0.80630985810316191</v>
      </c>
      <c r="HH95" s="133">
        <f t="shared" si="421"/>
        <v>0.5876084993677162</v>
      </c>
      <c r="HI95" s="133">
        <f t="shared" si="421"/>
        <v>-0.13119020133132503</v>
      </c>
      <c r="HJ95" s="133">
        <f t="shared" si="421"/>
        <v>0.83689992070203623</v>
      </c>
    </row>
    <row r="96" spans="2:218" ht="13.3" thickBot="1" x14ac:dyDescent="0.4">
      <c r="B96" s="24" t="s">
        <v>386</v>
      </c>
      <c r="C96" s="157">
        <f t="shared" ref="C96:AH96" si="422">C60</f>
        <v>0</v>
      </c>
      <c r="D96" s="157">
        <f t="shared" si="422"/>
        <v>0</v>
      </c>
      <c r="E96" s="157">
        <f t="shared" si="422"/>
        <v>0</v>
      </c>
      <c r="F96" s="157">
        <f t="shared" si="422"/>
        <v>0</v>
      </c>
      <c r="G96" s="157">
        <f t="shared" si="422"/>
        <v>0</v>
      </c>
      <c r="H96" s="157">
        <f t="shared" si="422"/>
        <v>0</v>
      </c>
      <c r="I96" s="157">
        <f t="shared" si="422"/>
        <v>0</v>
      </c>
      <c r="J96" s="157">
        <f t="shared" si="422"/>
        <v>0.06</v>
      </c>
      <c r="K96" s="157">
        <f t="shared" si="422"/>
        <v>0.06</v>
      </c>
      <c r="L96" s="157">
        <f t="shared" si="422"/>
        <v>0.19</v>
      </c>
      <c r="M96" s="157">
        <f t="shared" si="422"/>
        <v>0.28000000000000003</v>
      </c>
      <c r="N96" s="157">
        <f t="shared" si="422"/>
        <v>0.3</v>
      </c>
      <c r="O96" s="157">
        <f t="shared" si="422"/>
        <v>0.45</v>
      </c>
      <c r="P96" s="157">
        <f t="shared" si="422"/>
        <v>0.96</v>
      </c>
      <c r="Q96" s="157">
        <f t="shared" si="422"/>
        <v>0.8</v>
      </c>
      <c r="R96" s="157">
        <f t="shared" si="422"/>
        <v>2.66</v>
      </c>
      <c r="S96" s="157">
        <f t="shared" si="422"/>
        <v>8.68</v>
      </c>
      <c r="T96" s="157">
        <f t="shared" si="422"/>
        <v>17.89</v>
      </c>
      <c r="U96" s="157">
        <f t="shared" si="422"/>
        <v>14.06</v>
      </c>
      <c r="V96" s="157">
        <f t="shared" si="422"/>
        <v>9.4</v>
      </c>
      <c r="W96" s="157">
        <f t="shared" si="422"/>
        <v>4.95</v>
      </c>
      <c r="X96" s="157">
        <f t="shared" si="422"/>
        <v>3.39</v>
      </c>
      <c r="Y96" s="157">
        <f t="shared" si="422"/>
        <v>2.5099999999999998</v>
      </c>
      <c r="Z96" s="157">
        <f t="shared" si="422"/>
        <v>4.47</v>
      </c>
      <c r="AA96" s="157">
        <f t="shared" si="422"/>
        <v>5.72</v>
      </c>
      <c r="AB96" s="157">
        <f t="shared" si="422"/>
        <v>4.9800000000000004</v>
      </c>
      <c r="AC96" s="157">
        <f t="shared" si="422"/>
        <v>4.8499999999999996</v>
      </c>
      <c r="AD96" s="157">
        <f t="shared" si="422"/>
        <v>5.09</v>
      </c>
      <c r="AE96" s="157">
        <f t="shared" si="422"/>
        <v>5.16</v>
      </c>
      <c r="AF96" s="157">
        <f t="shared" si="422"/>
        <v>6.58</v>
      </c>
      <c r="AG96" s="157">
        <f t="shared" si="422"/>
        <v>9.2200000000000006</v>
      </c>
      <c r="AH96" s="157">
        <f t="shared" si="422"/>
        <v>11.14</v>
      </c>
      <c r="AI96" s="157">
        <f t="shared" ref="AI96:BN96" si="423">AI60</f>
        <v>12.46</v>
      </c>
      <c r="AJ96" s="157">
        <f t="shared" si="423"/>
        <v>10.69</v>
      </c>
      <c r="AK96" s="157">
        <f t="shared" si="423"/>
        <v>12.5</v>
      </c>
      <c r="AL96" s="157">
        <f t="shared" si="423"/>
        <v>13.57</v>
      </c>
      <c r="AM96" s="157">
        <f t="shared" si="423"/>
        <v>19.78</v>
      </c>
      <c r="AN96" s="157">
        <f t="shared" si="423"/>
        <v>30.4</v>
      </c>
      <c r="AO96" s="157">
        <f t="shared" si="423"/>
        <v>92.5</v>
      </c>
      <c r="AP96" s="157">
        <f t="shared" si="423"/>
        <v>144.54</v>
      </c>
      <c r="AQ96" s="157">
        <f t="shared" si="423"/>
        <v>132.30000000000001</v>
      </c>
      <c r="AR96" s="157">
        <f t="shared" si="423"/>
        <v>94.65</v>
      </c>
      <c r="AS96" s="157">
        <f t="shared" si="423"/>
        <v>98.7</v>
      </c>
      <c r="AT96" s="157">
        <f t="shared" si="423"/>
        <v>124.84</v>
      </c>
      <c r="AU96" s="157">
        <f t="shared" si="423"/>
        <v>127.01</v>
      </c>
      <c r="AV96" s="157">
        <f t="shared" si="423"/>
        <v>216</v>
      </c>
      <c r="AW96" s="157">
        <f t="shared" si="423"/>
        <v>1014.1</v>
      </c>
      <c r="AX96" s="157">
        <f t="shared" si="423"/>
        <v>715</v>
      </c>
      <c r="AY96" s="157">
        <f t="shared" si="423"/>
        <v>800</v>
      </c>
      <c r="AZ96" s="157">
        <f t="shared" si="423"/>
        <v>585.21</v>
      </c>
      <c r="BA96" s="157">
        <f t="shared" si="423"/>
        <v>499.6</v>
      </c>
      <c r="BB96" s="157">
        <f t="shared" si="423"/>
        <v>438.8</v>
      </c>
      <c r="BC96" s="157">
        <f t="shared" si="423"/>
        <v>621.29999999999995</v>
      </c>
      <c r="BD96" s="157">
        <f t="shared" si="423"/>
        <v>599.99</v>
      </c>
      <c r="BE96" s="157">
        <f t="shared" si="423"/>
        <v>585.5</v>
      </c>
      <c r="BF96" s="157">
        <f t="shared" si="423"/>
        <v>506.61</v>
      </c>
      <c r="BG96" s="157">
        <f t="shared" si="423"/>
        <v>400.39</v>
      </c>
      <c r="BH96" s="157">
        <f t="shared" si="423"/>
        <v>345.3</v>
      </c>
      <c r="BI96" s="157">
        <f t="shared" si="423"/>
        <v>375.59</v>
      </c>
      <c r="BJ96" s="157">
        <f t="shared" si="423"/>
        <v>313.39999999999998</v>
      </c>
      <c r="BK96" s="157">
        <f t="shared" si="423"/>
        <v>236.2</v>
      </c>
      <c r="BL96" s="157">
        <f t="shared" si="423"/>
        <v>252.11</v>
      </c>
      <c r="BM96" s="157">
        <f t="shared" si="423"/>
        <v>242.34</v>
      </c>
      <c r="BN96" s="157">
        <f t="shared" si="423"/>
        <v>225.2</v>
      </c>
      <c r="BO96" s="157">
        <f t="shared" ref="BO96:CT96" si="424">BO60</f>
        <v>236.44</v>
      </c>
      <c r="BP96" s="157">
        <f t="shared" si="424"/>
        <v>251.21</v>
      </c>
      <c r="BQ96" s="157">
        <f t="shared" si="424"/>
        <v>288.45</v>
      </c>
      <c r="BR96" s="157">
        <f t="shared" si="424"/>
        <v>229.63</v>
      </c>
      <c r="BS96" s="157">
        <f t="shared" si="424"/>
        <v>239.14</v>
      </c>
      <c r="BT96" s="157">
        <f t="shared" si="424"/>
        <v>304.79000000000002</v>
      </c>
      <c r="BU96" s="157">
        <f t="shared" si="424"/>
        <v>358</v>
      </c>
      <c r="BV96" s="157">
        <f t="shared" si="424"/>
        <v>428.23</v>
      </c>
      <c r="BW96" s="157">
        <f t="shared" si="424"/>
        <v>378.18</v>
      </c>
      <c r="BX96" s="157">
        <f t="shared" si="424"/>
        <v>431.89</v>
      </c>
      <c r="BY96" s="157">
        <f t="shared" si="424"/>
        <v>415.83</v>
      </c>
      <c r="BZ96" s="157">
        <f t="shared" si="424"/>
        <v>449.98</v>
      </c>
      <c r="CA96" s="157">
        <f t="shared" si="424"/>
        <v>526.64</v>
      </c>
      <c r="CB96" s="157">
        <f t="shared" si="424"/>
        <v>651.85</v>
      </c>
      <c r="CC96" s="157">
        <f t="shared" si="424"/>
        <v>654.67999999999995</v>
      </c>
      <c r="CD96" s="157">
        <f t="shared" si="424"/>
        <v>571.5</v>
      </c>
      <c r="CE96" s="157">
        <f t="shared" si="424"/>
        <v>603.85</v>
      </c>
      <c r="CF96" s="157">
        <f t="shared" si="424"/>
        <v>685.91</v>
      </c>
      <c r="CG96" s="157">
        <f t="shared" si="424"/>
        <v>727.31</v>
      </c>
      <c r="CH96" s="157">
        <f t="shared" si="424"/>
        <v>958.12</v>
      </c>
      <c r="CI96" s="157">
        <f t="shared" si="424"/>
        <v>912.19</v>
      </c>
      <c r="CJ96" s="157">
        <f t="shared" si="424"/>
        <v>1150.3699999999999</v>
      </c>
      <c r="CK96" s="157">
        <f t="shared" si="424"/>
        <v>1034.74</v>
      </c>
      <c r="CL96" s="157">
        <f t="shared" si="424"/>
        <v>1333</v>
      </c>
      <c r="CM96" s="157">
        <f t="shared" si="424"/>
        <v>2290.02</v>
      </c>
      <c r="CN96" s="157">
        <f t="shared" si="424"/>
        <v>2558.3000000000002</v>
      </c>
      <c r="CO96" s="157">
        <f t="shared" si="424"/>
        <v>2784.8</v>
      </c>
      <c r="CP96" s="157">
        <f t="shared" si="424"/>
        <v>4582.5200000000004</v>
      </c>
      <c r="CQ96" s="157">
        <f t="shared" si="424"/>
        <v>4164.2700000000004</v>
      </c>
      <c r="CR96" s="157">
        <f t="shared" si="424"/>
        <v>6136.49</v>
      </c>
      <c r="CS96" s="157">
        <f t="shared" si="424"/>
        <v>9919</v>
      </c>
      <c r="CT96" s="157">
        <f t="shared" si="424"/>
        <v>14214.01</v>
      </c>
      <c r="CU96" s="157">
        <f t="shared" ref="CU96:DZ96" si="425">CU60</f>
        <v>10082.52</v>
      </c>
      <c r="CV96" s="157">
        <f t="shared" si="425"/>
        <v>10319.459999999999</v>
      </c>
      <c r="CW96" s="157">
        <f t="shared" si="425"/>
        <v>7950.61</v>
      </c>
      <c r="CX96" s="157">
        <f t="shared" si="425"/>
        <v>8928.5499999999993</v>
      </c>
      <c r="CY96" s="157">
        <f t="shared" si="425"/>
        <v>7386.72</v>
      </c>
      <c r="CZ96" s="157">
        <f t="shared" si="425"/>
        <v>6223.28</v>
      </c>
      <c r="DA96" s="157">
        <f t="shared" si="425"/>
        <v>8220.91</v>
      </c>
      <c r="DB96" s="157">
        <f t="shared" si="425"/>
        <v>7078.19</v>
      </c>
      <c r="DC96" s="157">
        <f t="shared" si="425"/>
        <v>6686.08</v>
      </c>
      <c r="DD96" s="157">
        <f t="shared" si="425"/>
        <v>6301.61</v>
      </c>
      <c r="DE96" s="157">
        <f t="shared" si="425"/>
        <v>4278.7700000000004</v>
      </c>
      <c r="DF96" s="157">
        <f t="shared" si="425"/>
        <v>3770.36</v>
      </c>
      <c r="DG96" s="157">
        <f t="shared" si="425"/>
        <v>3448.58</v>
      </c>
      <c r="DH96" s="157">
        <f t="shared" si="425"/>
        <v>3833.23</v>
      </c>
      <c r="DI96" s="157">
        <f t="shared" si="425"/>
        <v>4115.55</v>
      </c>
      <c r="DJ96" s="157">
        <f t="shared" si="425"/>
        <v>5301.29</v>
      </c>
      <c r="DK96" s="157">
        <f t="shared" si="425"/>
        <v>8719.8799999999992</v>
      </c>
      <c r="DL96" s="157">
        <f t="shared" si="425"/>
        <v>11132.85</v>
      </c>
      <c r="DM96" s="157">
        <f t="shared" si="425"/>
        <v>9589.1299999999992</v>
      </c>
      <c r="DN96" s="157">
        <f t="shared" si="425"/>
        <v>9484.5499999999993</v>
      </c>
      <c r="DO96" s="157">
        <f t="shared" si="425"/>
        <v>8225</v>
      </c>
      <c r="DP96" s="157">
        <f t="shared" si="425"/>
        <v>9218.76</v>
      </c>
      <c r="DQ96" s="157">
        <f t="shared" si="425"/>
        <v>7523.83</v>
      </c>
      <c r="DR96" s="157">
        <f t="shared" si="425"/>
        <v>7219.6</v>
      </c>
      <c r="DS96" s="157">
        <f t="shared" si="425"/>
        <v>9279.81</v>
      </c>
      <c r="DT96" s="157">
        <f t="shared" si="425"/>
        <v>8712.35</v>
      </c>
      <c r="DU96" s="157">
        <f t="shared" si="425"/>
        <v>5885.41</v>
      </c>
      <c r="DV96" s="157">
        <f t="shared" si="425"/>
        <v>7765.33</v>
      </c>
      <c r="DW96" s="157">
        <f t="shared" si="425"/>
        <v>9569.2099999999991</v>
      </c>
      <c r="DX96" s="157">
        <f t="shared" si="425"/>
        <v>9004.23</v>
      </c>
      <c r="DY96" s="157">
        <f t="shared" si="425"/>
        <v>11114.93</v>
      </c>
      <c r="DZ96" s="157">
        <f t="shared" si="425"/>
        <v>11481.64</v>
      </c>
      <c r="EA96" s="157">
        <f t="shared" ref="EA96:EG96" si="426">EA60</f>
        <v>10692.33</v>
      </c>
      <c r="EB96" s="157">
        <f t="shared" si="426"/>
        <v>13289</v>
      </c>
      <c r="EC96" s="157">
        <f t="shared" si="426"/>
        <v>17138.87</v>
      </c>
      <c r="ED96" s="157">
        <f t="shared" si="426"/>
        <v>28856.59</v>
      </c>
      <c r="EE96" s="157">
        <f t="shared" si="426"/>
        <v>34314.26</v>
      </c>
      <c r="EF96" s="157">
        <f t="shared" si="426"/>
        <v>46800.42</v>
      </c>
      <c r="EG96" s="157">
        <f t="shared" si="426"/>
        <v>58730.13</v>
      </c>
      <c r="EH96" s="157">
        <f t="shared" ref="EH96:FM96" si="427">EH93*(1+EH95)</f>
        <v>25566.057520733852</v>
      </c>
      <c r="EI96" s="157">
        <f t="shared" si="427"/>
        <v>32122.730460777635</v>
      </c>
      <c r="EJ96" s="157">
        <f t="shared" si="427"/>
        <v>42640.472747772845</v>
      </c>
      <c r="EK96" s="157">
        <f t="shared" si="427"/>
        <v>45890.680603974593</v>
      </c>
      <c r="EL96" s="157">
        <f t="shared" si="427"/>
        <v>49896.370149290698</v>
      </c>
      <c r="EM96" s="157">
        <f t="shared" si="427"/>
        <v>86540.842065086414</v>
      </c>
      <c r="EN96" s="157">
        <f t="shared" si="427"/>
        <v>190421.60722878147</v>
      </c>
      <c r="EO96" s="157">
        <f t="shared" si="427"/>
        <v>115195.68301862972</v>
      </c>
      <c r="EP96" s="157">
        <f t="shared" si="427"/>
        <v>80081.636869011578</v>
      </c>
      <c r="EQ96" s="157">
        <f t="shared" si="427"/>
        <v>62334.353721247644</v>
      </c>
      <c r="ER96" s="157">
        <f t="shared" si="427"/>
        <v>125141.88033657518</v>
      </c>
      <c r="ES96" s="157">
        <f t="shared" si="427"/>
        <v>57836.988295028335</v>
      </c>
      <c r="ET96" s="157">
        <f t="shared" si="427"/>
        <v>71418.907437871865</v>
      </c>
      <c r="EU96" s="157">
        <f t="shared" si="427"/>
        <v>63709.315431656418</v>
      </c>
      <c r="EV96" s="157">
        <f t="shared" si="427"/>
        <v>79759.649392152511</v>
      </c>
      <c r="EW96" s="157">
        <f t="shared" si="427"/>
        <v>51640.757785384434</v>
      </c>
      <c r="EX96" s="157">
        <f t="shared" si="427"/>
        <v>48758.519356732279</v>
      </c>
      <c r="EY96" s="157">
        <f t="shared" si="427"/>
        <v>28433.562139747075</v>
      </c>
      <c r="EZ96" s="157">
        <f t="shared" si="427"/>
        <v>30446.52244746219</v>
      </c>
      <c r="FA96" s="157">
        <f t="shared" si="427"/>
        <v>31416.026679106901</v>
      </c>
      <c r="FB96" s="157">
        <f t="shared" si="427"/>
        <v>23259.662884084628</v>
      </c>
      <c r="FC96" s="157">
        <f t="shared" si="427"/>
        <v>32869.689362107711</v>
      </c>
      <c r="FD96" s="157">
        <f t="shared" si="427"/>
        <v>55989.308147348609</v>
      </c>
      <c r="FE96" s="157">
        <f t="shared" si="427"/>
        <v>85939.976610283498</v>
      </c>
      <c r="FF96" s="157">
        <f t="shared" si="427"/>
        <v>89648.315169296111</v>
      </c>
      <c r="FG96" s="157">
        <f t="shared" si="427"/>
        <v>92850.599875774395</v>
      </c>
      <c r="FH96" s="157">
        <f t="shared" si="427"/>
        <v>77057.146952541225</v>
      </c>
      <c r="FI96" s="157">
        <f t="shared" si="427"/>
        <v>79948.772461201705</v>
      </c>
      <c r="FJ96" s="157">
        <f t="shared" si="427"/>
        <v>67279.180449919266</v>
      </c>
      <c r="FK96" s="157">
        <f t="shared" si="427"/>
        <v>61110.662885520745</v>
      </c>
      <c r="FL96" s="157">
        <f t="shared" si="427"/>
        <v>52981.704632310502</v>
      </c>
      <c r="FM96" s="157">
        <f t="shared" si="427"/>
        <v>79266.354761668132</v>
      </c>
      <c r="FN96" s="157">
        <f t="shared" ref="FN96:GS96" si="428">FN93*(1+FN95)</f>
        <v>62691.053441911434</v>
      </c>
      <c r="FO96" s="157">
        <f t="shared" si="428"/>
        <v>32508.619902314404</v>
      </c>
      <c r="FP96" s="157">
        <f t="shared" si="428"/>
        <v>90439.92565839173</v>
      </c>
      <c r="FQ96" s="157">
        <f t="shared" si="428"/>
        <v>181486.76405793877</v>
      </c>
      <c r="FR96" s="157">
        <f t="shared" si="428"/>
        <v>102199.73268236411</v>
      </c>
      <c r="FS96" s="157">
        <f t="shared" si="428"/>
        <v>131295.95994371799</v>
      </c>
      <c r="FT96" s="157">
        <f t="shared" si="428"/>
        <v>119795.74959631708</v>
      </c>
      <c r="FU96" s="157">
        <f t="shared" si="428"/>
        <v>103329.42591544148</v>
      </c>
      <c r="FV96" s="157">
        <f t="shared" si="428"/>
        <v>120591.8031993339</v>
      </c>
      <c r="FW96" s="157">
        <f t="shared" si="428"/>
        <v>161550.19470627629</v>
      </c>
      <c r="FX96" s="157">
        <f t="shared" si="428"/>
        <v>223335.86012775474</v>
      </c>
      <c r="FY96" s="157">
        <f t="shared" si="428"/>
        <v>286901.69322266796</v>
      </c>
      <c r="FZ96" s="157">
        <f t="shared" si="428"/>
        <v>342145.6235565705</v>
      </c>
      <c r="GA96" s="157">
        <f t="shared" si="428"/>
        <v>417791.96797316201</v>
      </c>
      <c r="GB96" s="157">
        <f t="shared" si="428"/>
        <v>318684.70849669038</v>
      </c>
      <c r="GC96" s="157">
        <f t="shared" si="428"/>
        <v>310735.98316627042</v>
      </c>
      <c r="GD96" s="157">
        <f t="shared" si="428"/>
        <v>404564.2595799134</v>
      </c>
      <c r="GE96" s="157">
        <f t="shared" si="428"/>
        <v>428493.65040460747</v>
      </c>
      <c r="GF96" s="157">
        <f t="shared" si="428"/>
        <v>511230.96809061797</v>
      </c>
      <c r="GG96" s="157">
        <f t="shared" si="428"/>
        <v>704982.32372255146</v>
      </c>
      <c r="GH96" s="157">
        <f t="shared" si="428"/>
        <v>1665403.8418074471</v>
      </c>
      <c r="GI96" s="157">
        <f t="shared" si="428"/>
        <v>1022259.1836008568</v>
      </c>
      <c r="GJ96" s="157">
        <f t="shared" si="428"/>
        <v>717158.76375967625</v>
      </c>
      <c r="GK96" s="157">
        <f t="shared" si="428"/>
        <v>624455.26997141447</v>
      </c>
      <c r="GL96" s="157">
        <f t="shared" si="428"/>
        <v>812282.46659440559</v>
      </c>
      <c r="GM96" s="157">
        <f t="shared" si="428"/>
        <v>524744.51836987899</v>
      </c>
      <c r="GN96" s="157">
        <f t="shared" si="428"/>
        <v>794201.60846446978</v>
      </c>
      <c r="GO96" s="157">
        <f t="shared" si="428"/>
        <v>572731.93367264303</v>
      </c>
      <c r="GP96" s="157">
        <f t="shared" si="428"/>
        <v>710942.7205855411</v>
      </c>
      <c r="GQ96" s="157">
        <f t="shared" si="428"/>
        <v>469117.18877730361</v>
      </c>
      <c r="GR96" s="157">
        <f t="shared" si="428"/>
        <v>491151.95956488332</v>
      </c>
      <c r="GS96" s="157">
        <f t="shared" si="428"/>
        <v>249721.57603567067</v>
      </c>
      <c r="GT96" s="157">
        <f t="shared" ref="GT96:HJ96" si="429">GT93*(1+GT95)</f>
        <v>289145.41608040954</v>
      </c>
      <c r="GU96" s="157">
        <f t="shared" si="429"/>
        <v>300429.32015932474</v>
      </c>
      <c r="GV96" s="157">
        <f t="shared" si="429"/>
        <v>228273.20872064601</v>
      </c>
      <c r="GW96" s="157">
        <f t="shared" si="429"/>
        <v>340804.33181229501</v>
      </c>
      <c r="GX96" s="157">
        <f t="shared" si="429"/>
        <v>375094.59553000919</v>
      </c>
      <c r="GY96" s="157">
        <f t="shared" si="429"/>
        <v>748732.39537805866</v>
      </c>
      <c r="GZ96" s="157">
        <f t="shared" si="429"/>
        <v>966347.3215398161</v>
      </c>
      <c r="HA96" s="157">
        <f t="shared" si="429"/>
        <v>803524.71854477481</v>
      </c>
      <c r="HB96" s="157">
        <f t="shared" si="429"/>
        <v>675174.84572101315</v>
      </c>
      <c r="HC96" s="157">
        <f t="shared" si="429"/>
        <v>694412.97567589616</v>
      </c>
      <c r="HD96" s="157">
        <f t="shared" si="429"/>
        <v>651233.10594928858</v>
      </c>
      <c r="HE96" s="157">
        <f t="shared" si="429"/>
        <v>488991.18746571022</v>
      </c>
      <c r="HF96" s="157">
        <f t="shared" si="429"/>
        <v>469608.94789353124</v>
      </c>
      <c r="HG96" s="157">
        <f t="shared" si="429"/>
        <v>688069.22626833513</v>
      </c>
      <c r="HH96" s="157">
        <f t="shared" si="429"/>
        <v>547702.72629308782</v>
      </c>
      <c r="HI96" s="157">
        <f t="shared" si="429"/>
        <v>332009.13224325038</v>
      </c>
      <c r="HJ96" s="157">
        <f t="shared" si="429"/>
        <v>635728.06880331587</v>
      </c>
    </row>
    <row r="97" spans="2:3" x14ac:dyDescent="0.35">
      <c r="B97" s="134" t="s">
        <v>157</v>
      </c>
    </row>
    <row r="99" spans="2:3" x14ac:dyDescent="0.35">
      <c r="C99" s="2" t="s">
        <v>161</v>
      </c>
    </row>
    <row r="100" spans="2:3" x14ac:dyDescent="0.35">
      <c r="C100" s="3"/>
    </row>
    <row r="101" spans="2:3" x14ac:dyDescent="0.35">
      <c r="C101" s="3"/>
    </row>
    <row r="102" spans="2:3" x14ac:dyDescent="0.35">
      <c r="C102" s="3"/>
    </row>
    <row r="103" spans="2:3" x14ac:dyDescent="0.35">
      <c r="C103" s="3"/>
    </row>
    <row r="104" spans="2:3" x14ac:dyDescent="0.35">
      <c r="C104" s="3"/>
    </row>
    <row r="105" spans="2:3" x14ac:dyDescent="0.35">
      <c r="C105" s="3"/>
    </row>
    <row r="106" spans="2:3" x14ac:dyDescent="0.35">
      <c r="C106" s="3"/>
    </row>
    <row r="107" spans="2:3" x14ac:dyDescent="0.35">
      <c r="C107" s="3"/>
    </row>
    <row r="108" spans="2:3" x14ac:dyDescent="0.35">
      <c r="C108" s="3"/>
    </row>
    <row r="109" spans="2:3" x14ac:dyDescent="0.35">
      <c r="C109" s="3"/>
    </row>
    <row r="110" spans="2:3" x14ac:dyDescent="0.35">
      <c r="C110" s="3"/>
    </row>
    <row r="111" spans="2:3" x14ac:dyDescent="0.35">
      <c r="C111" s="3"/>
    </row>
    <row r="112" spans="2:3" x14ac:dyDescent="0.35">
      <c r="C112" s="3"/>
    </row>
    <row r="113" spans="3:9" x14ac:dyDescent="0.35">
      <c r="C113" s="3"/>
    </row>
    <row r="114" spans="3:9" x14ac:dyDescent="0.35">
      <c r="C114" s="3"/>
    </row>
    <row r="115" spans="3:9" x14ac:dyDescent="0.35">
      <c r="C115" s="3"/>
    </row>
    <row r="116" spans="3:9" x14ac:dyDescent="0.35">
      <c r="C116" s="3"/>
    </row>
    <row r="117" spans="3:9" x14ac:dyDescent="0.35">
      <c r="C117" s="3"/>
    </row>
    <row r="118" spans="3:9" x14ac:dyDescent="0.35">
      <c r="C118" s="3"/>
    </row>
    <row r="119" spans="3:9" x14ac:dyDescent="0.35">
      <c r="C119" s="3"/>
    </row>
    <row r="120" spans="3:9" x14ac:dyDescent="0.35">
      <c r="C120" s="3"/>
    </row>
    <row r="121" spans="3:9" x14ac:dyDescent="0.35">
      <c r="C121" s="3"/>
    </row>
    <row r="122" spans="3:9" x14ac:dyDescent="0.35">
      <c r="C122" s="3"/>
    </row>
    <row r="123" spans="3:9" x14ac:dyDescent="0.35">
      <c r="C123" s="3"/>
    </row>
    <row r="124" spans="3:9" x14ac:dyDescent="0.35">
      <c r="C124" s="3"/>
    </row>
    <row r="125" spans="3:9" x14ac:dyDescent="0.35">
      <c r="C125" s="3"/>
    </row>
    <row r="128" spans="3:9" x14ac:dyDescent="0.35">
      <c r="I128" s="29" t="s">
        <v>159</v>
      </c>
    </row>
  </sheetData>
  <sortState xmlns:xlrd2="http://schemas.microsoft.com/office/spreadsheetml/2017/richdata2" columnSort="1" ref="C20:ES26">
    <sortCondition ref="C20:ES20"/>
  </sortState>
  <pageMargins left="0.7" right="0.7" top="0.75" bottom="0.75" header="0.3" footer="0.3"/>
  <pageSetup paperSize="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0507-6E58-4D0C-9993-A9B9C055E854}">
  <dimension ref="B2:AD59"/>
  <sheetViews>
    <sheetView showGridLines="0" zoomScaleNormal="100" workbookViewId="0">
      <pane xSplit="2" topLeftCell="C1" activePane="topRight" state="frozen"/>
      <selection activeCell="B4" sqref="B4"/>
      <selection pane="topRight" activeCell="C1" sqref="C1"/>
    </sheetView>
  </sheetViews>
  <sheetFormatPr defaultRowHeight="12.9" x14ac:dyDescent="0.35"/>
  <cols>
    <col min="1" max="1" width="3.07421875" style="3" customWidth="1"/>
    <col min="2" max="2" width="48.765625" style="3" customWidth="1"/>
    <col min="3" max="22" width="11.15234375" style="29" customWidth="1"/>
    <col min="23" max="30" width="11.15234375" style="3" customWidth="1"/>
    <col min="31" max="16384" width="9.23046875" style="3"/>
  </cols>
  <sheetData>
    <row r="2" spans="2:30" ht="15.9" x14ac:dyDescent="0.45">
      <c r="B2" s="1" t="s">
        <v>407</v>
      </c>
    </row>
    <row r="3" spans="2:30" x14ac:dyDescent="0.35">
      <c r="B3" s="6" t="s">
        <v>0</v>
      </c>
      <c r="C3" s="249"/>
    </row>
    <row r="4" spans="2:30" x14ac:dyDescent="0.35">
      <c r="B4" s="259" t="s">
        <v>408</v>
      </c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</row>
    <row r="6" spans="2:30" x14ac:dyDescent="0.35">
      <c r="B6" s="5" t="s">
        <v>207</v>
      </c>
      <c r="C6" s="30"/>
      <c r="D6" s="30"/>
      <c r="E6" s="30"/>
      <c r="F6" s="30"/>
      <c r="G6" s="30"/>
      <c r="H6" s="30"/>
      <c r="I6" s="30"/>
    </row>
    <row r="8" spans="2:30" ht="13.3" thickBot="1" x14ac:dyDescent="0.4">
      <c r="B8" s="21" t="s">
        <v>211</v>
      </c>
    </row>
    <row r="9" spans="2:30" x14ac:dyDescent="0.35">
      <c r="B9" s="44" t="s">
        <v>17</v>
      </c>
      <c r="C9" s="160" t="s">
        <v>326</v>
      </c>
      <c r="D9" s="159">
        <v>2021</v>
      </c>
      <c r="E9" s="159">
        <v>2022</v>
      </c>
      <c r="F9" s="159">
        <v>2023</v>
      </c>
      <c r="G9" s="159">
        <v>2024</v>
      </c>
      <c r="H9" s="159">
        <v>2025</v>
      </c>
      <c r="I9" s="159">
        <v>2026</v>
      </c>
    </row>
    <row r="10" spans="2:30" x14ac:dyDescent="0.35">
      <c r="B10" s="28" t="s">
        <v>164</v>
      </c>
      <c r="C10" s="161">
        <v>44196</v>
      </c>
      <c r="D10" s="91">
        <v>44561</v>
      </c>
      <c r="E10" s="91">
        <v>44926</v>
      </c>
      <c r="F10" s="91">
        <v>45291</v>
      </c>
      <c r="G10" s="91">
        <v>45657</v>
      </c>
      <c r="H10" s="91">
        <v>46022</v>
      </c>
      <c r="I10" s="91">
        <v>46387</v>
      </c>
    </row>
    <row r="11" spans="2:30" x14ac:dyDescent="0.35">
      <c r="B11" s="12" t="s">
        <v>208</v>
      </c>
      <c r="C11" s="162">
        <f>'IS (Annual)'!C11</f>
        <v>1040.2460000000001</v>
      </c>
      <c r="D11" s="138">
        <f t="shared" ref="D11:I11" si="0">SUMIFS($31:$31,$23:$23,"&gt;="&amp;DATE(YEAR(D$10),1,1),$23:$23,"&lt;="&amp;D$10)</f>
        <v>4039.4685904516127</v>
      </c>
      <c r="E11" s="138">
        <f t="shared" si="0"/>
        <v>2218.5929091698176</v>
      </c>
      <c r="F11" s="138">
        <f t="shared" si="0"/>
        <v>3168.2845642867446</v>
      </c>
      <c r="G11" s="138">
        <f t="shared" si="0"/>
        <v>6830.08360428386</v>
      </c>
      <c r="H11" s="138">
        <f t="shared" si="0"/>
        <v>16457.295057378269</v>
      </c>
      <c r="I11" s="138">
        <f t="shared" si="0"/>
        <v>7797.0670563671174</v>
      </c>
    </row>
    <row r="12" spans="2:30" x14ac:dyDescent="0.35">
      <c r="B12" s="10" t="s">
        <v>210</v>
      </c>
      <c r="C12" s="163">
        <f>'IS (Annual)'!C12</f>
        <v>55.927999999999997</v>
      </c>
      <c r="D12" s="85">
        <f t="shared" ref="D12:I12" si="1">SUMIFS($32:$32,$23:$23,"&gt;="&amp;DATE(YEAR(D$10),1,1),$23:$23,"&lt;="&amp;D$10)</f>
        <v>85.604768310980518</v>
      </c>
      <c r="E12" s="85">
        <f t="shared" si="1"/>
        <v>82.913039309060139</v>
      </c>
      <c r="F12" s="85">
        <f t="shared" si="1"/>
        <v>86.328331252696046</v>
      </c>
      <c r="G12" s="85">
        <f t="shared" si="1"/>
        <v>748.9962329214768</v>
      </c>
      <c r="H12" s="85">
        <f t="shared" si="1"/>
        <v>763.80439416163631</v>
      </c>
      <c r="I12" s="85">
        <f t="shared" si="1"/>
        <v>778.76241839969748</v>
      </c>
    </row>
    <row r="13" spans="2:30" x14ac:dyDescent="0.35">
      <c r="B13" s="7" t="s">
        <v>209</v>
      </c>
      <c r="C13" s="162">
        <f>SUM(C11:C12)</f>
        <v>1096.174</v>
      </c>
      <c r="D13" s="138">
        <f>SUM(D11:D12)</f>
        <v>4125.0733587625937</v>
      </c>
      <c r="E13" s="138">
        <f t="shared" ref="E13:I13" si="2">SUM(E11:E12)</f>
        <v>2301.5059484788776</v>
      </c>
      <c r="F13" s="138">
        <f t="shared" si="2"/>
        <v>3254.6128955394406</v>
      </c>
      <c r="G13" s="138">
        <f t="shared" si="2"/>
        <v>7579.0798372053368</v>
      </c>
      <c r="H13" s="138">
        <f t="shared" si="2"/>
        <v>17221.099451539907</v>
      </c>
      <c r="I13" s="138">
        <f t="shared" si="2"/>
        <v>8575.8294747668151</v>
      </c>
    </row>
    <row r="14" spans="2:30" x14ac:dyDescent="0.35">
      <c r="B14" s="3" t="s">
        <v>15</v>
      </c>
      <c r="C14" s="164">
        <f>'IS (Annual)'!C20</f>
        <v>44.993000000000002</v>
      </c>
      <c r="D14" s="85">
        <f t="shared" ref="D14:I14" si="3">SUMIFS($41:$41,$23:$23,"&gt;="&amp;DATE(YEAR(D$10),1,1),$23:$23,"&lt;="&amp;D$10)</f>
        <v>270.91043311985879</v>
      </c>
      <c r="E14" s="85">
        <f t="shared" si="3"/>
        <v>191.35045714767062</v>
      </c>
      <c r="F14" s="85">
        <f t="shared" si="3"/>
        <v>289.92090932099069</v>
      </c>
      <c r="G14" s="85">
        <f t="shared" si="3"/>
        <v>813.74126221153176</v>
      </c>
      <c r="H14" s="85">
        <f t="shared" si="3"/>
        <v>2685.4271434526995</v>
      </c>
      <c r="I14" s="85">
        <f t="shared" si="3"/>
        <v>1758.3428644170017</v>
      </c>
    </row>
    <row r="15" spans="2:30" x14ac:dyDescent="0.35">
      <c r="B15" s="3" t="s">
        <v>1</v>
      </c>
      <c r="C15" s="164">
        <f t="shared" ref="C15" si="4">SUMIFS($46:$46,$23:$23,"&gt;="&amp;DATE(YEAR(C$10),1,1),$23:$23,"&lt;="&amp;C$10)</f>
        <v>136.31399999999999</v>
      </c>
      <c r="D15" s="85">
        <f>SUMIFS($46:$46,$23:$23,"&gt;="&amp;DATE(YEAR(D$10),1,1),$23:$23,"&lt;="&amp;D$10)</f>
        <v>138.01370725532445</v>
      </c>
      <c r="E15" s="85">
        <f t="shared" ref="E15:I15" si="5">SUMIFS($46:$46,$23:$23,"&gt;="&amp;DATE(YEAR(E$10),1,1),$23:$23,"&lt;="&amp;E$10)</f>
        <v>140.77398140043101</v>
      </c>
      <c r="F15" s="85">
        <f t="shared" si="5"/>
        <v>143.58946102843967</v>
      </c>
      <c r="G15" s="85">
        <f t="shared" si="5"/>
        <v>146.46125024900851</v>
      </c>
      <c r="H15" s="85">
        <f t="shared" si="5"/>
        <v>149.39047525398874</v>
      </c>
      <c r="I15" s="85">
        <f t="shared" si="5"/>
        <v>152.37828475906861</v>
      </c>
    </row>
    <row r="16" spans="2:30" ht="13.3" thickBot="1" x14ac:dyDescent="0.4">
      <c r="B16" s="24" t="s">
        <v>21</v>
      </c>
      <c r="C16" s="181">
        <f>SUM(C13:C15)</f>
        <v>1277.481</v>
      </c>
      <c r="D16" s="157">
        <f t="shared" ref="D16:I16" si="6">SUM(D13:D15)</f>
        <v>4533.9974991377767</v>
      </c>
      <c r="E16" s="157">
        <f t="shared" si="6"/>
        <v>2633.6303870269794</v>
      </c>
      <c r="F16" s="157">
        <f t="shared" si="6"/>
        <v>3688.1232658888707</v>
      </c>
      <c r="G16" s="157">
        <f t="shared" si="6"/>
        <v>8539.2823496658784</v>
      </c>
      <c r="H16" s="157">
        <f t="shared" si="6"/>
        <v>20055.917070246596</v>
      </c>
      <c r="I16" s="157">
        <f t="shared" si="6"/>
        <v>10486.550623942885</v>
      </c>
    </row>
    <row r="17" spans="2:30" x14ac:dyDescent="0.35">
      <c r="C17" s="104"/>
      <c r="D17" s="104"/>
    </row>
    <row r="18" spans="2:30" x14ac:dyDescent="0.35">
      <c r="C18" s="104"/>
      <c r="D18" s="104"/>
    </row>
    <row r="19" spans="2:30" x14ac:dyDescent="0.35">
      <c r="B19" s="5" t="s">
        <v>171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1" spans="2:30" ht="13.3" thickBot="1" x14ac:dyDescent="0.4">
      <c r="B21" s="21" t="s">
        <v>211</v>
      </c>
    </row>
    <row r="22" spans="2:30" x14ac:dyDescent="0.35">
      <c r="B22" s="44" t="s">
        <v>80</v>
      </c>
      <c r="C22" s="90" t="s">
        <v>327</v>
      </c>
      <c r="D22" s="90" t="s">
        <v>328</v>
      </c>
      <c r="E22" s="90" t="s">
        <v>329</v>
      </c>
      <c r="F22" s="90" t="s">
        <v>330</v>
      </c>
      <c r="G22" s="143" t="s">
        <v>48</v>
      </c>
      <c r="H22" s="90" t="s">
        <v>194</v>
      </c>
      <c r="I22" s="90" t="s">
        <v>195</v>
      </c>
      <c r="J22" s="90" t="s">
        <v>172</v>
      </c>
      <c r="K22" s="90" t="s">
        <v>173</v>
      </c>
      <c r="L22" s="90" t="s">
        <v>183</v>
      </c>
      <c r="M22" s="90" t="s">
        <v>184</v>
      </c>
      <c r="N22" s="90" t="s">
        <v>174</v>
      </c>
      <c r="O22" s="90" t="s">
        <v>175</v>
      </c>
      <c r="P22" s="90" t="s">
        <v>185</v>
      </c>
      <c r="Q22" s="90" t="s">
        <v>186</v>
      </c>
      <c r="R22" s="90" t="s">
        <v>176</v>
      </c>
      <c r="S22" s="90" t="s">
        <v>177</v>
      </c>
      <c r="T22" s="90" t="s">
        <v>187</v>
      </c>
      <c r="U22" s="90" t="s">
        <v>188</v>
      </c>
      <c r="V22" s="90" t="s">
        <v>178</v>
      </c>
      <c r="W22" s="90" t="s">
        <v>179</v>
      </c>
      <c r="X22" s="90" t="s">
        <v>189</v>
      </c>
      <c r="Y22" s="90" t="s">
        <v>190</v>
      </c>
      <c r="Z22" s="90" t="s">
        <v>180</v>
      </c>
      <c r="AA22" s="90" t="s">
        <v>181</v>
      </c>
      <c r="AB22" s="90" t="s">
        <v>191</v>
      </c>
      <c r="AC22" s="90" t="s">
        <v>192</v>
      </c>
      <c r="AD22" s="90" t="s">
        <v>182</v>
      </c>
    </row>
    <row r="23" spans="2:30" x14ac:dyDescent="0.35">
      <c r="B23" s="28" t="s">
        <v>164</v>
      </c>
      <c r="C23" s="91">
        <v>43921</v>
      </c>
      <c r="D23" s="91">
        <v>44012</v>
      </c>
      <c r="E23" s="91">
        <v>44104</v>
      </c>
      <c r="F23" s="91">
        <v>44196</v>
      </c>
      <c r="G23" s="144">
        <v>44286</v>
      </c>
      <c r="H23" s="91">
        <v>44377</v>
      </c>
      <c r="I23" s="91">
        <v>44469</v>
      </c>
      <c r="J23" s="91">
        <v>44561</v>
      </c>
      <c r="K23" s="91">
        <v>44651</v>
      </c>
      <c r="L23" s="91">
        <v>44742</v>
      </c>
      <c r="M23" s="91">
        <v>44834</v>
      </c>
      <c r="N23" s="91">
        <v>44926</v>
      </c>
      <c r="O23" s="91">
        <v>45016</v>
      </c>
      <c r="P23" s="91">
        <v>45107</v>
      </c>
      <c r="Q23" s="91">
        <v>45199</v>
      </c>
      <c r="R23" s="91">
        <v>45291</v>
      </c>
      <c r="S23" s="91">
        <v>45382</v>
      </c>
      <c r="T23" s="91">
        <v>45473</v>
      </c>
      <c r="U23" s="91">
        <v>45565</v>
      </c>
      <c r="V23" s="91">
        <v>45657</v>
      </c>
      <c r="W23" s="91">
        <v>45747</v>
      </c>
      <c r="X23" s="91">
        <v>45838</v>
      </c>
      <c r="Y23" s="91">
        <v>45930</v>
      </c>
      <c r="Z23" s="91">
        <v>46022</v>
      </c>
      <c r="AA23" s="91">
        <v>46112</v>
      </c>
      <c r="AB23" s="91">
        <v>46203</v>
      </c>
      <c r="AC23" s="91">
        <v>46295</v>
      </c>
      <c r="AD23" s="91">
        <v>46387</v>
      </c>
    </row>
    <row r="24" spans="2:30" x14ac:dyDescent="0.35">
      <c r="B24" s="23" t="s">
        <v>197</v>
      </c>
      <c r="C24" s="149"/>
      <c r="D24" s="149"/>
      <c r="E24" s="149"/>
      <c r="F24" s="149"/>
      <c r="G24" s="150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</row>
    <row r="25" spans="2:30" x14ac:dyDescent="0.35">
      <c r="B25" s="17" t="s">
        <v>196</v>
      </c>
      <c r="C25" s="130">
        <f>INDEX('Bitcoin price'!$C$93:$HJ$93,MATCH(C$23,'Bitcoin price'!$C$92:$HJ$92,0))</f>
        <v>7022.8539855342415</v>
      </c>
      <c r="D25" s="130">
        <f>INDEX('Bitcoin price'!$C$93:$HJ$93,MATCH(D$23,'Bitcoin price'!$C$92:$HJ$92,0))</f>
        <v>43404.573829069021</v>
      </c>
      <c r="E25" s="130">
        <f>INDEX('Bitcoin price'!$C$93:$HJ$93,MATCH(E$23,'Bitcoin price'!$C$92:$HJ$92,0))</f>
        <v>43940.43422945476</v>
      </c>
      <c r="F25" s="130">
        <f>INDEX('Bitcoin price'!$C$93:$HJ$93,MATCH(F$23,'Bitcoin price'!$C$92:$HJ$92,0))</f>
        <v>44312.568081835212</v>
      </c>
      <c r="G25" s="145">
        <f>INDEX('Bitcoin price'!$C$93:$HJ$93,MATCH(G$23,'Bitcoin price'!$C$92:$HJ$92,0))</f>
        <v>44903.609072684318</v>
      </c>
      <c r="H25" s="130">
        <f>INDEX('Bitcoin price'!$C$93:$HJ$93,MATCH(H$23,'Bitcoin price'!$C$92:$HJ$92,0))</f>
        <v>37888.707855090885</v>
      </c>
      <c r="I25" s="130">
        <f>INDEX('Bitcoin price'!$C$93:$HJ$93,MATCH(I$23,'Bitcoin price'!$C$92:$HJ$92,0))</f>
        <v>38287.897281423429</v>
      </c>
      <c r="J25" s="130">
        <f>INDEX('Bitcoin price'!$C$93:$HJ$93,MATCH(J$23,'Bitcoin price'!$C$92:$HJ$92,0))</f>
        <v>34979.08662152099</v>
      </c>
      <c r="K25" s="130">
        <f>INDEX('Bitcoin price'!$C$93:$HJ$93,MATCH(K$23,'Bitcoin price'!$C$92:$HJ$92,0))</f>
        <v>35335.983224991891</v>
      </c>
      <c r="L25" s="130">
        <f>INDEX('Bitcoin price'!$C$93:$HJ$93,MATCH(L$23,'Bitcoin price'!$C$92:$HJ$92,0))</f>
        <v>39485.180141588724</v>
      </c>
      <c r="M25" s="130">
        <f>INDEX('Bitcoin price'!$C$93:$HJ$93,MATCH(M$23,'Bitcoin price'!$C$92:$HJ$92,0))</f>
        <v>39892.953063343804</v>
      </c>
      <c r="N25" s="130">
        <f>INDEX('Bitcoin price'!$C$93:$HJ$93,MATCH(N$23,'Bitcoin price'!$C$92:$HJ$92,0))</f>
        <v>36438.105573837092</v>
      </c>
      <c r="O25" s="130">
        <f>INDEX('Bitcoin price'!$C$93:$HJ$93,MATCH(O$23,'Bitcoin price'!$C$92:$HJ$92,0))</f>
        <v>36802.6003011391</v>
      </c>
      <c r="P25" s="130">
        <f>INDEX('Bitcoin price'!$C$93:$HJ$93,MATCH(P$23,'Bitcoin price'!$C$92:$HJ$92,0))</f>
        <v>41115.723992869782</v>
      </c>
      <c r="Q25" s="130">
        <f>INDEX('Bitcoin price'!$C$93:$HJ$93,MATCH(Q$23,'Bitcoin price'!$C$92:$HJ$92,0))</f>
        <v>41532.092146325733</v>
      </c>
      <c r="R25" s="130">
        <f>INDEX('Bitcoin price'!$C$93:$HJ$93,MATCH(R$23,'Bitcoin price'!$C$92:$HJ$92,0))</f>
        <v>37927.954916701216</v>
      </c>
      <c r="S25" s="130">
        <f>INDEX('Bitcoin price'!$C$93:$HJ$93,MATCH(S$23,'Bitcoin price'!$C$92:$HJ$92,0))</f>
        <v>321786.44881337677</v>
      </c>
      <c r="T25" s="130">
        <f>INDEX('Bitcoin price'!$C$93:$HJ$93,MATCH(T$23,'Bitcoin price'!$C$92:$HJ$92,0))</f>
        <v>357640.40856131015</v>
      </c>
      <c r="U25" s="130">
        <f>INDEX('Bitcoin price'!$C$93:$HJ$93,MATCH(U$23,'Bitcoin price'!$C$92:$HJ$92,0))</f>
        <v>359418.01667172997</v>
      </c>
      <c r="V25" s="130">
        <f>INDEX('Bitcoin price'!$C$93:$HJ$93,MATCH(V$23,'Bitcoin price'!$C$92:$HJ$92,0))</f>
        <v>326591.07935683866</v>
      </c>
      <c r="W25" s="130">
        <f>INDEX('Bitcoin price'!$C$93:$HJ$93,MATCH(W$23,'Bitcoin price'!$C$92:$HJ$92,0))</f>
        <v>328171.49700989341</v>
      </c>
      <c r="X25" s="130">
        <f>INDEX('Bitcoin price'!$C$93:$HJ$93,MATCH(X$23,'Bitcoin price'!$C$92:$HJ$92,0))</f>
        <v>364719.69002181303</v>
      </c>
      <c r="Y25" s="130">
        <f>INDEX('Bitcoin price'!$C$93:$HJ$93,MATCH(Y$23,'Bitcoin price'!$C$92:$HJ$92,0))</f>
        <v>366515.37338439922</v>
      </c>
      <c r="Z25" s="130">
        <f>INDEX('Bitcoin price'!$C$93:$HJ$93,MATCH(Z$23,'Bitcoin price'!$C$92:$HJ$92,0))</f>
        <v>333024.98371560971</v>
      </c>
      <c r="AA25" s="130">
        <f>INDEX('Bitcoin price'!$C$93:$HJ$93,MATCH(AA$23,'Bitcoin price'!$C$92:$HJ$92,0))</f>
        <v>334621.39589490654</v>
      </c>
      <c r="AB25" s="130">
        <f>INDEX('Bitcoin price'!$C$93:$HJ$93,MATCH(AB$23,'Bitcoin price'!$C$92:$HJ$92,0))</f>
        <v>371870.70063409966</v>
      </c>
      <c r="AC25" s="130">
        <f>INDEX('Bitcoin price'!$C$93:$HJ$93,MATCH(AC$23,'Bitcoin price'!$C$92:$HJ$92,0))</f>
        <v>373684.47105819848</v>
      </c>
      <c r="AD25" s="130">
        <f>INDEX('Bitcoin price'!$C$93:$HJ$93,MATCH(AD$23,'Bitcoin price'!$C$92:$HJ$92,0))</f>
        <v>339523.77068364929</v>
      </c>
    </row>
    <row r="26" spans="2:30" x14ac:dyDescent="0.35">
      <c r="B26" s="9" t="s">
        <v>115</v>
      </c>
      <c r="C26" s="130">
        <f>INDEX('Bitcoin price'!$C$96:$HJ$96,MATCH(C$23,'Bitcoin price'!$C$92:$HJ$92,0))</f>
        <v>5885.41</v>
      </c>
      <c r="D26" s="130">
        <f>INDEX('Bitcoin price'!$C$96:$HJ$96,MATCH(D$23,'Bitcoin price'!$C$92:$HJ$92,0))</f>
        <v>9004.23</v>
      </c>
      <c r="E26" s="130">
        <f>INDEX('Bitcoin price'!$C$96:$HJ$96,MATCH(E$23,'Bitcoin price'!$C$92:$HJ$92,0))</f>
        <v>10692.33</v>
      </c>
      <c r="F26" s="130">
        <f>INDEX('Bitcoin price'!$C$96:$HJ$96,MATCH(F$23,'Bitcoin price'!$C$92:$HJ$92,0))</f>
        <v>28856.59</v>
      </c>
      <c r="G26" s="145">
        <f>INDEX('Bitcoin price'!$C$96:$HJ$96,MATCH(G$23,'Bitcoin price'!$C$92:$HJ$92,0))</f>
        <v>58730.13</v>
      </c>
      <c r="H26" s="85">
        <f>INDEX('Bitcoin price'!$C$96:$HJ$96,MATCH(H$23,'Bitcoin price'!$C$92:$HJ$92,0))</f>
        <v>42640.472747772845</v>
      </c>
      <c r="I26" s="85">
        <f>INDEX('Bitcoin price'!$C$96:$HJ$96,MATCH(I$23,'Bitcoin price'!$C$92:$HJ$92,0))</f>
        <v>86540.842065086414</v>
      </c>
      <c r="J26" s="85">
        <f>INDEX('Bitcoin price'!$C$96:$HJ$96,MATCH(J$23,'Bitcoin price'!$C$92:$HJ$92,0))</f>
        <v>80081.636869011578</v>
      </c>
      <c r="K26" s="85">
        <f>INDEX('Bitcoin price'!$C$96:$HJ$96,MATCH(K$23,'Bitcoin price'!$C$92:$HJ$92,0))</f>
        <v>57836.988295028335</v>
      </c>
      <c r="L26" s="85">
        <f>INDEX('Bitcoin price'!$C$96:$HJ$96,MATCH(L$23,'Bitcoin price'!$C$92:$HJ$92,0))</f>
        <v>79759.649392152511</v>
      </c>
      <c r="M26" s="85">
        <f>INDEX('Bitcoin price'!$C$96:$HJ$96,MATCH(M$23,'Bitcoin price'!$C$92:$HJ$92,0))</f>
        <v>28433.562139747075</v>
      </c>
      <c r="N26" s="85">
        <f>INDEX('Bitcoin price'!$C$96:$HJ$96,MATCH(N$23,'Bitcoin price'!$C$92:$HJ$92,0))</f>
        <v>23259.662884084628</v>
      </c>
      <c r="O26" s="85">
        <f>INDEX('Bitcoin price'!$C$96:$HJ$96,MATCH(O$23,'Bitcoin price'!$C$92:$HJ$92,0))</f>
        <v>85939.976610283498</v>
      </c>
      <c r="P26" s="85">
        <f>INDEX('Bitcoin price'!$C$96:$HJ$96,MATCH(P$23,'Bitcoin price'!$C$92:$HJ$92,0))</f>
        <v>77057.146952541225</v>
      </c>
      <c r="Q26" s="85">
        <f>INDEX('Bitcoin price'!$C$96:$HJ$96,MATCH(Q$23,'Bitcoin price'!$C$92:$HJ$92,0))</f>
        <v>61110.662885520745</v>
      </c>
      <c r="R26" s="85">
        <f>INDEX('Bitcoin price'!$C$96:$HJ$96,MATCH(R$23,'Bitcoin price'!$C$92:$HJ$92,0))</f>
        <v>62691.053441911434</v>
      </c>
      <c r="S26" s="85">
        <f>INDEX('Bitcoin price'!$C$96:$HJ$96,MATCH(S$23,'Bitcoin price'!$C$92:$HJ$92,0))</f>
        <v>181486.76405793877</v>
      </c>
      <c r="T26" s="85">
        <f>INDEX('Bitcoin price'!$C$96:$HJ$96,MATCH(T$23,'Bitcoin price'!$C$92:$HJ$92,0))</f>
        <v>119795.74959631708</v>
      </c>
      <c r="U26" s="85">
        <f>INDEX('Bitcoin price'!$C$96:$HJ$96,MATCH(U$23,'Bitcoin price'!$C$92:$HJ$92,0))</f>
        <v>161550.19470627629</v>
      </c>
      <c r="V26" s="85">
        <f>INDEX('Bitcoin price'!$C$96:$HJ$96,MATCH(V$23,'Bitcoin price'!$C$92:$HJ$92,0))</f>
        <v>342145.6235565705</v>
      </c>
      <c r="W26" s="85">
        <f>INDEX('Bitcoin price'!$C$96:$HJ$96,MATCH(W$23,'Bitcoin price'!$C$92:$HJ$92,0))</f>
        <v>310735.98316627042</v>
      </c>
      <c r="X26" s="85">
        <f>INDEX('Bitcoin price'!$C$96:$HJ$96,MATCH(X$23,'Bitcoin price'!$C$92:$HJ$92,0))</f>
        <v>511230.96809061797</v>
      </c>
      <c r="Y26" s="85">
        <f>INDEX('Bitcoin price'!$C$96:$HJ$96,MATCH(Y$23,'Bitcoin price'!$C$92:$HJ$92,0))</f>
        <v>1022259.1836008568</v>
      </c>
      <c r="Z26" s="85">
        <f>INDEX('Bitcoin price'!$C$96:$HJ$96,MATCH(Z$23,'Bitcoin price'!$C$92:$HJ$92,0))</f>
        <v>812282.46659440559</v>
      </c>
      <c r="AA26" s="85">
        <f>INDEX('Bitcoin price'!$C$96:$HJ$96,MATCH(AA$23,'Bitcoin price'!$C$92:$HJ$92,0))</f>
        <v>572731.93367264303</v>
      </c>
      <c r="AB26" s="85">
        <f>INDEX('Bitcoin price'!$C$96:$HJ$96,MATCH(AB$23,'Bitcoin price'!$C$92:$HJ$92,0))</f>
        <v>491151.95956488332</v>
      </c>
      <c r="AC26" s="85">
        <f>INDEX('Bitcoin price'!$C$96:$HJ$96,MATCH(AC$23,'Bitcoin price'!$C$92:$HJ$92,0))</f>
        <v>300429.32015932474</v>
      </c>
      <c r="AD26" s="85">
        <f>INDEX('Bitcoin price'!$C$96:$HJ$96,MATCH(AD$23,'Bitcoin price'!$C$92:$HJ$92,0))</f>
        <v>375094.59553000919</v>
      </c>
    </row>
    <row r="27" spans="2:30" x14ac:dyDescent="0.35">
      <c r="B27" s="9"/>
      <c r="C27" s="130"/>
      <c r="D27" s="130"/>
      <c r="E27" s="130"/>
      <c r="F27" s="130"/>
      <c r="G27" s="14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</row>
    <row r="28" spans="2:30" x14ac:dyDescent="0.35">
      <c r="B28" s="9" t="s">
        <v>114</v>
      </c>
      <c r="C28" s="142">
        <f>Operational!K12</f>
        <v>1.3</v>
      </c>
      <c r="D28" s="142">
        <f>Operational!L12</f>
        <v>1.5</v>
      </c>
      <c r="E28" s="142">
        <f>Operational!M12</f>
        <v>2.1</v>
      </c>
      <c r="F28" s="142">
        <f>Operational!N12</f>
        <v>2.8</v>
      </c>
      <c r="G28" s="146">
        <f>Operational!O12</f>
        <v>6.1</v>
      </c>
      <c r="H28" s="141">
        <f>H26*'Transaction revenues'!$C$34+'Transaction revenues'!$C$35</f>
        <v>4.4776998645094945</v>
      </c>
      <c r="I28" s="141">
        <f>I26*'Transaction revenues'!$C$34+'Transaction revenues'!$C$35</f>
        <v>8.3923738874154914</v>
      </c>
      <c r="J28" s="141">
        <f>J26*'Transaction revenues'!$C$34+'Transaction revenues'!$C$35</f>
        <v>7.8163950703142575</v>
      </c>
      <c r="K28" s="141">
        <f>K26*'Transaction revenues'!$C$34+'Transaction revenues'!$C$35</f>
        <v>5.8328001877331204</v>
      </c>
      <c r="L28" s="141">
        <f>L26*'Transaction revenues'!$C$34+'Transaction revenues'!$C$35</f>
        <v>7.7876828742447781</v>
      </c>
      <c r="M28" s="141">
        <f>M26*'Transaction revenues'!$C$34+'Transaction revenues'!$C$35</f>
        <v>3.2108443740466313</v>
      </c>
      <c r="N28" s="141">
        <f>N26*'Transaction revenues'!$C$34+'Transaction revenues'!$C$35</f>
        <v>2.7494785739806491</v>
      </c>
      <c r="O28" s="141">
        <f>O26*'Transaction revenues'!$C$34+'Transaction revenues'!$C$35</f>
        <v>8.3387936459788694</v>
      </c>
      <c r="P28" s="141">
        <f>P26*'Transaction revenues'!$C$34+'Transaction revenues'!$C$35</f>
        <v>7.5466959244376373</v>
      </c>
      <c r="Q28" s="141">
        <f>Q26*'Transaction revenues'!$C$34+'Transaction revenues'!$C$35</f>
        <v>6.1247195742471181</v>
      </c>
      <c r="R28" s="141">
        <f>R26*'Transaction revenues'!$C$34+'Transaction revenues'!$C$35</f>
        <v>6.2656458113917477</v>
      </c>
      <c r="S28" s="141">
        <f>S26*'Transaction revenues'!$C$34+'Transaction revenues'!$C$35</f>
        <v>16.858870643279754</v>
      </c>
      <c r="T28" s="141">
        <f>T26*'Transaction revenues'!$C$34+'Transaction revenues'!$C$35</f>
        <v>11.357773146489789</v>
      </c>
      <c r="U28" s="141">
        <f>U26*'Transaction revenues'!$C$34+'Transaction revenues'!$C$35</f>
        <v>15.08109129061182</v>
      </c>
      <c r="V28" s="141">
        <f>V26*'Transaction revenues'!$C$34+'Transaction revenues'!$C$35</f>
        <v>31.185106928061067</v>
      </c>
      <c r="W28" s="141">
        <f>W26*'Transaction revenues'!$C$34+'Transaction revenues'!$C$35</f>
        <v>28.384253422342749</v>
      </c>
      <c r="X28" s="141">
        <f>X26*'Transaction revenues'!$C$34+'Transaction revenues'!$C$35</f>
        <v>46.262747872655545</v>
      </c>
      <c r="Y28" s="141">
        <f>Y26*'Transaction revenues'!$C$34+'Transaction revenues'!$C$35</f>
        <v>91.832042877218811</v>
      </c>
      <c r="Z28" s="141">
        <f>Z26*'Transaction revenues'!$C$34+'Transaction revenues'!$C$35</f>
        <v>73.108045510844505</v>
      </c>
      <c r="AA28" s="141">
        <f>AA26*'Transaction revenues'!$C$34+'Transaction revenues'!$C$35</f>
        <v>51.746898372789012</v>
      </c>
      <c r="AB28" s="141">
        <f>AB26*'Transaction revenues'!$C$34+'Transaction revenues'!$C$35</f>
        <v>44.472266965461856</v>
      </c>
      <c r="AC28" s="141">
        <f>AC26*'Transaction revenues'!$C$34+'Transaction revenues'!$C$35</f>
        <v>27.465189948308961</v>
      </c>
      <c r="AD28" s="141">
        <f>AD26*'Transaction revenues'!$C$34+'Transaction revenues'!$C$35</f>
        <v>34.123225369242583</v>
      </c>
    </row>
    <row r="29" spans="2:30" x14ac:dyDescent="0.35">
      <c r="B29" s="9" t="s">
        <v>425</v>
      </c>
      <c r="C29" s="148">
        <f>'Transaction revenues'!K106</f>
        <v>125.55063884860505</v>
      </c>
      <c r="D29" s="148">
        <f>'Transaction revenues'!L106</f>
        <v>108.73020678833836</v>
      </c>
      <c r="E29" s="148">
        <f>'Transaction revenues'!M106</f>
        <v>124.67955964238212</v>
      </c>
      <c r="F29" s="148">
        <f>'Transaction revenues'!N106</f>
        <v>161.46706573760844</v>
      </c>
      <c r="G29" s="147">
        <f>'Transaction revenues'!O106</f>
        <v>277.96707194099798</v>
      </c>
      <c r="H29" s="85">
        <f>'Transaction revenues'!$C$129</f>
        <v>113.3044731680701</v>
      </c>
      <c r="I29" s="85">
        <f>H29</f>
        <v>113.3044731680701</v>
      </c>
      <c r="J29" s="85">
        <f t="shared" ref="J29:AD30" si="7">I29</f>
        <v>113.3044731680701</v>
      </c>
      <c r="K29" s="85">
        <f t="shared" si="7"/>
        <v>113.3044731680701</v>
      </c>
      <c r="L29" s="85">
        <f t="shared" si="7"/>
        <v>113.3044731680701</v>
      </c>
      <c r="M29" s="85">
        <f t="shared" si="7"/>
        <v>113.3044731680701</v>
      </c>
      <c r="N29" s="85">
        <f t="shared" si="7"/>
        <v>113.3044731680701</v>
      </c>
      <c r="O29" s="85">
        <f t="shared" si="7"/>
        <v>113.3044731680701</v>
      </c>
      <c r="P29" s="85">
        <f t="shared" si="7"/>
        <v>113.3044731680701</v>
      </c>
      <c r="Q29" s="85">
        <f t="shared" si="7"/>
        <v>113.3044731680701</v>
      </c>
      <c r="R29" s="85">
        <f t="shared" si="7"/>
        <v>113.3044731680701</v>
      </c>
      <c r="S29" s="85">
        <f t="shared" si="7"/>
        <v>113.3044731680701</v>
      </c>
      <c r="T29" s="85">
        <f t="shared" si="7"/>
        <v>113.3044731680701</v>
      </c>
      <c r="U29" s="85">
        <f t="shared" si="7"/>
        <v>113.3044731680701</v>
      </c>
      <c r="V29" s="85">
        <f t="shared" si="7"/>
        <v>113.3044731680701</v>
      </c>
      <c r="W29" s="85">
        <f t="shared" si="7"/>
        <v>113.3044731680701</v>
      </c>
      <c r="X29" s="85">
        <f t="shared" si="7"/>
        <v>113.3044731680701</v>
      </c>
      <c r="Y29" s="85">
        <f t="shared" si="7"/>
        <v>113.3044731680701</v>
      </c>
      <c r="Z29" s="85">
        <f t="shared" si="7"/>
        <v>113.3044731680701</v>
      </c>
      <c r="AA29" s="85">
        <f t="shared" si="7"/>
        <v>113.3044731680701</v>
      </c>
      <c r="AB29" s="85">
        <f t="shared" si="7"/>
        <v>113.3044731680701</v>
      </c>
      <c r="AC29" s="85">
        <f t="shared" si="7"/>
        <v>113.3044731680701</v>
      </c>
      <c r="AD29" s="85">
        <f t="shared" si="7"/>
        <v>113.3044731680701</v>
      </c>
    </row>
    <row r="30" spans="2:30" x14ac:dyDescent="0.35">
      <c r="B30" s="9" t="s">
        <v>358</v>
      </c>
      <c r="C30" s="148"/>
      <c r="D30" s="148"/>
      <c r="E30" s="148"/>
      <c r="F30" s="148"/>
      <c r="G30" s="231">
        <v>1</v>
      </c>
      <c r="H30" s="135">
        <f>G30</f>
        <v>1</v>
      </c>
      <c r="I30" s="135">
        <f t="shared" ref="I30" si="8">H30</f>
        <v>1</v>
      </c>
      <c r="J30" s="135">
        <f t="shared" si="7"/>
        <v>1</v>
      </c>
      <c r="K30" s="135">
        <f t="shared" si="7"/>
        <v>1</v>
      </c>
      <c r="L30" s="135">
        <f t="shared" si="7"/>
        <v>1</v>
      </c>
      <c r="M30" s="135">
        <f t="shared" si="7"/>
        <v>1</v>
      </c>
      <c r="N30" s="135">
        <f t="shared" si="7"/>
        <v>1</v>
      </c>
      <c r="O30" s="135">
        <f t="shared" ref="O30" si="9">N30</f>
        <v>1</v>
      </c>
      <c r="P30" s="135">
        <f t="shared" ref="P30" si="10">O30</f>
        <v>1</v>
      </c>
      <c r="Q30" s="135">
        <f t="shared" ref="Q30" si="11">P30</f>
        <v>1</v>
      </c>
      <c r="R30" s="135">
        <f t="shared" ref="R30:AD30" si="12">Q30-5%</f>
        <v>0.95</v>
      </c>
      <c r="S30" s="135">
        <f t="shared" si="12"/>
        <v>0.89999999999999991</v>
      </c>
      <c r="T30" s="135">
        <f t="shared" si="12"/>
        <v>0.84999999999999987</v>
      </c>
      <c r="U30" s="135">
        <f t="shared" si="12"/>
        <v>0.79999999999999982</v>
      </c>
      <c r="V30" s="135">
        <f t="shared" si="12"/>
        <v>0.74999999999999978</v>
      </c>
      <c r="W30" s="135">
        <f t="shared" si="12"/>
        <v>0.69999999999999973</v>
      </c>
      <c r="X30" s="135">
        <f t="shared" si="12"/>
        <v>0.64999999999999969</v>
      </c>
      <c r="Y30" s="135">
        <f t="shared" si="12"/>
        <v>0.59999999999999964</v>
      </c>
      <c r="Z30" s="135">
        <f t="shared" si="12"/>
        <v>0.5499999999999996</v>
      </c>
      <c r="AA30" s="135">
        <f t="shared" si="12"/>
        <v>0.49999999999999961</v>
      </c>
      <c r="AB30" s="135">
        <f t="shared" si="12"/>
        <v>0.44999999999999962</v>
      </c>
      <c r="AC30" s="135">
        <f t="shared" si="12"/>
        <v>0.39999999999999963</v>
      </c>
      <c r="AD30" s="135">
        <f t="shared" si="12"/>
        <v>0.34999999999999964</v>
      </c>
    </row>
    <row r="31" spans="2:30" x14ac:dyDescent="0.35">
      <c r="B31" s="15" t="s">
        <v>208</v>
      </c>
      <c r="C31" s="138">
        <f t="shared" ref="C31:E31" si="13">C28*C29</f>
        <v>163.21583050318657</v>
      </c>
      <c r="D31" s="138">
        <f t="shared" si="13"/>
        <v>163.09531018250755</v>
      </c>
      <c r="E31" s="138">
        <f t="shared" si="13"/>
        <v>261.82707524900246</v>
      </c>
      <c r="F31" s="138">
        <f>F28*F29</f>
        <v>452.10778406530358</v>
      </c>
      <c r="G31" s="151">
        <f>G28*G29*G30</f>
        <v>1695.5991388400876</v>
      </c>
      <c r="H31" s="138">
        <f t="shared" ref="H31:AD31" si="14">H28*H29*H30</f>
        <v>507.34342415298715</v>
      </c>
      <c r="I31" s="138">
        <f t="shared" si="14"/>
        <v>950.89350194308076</v>
      </c>
      <c r="J31" s="138">
        <f t="shared" si="14"/>
        <v>885.63252551545725</v>
      </c>
      <c r="K31" s="138">
        <f t="shared" si="14"/>
        <v>660.88235236572154</v>
      </c>
      <c r="L31" s="138">
        <f t="shared" si="14"/>
        <v>882.37930526630657</v>
      </c>
      <c r="M31" s="138">
        <f t="shared" si="14"/>
        <v>363.80303022601538</v>
      </c>
      <c r="N31" s="138">
        <f t="shared" si="14"/>
        <v>311.52822131177413</v>
      </c>
      <c r="O31" s="138">
        <f t="shared" si="14"/>
        <v>944.82262091488633</v>
      </c>
      <c r="P31" s="138">
        <f t="shared" si="14"/>
        <v>855.0744058780283</v>
      </c>
      <c r="Q31" s="138">
        <f t="shared" si="14"/>
        <v>693.95812466223629</v>
      </c>
      <c r="R31" s="138">
        <f t="shared" si="14"/>
        <v>674.42941283159371</v>
      </c>
      <c r="S31" s="138">
        <f t="shared" si="14"/>
        <v>1719.1669108009098</v>
      </c>
      <c r="T31" s="138">
        <f t="shared" si="14"/>
        <v>1093.8535273166574</v>
      </c>
      <c r="U31" s="138">
        <f t="shared" si="14"/>
        <v>1367.0040827858738</v>
      </c>
      <c r="V31" s="138">
        <f t="shared" si="14"/>
        <v>2650.0590833804185</v>
      </c>
      <c r="W31" s="138">
        <f t="shared" si="14"/>
        <v>2251.244016201274</v>
      </c>
      <c r="X31" s="138">
        <f t="shared" si="14"/>
        <v>3407.1545787620189</v>
      </c>
      <c r="Y31" s="138">
        <f t="shared" si="14"/>
        <v>6242.9887428905377</v>
      </c>
      <c r="Z31" s="138">
        <f t="shared" si="14"/>
        <v>4555.9077195244381</v>
      </c>
      <c r="AA31" s="138">
        <f t="shared" si="14"/>
        <v>2931.5775291052591</v>
      </c>
      <c r="AB31" s="138">
        <f t="shared" si="14"/>
        <v>2267.5080506001386</v>
      </c>
      <c r="AC31" s="138">
        <f t="shared" si="14"/>
        <v>1244.7715510216474</v>
      </c>
      <c r="AD31" s="138">
        <f t="shared" si="14"/>
        <v>1353.2099256400729</v>
      </c>
    </row>
    <row r="32" spans="2:30" ht="14.15" x14ac:dyDescent="0.35">
      <c r="B32" s="8" t="s">
        <v>331</v>
      </c>
      <c r="C32" s="130">
        <f>C33-C31</f>
        <v>8.7751694968134473</v>
      </c>
      <c r="D32" s="130">
        <f>D33-D31</f>
        <v>8.7686898174924579</v>
      </c>
      <c r="E32" s="130">
        <f>E33-E31</f>
        <v>14.076924750997534</v>
      </c>
      <c r="F32" s="130">
        <f>F33-F31</f>
        <v>24.307215934696444</v>
      </c>
      <c r="G32" s="145">
        <f t="shared" ref="G32:AD32" si="15">G25/$F$25*$F$32</f>
        <v>24.631425557670546</v>
      </c>
      <c r="H32" s="130">
        <f t="shared" si="15"/>
        <v>20.783471669245248</v>
      </c>
      <c r="I32" s="130">
        <f t="shared" si="15"/>
        <v>21.002443035716119</v>
      </c>
      <c r="J32" s="130">
        <f t="shared" si="15"/>
        <v>19.187428048348607</v>
      </c>
      <c r="K32" s="130">
        <f t="shared" si="15"/>
        <v>19.383200109920526</v>
      </c>
      <c r="L32" s="130">
        <f t="shared" si="15"/>
        <v>21.65920057148346</v>
      </c>
      <c r="M32" s="130">
        <f t="shared" si="15"/>
        <v>21.882880328502239</v>
      </c>
      <c r="N32" s="130">
        <f t="shared" si="15"/>
        <v>19.987758299153906</v>
      </c>
      <c r="O32" s="130">
        <f t="shared" si="15"/>
        <v>20.187698235544552</v>
      </c>
      <c r="P32" s="130">
        <f t="shared" si="15"/>
        <v>22.553619089744135</v>
      </c>
      <c r="Q32" s="130">
        <f t="shared" si="15"/>
        <v>22.782013675128891</v>
      </c>
      <c r="R32" s="130">
        <f t="shared" si="15"/>
        <v>20.805000252278461</v>
      </c>
      <c r="S32" s="130">
        <f t="shared" si="15"/>
        <v>176.51273746357774</v>
      </c>
      <c r="T32" s="130">
        <f t="shared" si="15"/>
        <v>196.18006841351163</v>
      </c>
      <c r="U32" s="130">
        <f t="shared" si="15"/>
        <v>197.15515755994628</v>
      </c>
      <c r="V32" s="130">
        <f t="shared" si="15"/>
        <v>179.14826948444113</v>
      </c>
      <c r="W32" s="130">
        <f t="shared" si="15"/>
        <v>180.0151917781088</v>
      </c>
      <c r="X32" s="130">
        <f t="shared" si="15"/>
        <v>200.06333744014873</v>
      </c>
      <c r="Y32" s="130">
        <f t="shared" si="15"/>
        <v>201.04834158534101</v>
      </c>
      <c r="Z32" s="130">
        <f t="shared" si="15"/>
        <v>182.6775233580378</v>
      </c>
      <c r="AA32" s="130">
        <f t="shared" si="15"/>
        <v>183.55321928907219</v>
      </c>
      <c r="AB32" s="130">
        <f t="shared" si="15"/>
        <v>203.98595277544479</v>
      </c>
      <c r="AC32" s="130">
        <f t="shared" si="15"/>
        <v>204.98087839729354</v>
      </c>
      <c r="AD32" s="130">
        <f t="shared" si="15"/>
        <v>186.242367937887</v>
      </c>
    </row>
    <row r="33" spans="2:30" x14ac:dyDescent="0.35">
      <c r="B33" s="12" t="s">
        <v>209</v>
      </c>
      <c r="C33" s="152">
        <f>INDEX('IS (Quarterly)'!$E$12:$L$12,MATCH(C$23,'IS (Quarterly)'!$E$9:$L$9,0))</f>
        <v>171.99100000000001</v>
      </c>
      <c r="D33" s="152">
        <f>INDEX('IS (Quarterly)'!$E$12:$L$12,MATCH(D$23,'IS (Quarterly)'!$E$9:$L$9,0))</f>
        <v>171.864</v>
      </c>
      <c r="E33" s="152">
        <f>INDEX('IS (Quarterly)'!$E$12:$L$12,MATCH(E$23,'IS (Quarterly)'!$E$9:$L$9,0))</f>
        <v>275.904</v>
      </c>
      <c r="F33" s="152">
        <f>INDEX('IS (Quarterly)'!$E$12:$L$12,MATCH(F$23,'IS (Quarterly)'!$E$9:$L$9,0))</f>
        <v>476.41500000000002</v>
      </c>
      <c r="G33" s="151">
        <f t="shared" ref="G33:AD33" si="16">SUM(G31,G32)</f>
        <v>1720.2305643977581</v>
      </c>
      <c r="H33" s="138">
        <f t="shared" si="16"/>
        <v>528.12689582223243</v>
      </c>
      <c r="I33" s="138">
        <f t="shared" si="16"/>
        <v>971.89594497879693</v>
      </c>
      <c r="J33" s="138">
        <f t="shared" si="16"/>
        <v>904.81995356380583</v>
      </c>
      <c r="K33" s="138">
        <f t="shared" si="16"/>
        <v>680.26555247564204</v>
      </c>
      <c r="L33" s="138">
        <f t="shared" si="16"/>
        <v>904.03850583779001</v>
      </c>
      <c r="M33" s="138">
        <f t="shared" si="16"/>
        <v>385.68591055451759</v>
      </c>
      <c r="N33" s="138">
        <f t="shared" si="16"/>
        <v>331.51597961092801</v>
      </c>
      <c r="O33" s="138">
        <f t="shared" si="16"/>
        <v>965.01031915043086</v>
      </c>
      <c r="P33" s="138">
        <f t="shared" si="16"/>
        <v>877.62802496777249</v>
      </c>
      <c r="Q33" s="138">
        <f t="shared" si="16"/>
        <v>716.74013833736512</v>
      </c>
      <c r="R33" s="138">
        <f t="shared" si="16"/>
        <v>695.23441308387214</v>
      </c>
      <c r="S33" s="138">
        <f t="shared" si="16"/>
        <v>1895.6796482644875</v>
      </c>
      <c r="T33" s="138">
        <f t="shared" si="16"/>
        <v>1290.0335957301691</v>
      </c>
      <c r="U33" s="138">
        <f t="shared" si="16"/>
        <v>1564.1592403458201</v>
      </c>
      <c r="V33" s="138">
        <f t="shared" si="16"/>
        <v>2829.2073528648598</v>
      </c>
      <c r="W33" s="138">
        <f t="shared" si="16"/>
        <v>2431.2592079793826</v>
      </c>
      <c r="X33" s="138">
        <f t="shared" si="16"/>
        <v>3607.2179162021675</v>
      </c>
      <c r="Y33" s="138">
        <f t="shared" si="16"/>
        <v>6444.0370844758791</v>
      </c>
      <c r="Z33" s="138">
        <f t="shared" si="16"/>
        <v>4738.5852428824755</v>
      </c>
      <c r="AA33" s="138">
        <f t="shared" si="16"/>
        <v>3115.1307483943315</v>
      </c>
      <c r="AB33" s="138">
        <f t="shared" si="16"/>
        <v>2471.4940033755834</v>
      </c>
      <c r="AC33" s="138">
        <f t="shared" si="16"/>
        <v>1449.7524294189409</v>
      </c>
      <c r="AD33" s="138">
        <f t="shared" si="16"/>
        <v>1539.4522935779598</v>
      </c>
    </row>
    <row r="34" spans="2:30" x14ac:dyDescent="0.35">
      <c r="B34" s="13"/>
      <c r="C34" s="148"/>
      <c r="D34" s="148"/>
      <c r="E34" s="148"/>
      <c r="F34" s="148"/>
      <c r="G34" s="145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</row>
    <row r="35" spans="2:30" x14ac:dyDescent="0.35">
      <c r="B35" s="155" t="s">
        <v>15</v>
      </c>
      <c r="C35" s="148"/>
      <c r="D35" s="148"/>
      <c r="E35" s="148"/>
      <c r="F35" s="148"/>
      <c r="G35" s="145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</row>
    <row r="36" spans="2:30" x14ac:dyDescent="0.35">
      <c r="B36" s="16" t="s">
        <v>204</v>
      </c>
      <c r="C36" s="148">
        <f>Operational!K13</f>
        <v>17</v>
      </c>
      <c r="D36" s="148">
        <f>Operational!L13</f>
        <v>26</v>
      </c>
      <c r="E36" s="148">
        <f>Operational!M13</f>
        <v>36</v>
      </c>
      <c r="F36" s="148">
        <f>Operational!N13</f>
        <v>90</v>
      </c>
      <c r="G36" s="145">
        <f>Operational!O13</f>
        <v>223</v>
      </c>
      <c r="H36" s="130">
        <f t="shared" ref="H36:AD36" si="17">$G$36/$G$26*H26</f>
        <v>161.90710667170913</v>
      </c>
      <c r="I36" s="130">
        <f t="shared" si="17"/>
        <v>328.59807700943742</v>
      </c>
      <c r="J36" s="130">
        <f t="shared" si="17"/>
        <v>304.07228830907718</v>
      </c>
      <c r="K36" s="130">
        <f t="shared" si="17"/>
        <v>219.6087151482777</v>
      </c>
      <c r="L36" s="130">
        <f t="shared" si="17"/>
        <v>302.84969255899841</v>
      </c>
      <c r="M36" s="130">
        <f t="shared" si="17"/>
        <v>107.96305673363226</v>
      </c>
      <c r="N36" s="130">
        <f t="shared" si="17"/>
        <v>88.31761181442765</v>
      </c>
      <c r="O36" s="130">
        <f t="shared" si="17"/>
        <v>326.31657352185704</v>
      </c>
      <c r="P36" s="130">
        <f t="shared" si="17"/>
        <v>292.58821273538291</v>
      </c>
      <c r="Q36" s="130">
        <f t="shared" si="17"/>
        <v>232.03895212680658</v>
      </c>
      <c r="R36" s="130">
        <f t="shared" si="17"/>
        <v>238.03974071820119</v>
      </c>
      <c r="S36" s="130">
        <f t="shared" si="17"/>
        <v>689.11048528107028</v>
      </c>
      <c r="T36" s="130">
        <f t="shared" si="17"/>
        <v>454.86792145664771</v>
      </c>
      <c r="U36" s="130">
        <f t="shared" si="17"/>
        <v>613.41075559511978</v>
      </c>
      <c r="V36" s="130">
        <f t="shared" si="17"/>
        <v>1299.1368153469987</v>
      </c>
      <c r="W36" s="130">
        <f t="shared" si="17"/>
        <v>1179.8735035335067</v>
      </c>
      <c r="X36" s="130">
        <f t="shared" si="17"/>
        <v>1941.1587524871443</v>
      </c>
      <c r="Y36" s="130">
        <f t="shared" si="17"/>
        <v>3881.5476475701835</v>
      </c>
      <c r="Z36" s="130">
        <f t="shared" si="17"/>
        <v>3084.259988025779</v>
      </c>
      <c r="AA36" s="130">
        <f t="shared" si="17"/>
        <v>2174.679695226273</v>
      </c>
      <c r="AB36" s="130">
        <f t="shared" si="17"/>
        <v>1864.9181771429585</v>
      </c>
      <c r="AC36" s="130">
        <f t="shared" si="17"/>
        <v>1140.7388063934034</v>
      </c>
      <c r="AD36" s="130">
        <f t="shared" si="17"/>
        <v>1424.2450136444793</v>
      </c>
    </row>
    <row r="37" spans="2:30" x14ac:dyDescent="0.35">
      <c r="B37" s="16"/>
      <c r="C37" s="148"/>
      <c r="D37" s="148"/>
      <c r="E37" s="148"/>
      <c r="F37" s="148"/>
      <c r="G37" s="145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</row>
    <row r="38" spans="2:30" x14ac:dyDescent="0.35">
      <c r="B38" s="8" t="s">
        <v>337</v>
      </c>
      <c r="C38" s="148">
        <f>C41-C39</f>
        <v>6.6553872602404818</v>
      </c>
      <c r="D38" s="148">
        <f>D41-D39</f>
        <v>6.0697206898850933</v>
      </c>
      <c r="E38" s="148">
        <f>E41-E39</f>
        <v>10.098055497521838</v>
      </c>
      <c r="F38" s="148">
        <f>F41-F39</f>
        <v>19.405836552352586</v>
      </c>
      <c r="G38" s="147">
        <f>SUM($C$38:$F$38)/SUM($C$36:$F$36)*G36</f>
        <v>55.722289940828396</v>
      </c>
      <c r="H38" s="156">
        <f t="shared" ref="H38:AD38" si="18">SUM($C$38:$F$38)/SUM($C$36:$F$36)*H36</f>
        <v>40.456658033370438</v>
      </c>
      <c r="I38" s="156">
        <f t="shared" si="18"/>
        <v>82.108687538648113</v>
      </c>
      <c r="J38" s="156">
        <f t="shared" si="18"/>
        <v>75.980287946769351</v>
      </c>
      <c r="K38" s="156">
        <f t="shared" si="18"/>
        <v>54.874890130157503</v>
      </c>
      <c r="L38" s="156">
        <f t="shared" si="18"/>
        <v>75.674790929431609</v>
      </c>
      <c r="M38" s="156">
        <f t="shared" si="18"/>
        <v>26.97734865564826</v>
      </c>
      <c r="N38" s="156">
        <f t="shared" si="18"/>
        <v>22.068428575807484</v>
      </c>
      <c r="O38" s="156">
        <f t="shared" si="18"/>
        <v>81.538595167186386</v>
      </c>
      <c r="P38" s="156">
        <f t="shared" si="18"/>
        <v>73.110696068653752</v>
      </c>
      <c r="Q38" s="156">
        <f t="shared" si="18"/>
        <v>57.980904789129667</v>
      </c>
      <c r="R38" s="156">
        <f t="shared" si="18"/>
        <v>59.480356276857499</v>
      </c>
      <c r="S38" s="156">
        <f t="shared" si="18"/>
        <v>172.19199220671192</v>
      </c>
      <c r="T38" s="156">
        <f t="shared" si="18"/>
        <v>113.66045831475014</v>
      </c>
      <c r="U38" s="156">
        <f t="shared" si="18"/>
        <v>153.27646626051072</v>
      </c>
      <c r="V38" s="156">
        <f t="shared" si="18"/>
        <v>324.62277263484265</v>
      </c>
      <c r="W38" s="156">
        <f t="shared" si="18"/>
        <v>294.82176438293754</v>
      </c>
      <c r="X38" s="156">
        <f t="shared" si="18"/>
        <v>485.04847904603321</v>
      </c>
      <c r="Y38" s="156">
        <f t="shared" si="18"/>
        <v>969.90458940379449</v>
      </c>
      <c r="Z38" s="156">
        <f t="shared" si="18"/>
        <v>770.68174576532908</v>
      </c>
      <c r="AA38" s="156">
        <f t="shared" si="18"/>
        <v>543.39969733556381</v>
      </c>
      <c r="AB38" s="156">
        <f t="shared" si="18"/>
        <v>465.99780889094666</v>
      </c>
      <c r="AC38" s="156">
        <f t="shared" si="18"/>
        <v>285.04295298927235</v>
      </c>
      <c r="AD38" s="156">
        <f t="shared" si="18"/>
        <v>355.88427622007521</v>
      </c>
    </row>
    <row r="39" spans="2:30" x14ac:dyDescent="0.35">
      <c r="B39" s="8" t="s">
        <v>336</v>
      </c>
      <c r="C39" s="148">
        <f>C41*'IS (Annual)'!$C$19/'IS (Annual)'!$C$20</f>
        <v>0.43561273975951809</v>
      </c>
      <c r="D39" s="148">
        <f>D41*'IS (Annual)'!$C$19/'IS (Annual)'!$C$20</f>
        <v>0.39727931011490669</v>
      </c>
      <c r="E39" s="148">
        <f>E41*'IS (Annual)'!$C$19/'IS (Annual)'!$C$20</f>
        <v>0.66094450247816328</v>
      </c>
      <c r="F39" s="148">
        <f>F41*'IS (Annual)'!$C$19/'IS (Annual)'!$C$20</f>
        <v>1.2701634476474115</v>
      </c>
      <c r="G39" s="147">
        <v>0</v>
      </c>
      <c r="H39" s="156">
        <v>0</v>
      </c>
      <c r="I39" s="156">
        <v>0</v>
      </c>
      <c r="J39" s="156">
        <v>0</v>
      </c>
      <c r="K39" s="156">
        <v>0</v>
      </c>
      <c r="L39" s="156">
        <v>0</v>
      </c>
      <c r="M39" s="156">
        <v>0</v>
      </c>
      <c r="N39" s="156">
        <v>0</v>
      </c>
      <c r="O39" s="156">
        <v>0</v>
      </c>
      <c r="P39" s="156">
        <v>0</v>
      </c>
      <c r="Q39" s="156">
        <v>0</v>
      </c>
      <c r="R39" s="156">
        <v>0</v>
      </c>
      <c r="S39" s="156">
        <v>0</v>
      </c>
      <c r="T39" s="156">
        <v>0</v>
      </c>
      <c r="U39" s="156">
        <v>0</v>
      </c>
      <c r="V39" s="156">
        <v>0</v>
      </c>
      <c r="W39" s="156">
        <v>0</v>
      </c>
      <c r="X39" s="156">
        <v>0</v>
      </c>
      <c r="Y39" s="156">
        <v>0</v>
      </c>
      <c r="Z39" s="156">
        <v>0</v>
      </c>
      <c r="AA39" s="156">
        <v>0</v>
      </c>
      <c r="AB39" s="156">
        <v>0</v>
      </c>
      <c r="AC39" s="156">
        <v>0</v>
      </c>
      <c r="AD39" s="156">
        <v>0</v>
      </c>
    </row>
    <row r="40" spans="2:30" x14ac:dyDescent="0.35">
      <c r="B40" s="8" t="s">
        <v>377</v>
      </c>
      <c r="C40" s="148"/>
      <c r="D40" s="148"/>
      <c r="E40" s="148"/>
      <c r="F40" s="148"/>
      <c r="G40" s="147" t="s">
        <v>378</v>
      </c>
      <c r="H40" s="156" t="s">
        <v>378</v>
      </c>
      <c r="I40" s="156" t="s">
        <v>378</v>
      </c>
      <c r="J40" s="156" t="s">
        <v>378</v>
      </c>
      <c r="K40" s="156" t="s">
        <v>378</v>
      </c>
      <c r="L40" s="156" t="s">
        <v>378</v>
      </c>
      <c r="M40" s="156" t="s">
        <v>378</v>
      </c>
      <c r="N40" s="156" t="s">
        <v>378</v>
      </c>
      <c r="O40" s="156" t="s">
        <v>378</v>
      </c>
      <c r="P40" s="156" t="s">
        <v>378</v>
      </c>
      <c r="Q40" s="156" t="s">
        <v>378</v>
      </c>
      <c r="R40" s="156" t="s">
        <v>378</v>
      </c>
      <c r="S40" s="156" t="s">
        <v>378</v>
      </c>
      <c r="T40" s="156" t="s">
        <v>378</v>
      </c>
      <c r="U40" s="156" t="s">
        <v>378</v>
      </c>
      <c r="V40" s="156" t="s">
        <v>378</v>
      </c>
      <c r="W40" s="156" t="s">
        <v>378</v>
      </c>
      <c r="X40" s="156" t="s">
        <v>378</v>
      </c>
      <c r="Y40" s="156" t="s">
        <v>378</v>
      </c>
      <c r="Z40" s="156" t="s">
        <v>378</v>
      </c>
      <c r="AA40" s="156" t="s">
        <v>378</v>
      </c>
      <c r="AB40" s="156" t="s">
        <v>378</v>
      </c>
      <c r="AC40" s="156" t="s">
        <v>378</v>
      </c>
      <c r="AD40" s="156" t="s">
        <v>378</v>
      </c>
    </row>
    <row r="41" spans="2:30" x14ac:dyDescent="0.35">
      <c r="B41" s="12" t="s">
        <v>332</v>
      </c>
      <c r="C41" s="152">
        <f>INDEX('IS (Quarterly)'!$E$13:$L$13,MATCH(C$23,'IS (Quarterly)'!$E$9:$L$9,0))</f>
        <v>7.0910000000000002</v>
      </c>
      <c r="D41" s="152">
        <f>INDEX('IS (Quarterly)'!$E$13:$L$13,MATCH(D$23,'IS (Quarterly)'!$E$9:$L$9,0))</f>
        <v>6.4669999999999996</v>
      </c>
      <c r="E41" s="152">
        <f>INDEX('IS (Quarterly)'!$E$13:$L$13,MATCH(E$23,'IS (Quarterly)'!$E$9:$L$9,0))</f>
        <v>10.759</v>
      </c>
      <c r="F41" s="152">
        <f>INDEX('IS (Quarterly)'!$E$13:$L$13,MATCH(F$23,'IS (Quarterly)'!$E$9:$L$9,0))</f>
        <v>20.675999999999998</v>
      </c>
      <c r="G41" s="151">
        <f t="shared" ref="G41:AD41" si="19">SUM($C$41:$F$41)/SUM($C$36:$F$36)*G36</f>
        <v>59.369461538461536</v>
      </c>
      <c r="H41" s="138">
        <f t="shared" si="19"/>
        <v>43.104653553137325</v>
      </c>
      <c r="I41" s="138">
        <f t="shared" si="19"/>
        <v>87.482918809974066</v>
      </c>
      <c r="J41" s="138">
        <f t="shared" si="19"/>
        <v>80.953399218285853</v>
      </c>
      <c r="K41" s="138">
        <f t="shared" si="19"/>
        <v>58.466597163706851</v>
      </c>
      <c r="L41" s="138">
        <f t="shared" si="19"/>
        <v>80.627906611284118</v>
      </c>
      <c r="M41" s="138">
        <f t="shared" si="19"/>
        <v>28.743087642700093</v>
      </c>
      <c r="N41" s="138">
        <f t="shared" si="19"/>
        <v>23.512865729979545</v>
      </c>
      <c r="O41" s="138">
        <f t="shared" si="19"/>
        <v>86.875512381472859</v>
      </c>
      <c r="P41" s="138">
        <f t="shared" si="19"/>
        <v>77.895984944396943</v>
      </c>
      <c r="Q41" s="138">
        <f t="shared" si="19"/>
        <v>61.775908716221345</v>
      </c>
      <c r="R41" s="138">
        <f t="shared" si="19"/>
        <v>63.373503278899555</v>
      </c>
      <c r="S41" s="138">
        <f t="shared" si="19"/>
        <v>183.46241458136799</v>
      </c>
      <c r="T41" s="138">
        <f t="shared" si="19"/>
        <v>121.09983662780444</v>
      </c>
      <c r="U41" s="138">
        <f t="shared" si="19"/>
        <v>163.3088173165161</v>
      </c>
      <c r="V41" s="138">
        <f t="shared" si="19"/>
        <v>345.87019368584322</v>
      </c>
      <c r="W41" s="138">
        <f t="shared" si="19"/>
        <v>314.11863044072817</v>
      </c>
      <c r="X41" s="138">
        <f t="shared" si="19"/>
        <v>516.79618787369282</v>
      </c>
      <c r="Y41" s="138">
        <f t="shared" si="19"/>
        <v>1033.3874160184926</v>
      </c>
      <c r="Z41" s="138">
        <f t="shared" si="19"/>
        <v>821.12490911978614</v>
      </c>
      <c r="AA41" s="138">
        <f t="shared" si="19"/>
        <v>578.96664809062543</v>
      </c>
      <c r="AB41" s="138">
        <f t="shared" si="19"/>
        <v>496.49860085321376</v>
      </c>
      <c r="AC41" s="138">
        <f t="shared" si="19"/>
        <v>303.69976991750531</v>
      </c>
      <c r="AD41" s="138">
        <f t="shared" si="19"/>
        <v>379.17784555565714</v>
      </c>
    </row>
    <row r="42" spans="2:30" x14ac:dyDescent="0.35">
      <c r="B42" s="16"/>
      <c r="C42" s="148"/>
      <c r="D42" s="148"/>
      <c r="E42" s="148"/>
      <c r="F42" s="148"/>
      <c r="G42" s="145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</row>
    <row r="43" spans="2:30" ht="12.45" customHeight="1" x14ac:dyDescent="0.35">
      <c r="B43" s="155" t="s">
        <v>1</v>
      </c>
      <c r="C43" s="148"/>
      <c r="D43" s="148"/>
      <c r="E43" s="148"/>
      <c r="F43" s="148"/>
      <c r="G43" s="145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</row>
    <row r="44" spans="2:30" ht="14.15" x14ac:dyDescent="0.35">
      <c r="B44" s="8" t="s">
        <v>334</v>
      </c>
      <c r="C44" s="148">
        <f>'IS (Annual)'!$C$24/'IS (Annual)'!$C$26*C46</f>
        <v>11.325535337529526</v>
      </c>
      <c r="D44" s="148">
        <f>'IS (Annual)'!$C$24/'IS (Annual)'!$C$26*D46</f>
        <v>7.8959027539357658</v>
      </c>
      <c r="E44" s="148">
        <f>'IS (Annual)'!$C$24/'IS (Annual)'!$C$26*E46</f>
        <v>28.141228868641516</v>
      </c>
      <c r="F44" s="148">
        <f>'IS (Annual)'!$C$24/'IS (Annual)'!$C$26*F46</f>
        <v>86.325333039893181</v>
      </c>
      <c r="G44" s="147">
        <f>AVERAGE($C$44:$F$44)*(1+DCF!$C$12)^(1/4)^(COLUMN(G23)-COLUMN($F$23))</f>
        <v>33.587871099039617</v>
      </c>
      <c r="H44" s="156">
        <f>AVERAGE($C$44:$F$44)*(1+DCF!$C$12)^(1/4)^(COLUMN(H23)-COLUMN($F$23))</f>
        <v>33.754565404993741</v>
      </c>
      <c r="I44" s="156">
        <f>AVERAGE($C$44:$F$44)*(1+DCF!$C$12)^(1/4)^(COLUMN(I23)-COLUMN($F$23))</f>
        <v>33.922087003381954</v>
      </c>
      <c r="J44" s="156">
        <f>AVERAGE($C$44:$F$44)*(1+DCF!$C$12)^(1/4)^(COLUMN(J23)-COLUMN($F$23))</f>
        <v>34.090440000000015</v>
      </c>
      <c r="K44" s="156">
        <f>AVERAGE($C$44:$F$44)*(1+DCF!$C$12)^(1/4)^(COLUMN(K23)-COLUMN($F$23))</f>
        <v>34.259628521020424</v>
      </c>
      <c r="L44" s="156">
        <f>AVERAGE($C$44:$F$44)*(1+DCF!$C$12)^(1/4)^(COLUMN(L23)-COLUMN($F$23))</f>
        <v>34.429656713093635</v>
      </c>
      <c r="M44" s="156">
        <f>AVERAGE($C$44:$F$44)*(1+DCF!$C$12)^(1/4)^(COLUMN(M23)-COLUMN($F$23))</f>
        <v>34.600528743449608</v>
      </c>
      <c r="N44" s="156">
        <f>AVERAGE($C$44:$F$44)*(1+DCF!$C$12)^(1/4)^(COLUMN(N23)-COLUMN($F$23))</f>
        <v>34.772248800000028</v>
      </c>
      <c r="O44" s="156">
        <f>AVERAGE($C$44:$F$44)*(1+DCF!$C$12)^(1/4)^(COLUMN(O23)-COLUMN($F$23))</f>
        <v>34.944821091440843</v>
      </c>
      <c r="P44" s="156">
        <f>AVERAGE($C$44:$F$44)*(1+DCF!$C$12)^(1/4)^(COLUMN(P23)-COLUMN($F$23))</f>
        <v>35.118249847355521</v>
      </c>
      <c r="Q44" s="156">
        <f>AVERAGE($C$44:$F$44)*(1+DCF!$C$12)^(1/4)^(COLUMN(Q23)-COLUMN($F$23))</f>
        <v>35.292539318318617</v>
      </c>
      <c r="R44" s="156">
        <f>AVERAGE($C$44:$F$44)*(1+DCF!$C$12)^(1/4)^(COLUMN(R23)-COLUMN($F$23))</f>
        <v>35.467693776000047</v>
      </c>
      <c r="S44" s="156">
        <f>AVERAGE($C$44:$F$44)*(1+DCF!$C$12)^(1/4)^(COLUMN(S23)-COLUMN($F$23))</f>
        <v>35.643717513269678</v>
      </c>
      <c r="T44" s="156">
        <f>AVERAGE($C$44:$F$44)*(1+DCF!$C$12)^(1/4)^(COLUMN(T23)-COLUMN($F$23))</f>
        <v>35.820614844302646</v>
      </c>
      <c r="U44" s="156">
        <f>AVERAGE($C$44:$F$44)*(1+DCF!$C$12)^(1/4)^(COLUMN(U23)-COLUMN($F$23))</f>
        <v>35.998390104685001</v>
      </c>
      <c r="V44" s="156">
        <f>AVERAGE($C$44:$F$44)*(1+DCF!$C$12)^(1/4)^(COLUMN(V23)-COLUMN($F$23))</f>
        <v>36.177047651520056</v>
      </c>
      <c r="W44" s="156">
        <f>AVERAGE($C$44:$F$44)*(1+DCF!$C$12)^(1/4)^(COLUMN(W23)-COLUMN($F$23))</f>
        <v>36.356591863535087</v>
      </c>
      <c r="X44" s="156">
        <f>AVERAGE($C$44:$F$44)*(1+DCF!$C$12)^(1/4)^(COLUMN(X23)-COLUMN($F$23))</f>
        <v>36.537027141188709</v>
      </c>
      <c r="Y44" s="156">
        <f>AVERAGE($C$44:$F$44)*(1+DCF!$C$12)^(1/4)^(COLUMN(Y23)-COLUMN($F$23))</f>
        <v>36.718357906778721</v>
      </c>
      <c r="Z44" s="156">
        <f>AVERAGE($C$44:$F$44)*(1+DCF!$C$12)^(1/4)^(COLUMN(Z23)-COLUMN($F$23))</f>
        <v>36.900588604550471</v>
      </c>
      <c r="AA44" s="156">
        <f>AVERAGE($C$44:$F$44)*(1+DCF!$C$12)^(1/4)^(COLUMN(AA23)-COLUMN($F$23))</f>
        <v>37.083723700805798</v>
      </c>
      <c r="AB44" s="156">
        <f>AVERAGE($C$44:$F$44)*(1+DCF!$C$12)^(1/4)^(COLUMN(AB23)-COLUMN($F$23))</f>
        <v>37.267767684012497</v>
      </c>
      <c r="AC44" s="156">
        <f>AVERAGE($C$44:$F$44)*(1+DCF!$C$12)^(1/4)^(COLUMN(AC23)-COLUMN($F$23))</f>
        <v>37.452725064914311</v>
      </c>
      <c r="AD44" s="156">
        <f>AVERAGE($C$44:$F$44)*(1+DCF!$C$12)^(1/4)^(COLUMN(AD23)-COLUMN($F$23))</f>
        <v>37.638600376641499</v>
      </c>
    </row>
    <row r="45" spans="2:30" ht="14.15" x14ac:dyDescent="0.35">
      <c r="B45" s="8" t="s">
        <v>335</v>
      </c>
      <c r="C45" s="148">
        <f>C46-C44</f>
        <v>0.22246466247047358</v>
      </c>
      <c r="D45" s="148">
        <f t="shared" ref="D45:F45" si="20">D46-D44</f>
        <v>0.15509724606423436</v>
      </c>
      <c r="E45" s="148">
        <f t="shared" si="20"/>
        <v>0.5527711313584831</v>
      </c>
      <c r="F45" s="148">
        <f t="shared" si="20"/>
        <v>1.6956669601068199</v>
      </c>
      <c r="G45" s="147">
        <f>AVERAGE($C$45:$F$45)*(1+DCF!$C$12)^(1/4)^(COLUMN(G23)-COLUMN($F$23))</f>
        <v>0.65975816457781111</v>
      </c>
      <c r="H45" s="156">
        <f>AVERAGE($C$45:$F$45)*(1+DCF!$C$12)^(1/4)^(COLUMN(H23)-COLUMN($F$23))</f>
        <v>0.6630324992034734</v>
      </c>
      <c r="I45" s="156">
        <f>AVERAGE($C$45:$F$45)*(1+DCF!$C$12)^(1/4)^(COLUMN(I23)-COLUMN($F$23))</f>
        <v>0.66632308412783048</v>
      </c>
      <c r="J45" s="156">
        <f>AVERAGE($C$45:$F$45)*(1+DCF!$C$12)^(1/4)^(COLUMN(J23)-COLUMN($F$23))</f>
        <v>0.66963000000000306</v>
      </c>
      <c r="K45" s="156">
        <f>AVERAGE($C$45:$F$45)*(1+DCF!$C$12)^(1/4)^(COLUMN(K23)-COLUMN($F$23))</f>
        <v>0.67295332786936757</v>
      </c>
      <c r="L45" s="156">
        <f>AVERAGE($C$45:$F$45)*(1+DCF!$C$12)^(1/4)^(COLUMN(L23)-COLUMN($F$23))</f>
        <v>0.67629314918754313</v>
      </c>
      <c r="M45" s="156">
        <f>AVERAGE($C$45:$F$45)*(1+DCF!$C$12)^(1/4)^(COLUMN(M23)-COLUMN($F$23))</f>
        <v>0.67964954581038739</v>
      </c>
      <c r="N45" s="156">
        <f>AVERAGE($C$45:$F$45)*(1+DCF!$C$12)^(1/4)^(COLUMN(N23)-COLUMN($F$23))</f>
        <v>0.68302260000000348</v>
      </c>
      <c r="O45" s="156">
        <f>AVERAGE($C$45:$F$45)*(1+DCF!$C$12)^(1/4)^(COLUMN(O23)-COLUMN($F$23))</f>
        <v>0.68641239442675517</v>
      </c>
      <c r="P45" s="156">
        <f>AVERAGE($C$45:$F$45)*(1+DCF!$C$12)^(1/4)^(COLUMN(P23)-COLUMN($F$23))</f>
        <v>0.68981901217129427</v>
      </c>
      <c r="Q45" s="156">
        <f>AVERAGE($C$45:$F$45)*(1+DCF!$C$12)^(1/4)^(COLUMN(Q23)-COLUMN($F$23))</f>
        <v>0.69324253672659542</v>
      </c>
      <c r="R45" s="156">
        <f>AVERAGE($C$45:$F$45)*(1+DCF!$C$12)^(1/4)^(COLUMN(R23)-COLUMN($F$23))</f>
        <v>0.69668305200000391</v>
      </c>
      <c r="S45" s="156">
        <f>AVERAGE($C$45:$F$45)*(1+DCF!$C$12)^(1/4)^(COLUMN(S23)-COLUMN($F$23))</f>
        <v>0.70014064231529061</v>
      </c>
      <c r="T45" s="156">
        <f>AVERAGE($C$45:$F$45)*(1+DCF!$C$12)^(1/4)^(COLUMN(T23)-COLUMN($F$23))</f>
        <v>0.70361539241472049</v>
      </c>
      <c r="U45" s="156">
        <f>AVERAGE($C$45:$F$45)*(1+DCF!$C$12)^(1/4)^(COLUMN(U23)-COLUMN($F$23))</f>
        <v>0.70710738746112756</v>
      </c>
      <c r="V45" s="156">
        <f>AVERAGE($C$45:$F$45)*(1+DCF!$C$12)^(1/4)^(COLUMN(V23)-COLUMN($F$23))</f>
        <v>0.71061671304000418</v>
      </c>
      <c r="W45" s="156">
        <f>AVERAGE($C$45:$F$45)*(1+DCF!$C$12)^(1/4)^(COLUMN(W23)-COLUMN($F$23))</f>
        <v>0.71414345516159672</v>
      </c>
      <c r="X45" s="156">
        <f>AVERAGE($C$45:$F$45)*(1+DCF!$C$12)^(1/4)^(COLUMN(X23)-COLUMN($F$23))</f>
        <v>0.71768770026301509</v>
      </c>
      <c r="Y45" s="156">
        <f>AVERAGE($C$45:$F$45)*(1+DCF!$C$12)^(1/4)^(COLUMN(Y23)-COLUMN($F$23))</f>
        <v>0.72124953521035051</v>
      </c>
      <c r="Z45" s="156">
        <f>AVERAGE($C$45:$F$45)*(1+DCF!$C$12)^(1/4)^(COLUMN(Z23)-COLUMN($F$23))</f>
        <v>0.72482904730080455</v>
      </c>
      <c r="AA45" s="156">
        <f>AVERAGE($C$45:$F$45)*(1+DCF!$C$12)^(1/4)^(COLUMN(AA23)-COLUMN($F$23))</f>
        <v>0.72842632426482889</v>
      </c>
      <c r="AB45" s="156">
        <f>AVERAGE($C$45:$F$45)*(1+DCF!$C$12)^(1/4)^(COLUMN(AB23)-COLUMN($F$23))</f>
        <v>0.73204145426827572</v>
      </c>
      <c r="AC45" s="156">
        <f>AVERAGE($C$45:$F$45)*(1+DCF!$C$12)^(1/4)^(COLUMN(AC23)-COLUMN($F$23))</f>
        <v>0.73567452591455784</v>
      </c>
      <c r="AD45" s="156">
        <f>AVERAGE($C$45:$F$45)*(1+DCF!$C$12)^(1/4)^(COLUMN(AD23)-COLUMN($F$23))</f>
        <v>0.73932562824682091</v>
      </c>
    </row>
    <row r="46" spans="2:30" x14ac:dyDescent="0.35">
      <c r="B46" s="12" t="s">
        <v>20</v>
      </c>
      <c r="C46" s="152">
        <f>INDEX('IS (Quarterly)'!$E$14:$L$14,MATCH(C$23,'IS (Quarterly)'!$E$9:$L$9,0))</f>
        <v>11.548</v>
      </c>
      <c r="D46" s="152">
        <f>INDEX('IS (Quarterly)'!$E$14:$L$14,MATCH(D$23,'IS (Quarterly)'!$E$9:$L$9,0))</f>
        <v>8.0510000000000002</v>
      </c>
      <c r="E46" s="152">
        <f>INDEX('IS (Quarterly)'!$E$14:$L$14,MATCH(E$23,'IS (Quarterly)'!$E$9:$L$9,0))</f>
        <v>28.693999999999999</v>
      </c>
      <c r="F46" s="152">
        <f>INDEX('IS (Quarterly)'!$E$14:$L$14,MATCH(F$23,'IS (Quarterly)'!$E$9:$L$9,0))</f>
        <v>88.021000000000001</v>
      </c>
      <c r="G46" s="151">
        <f>SUM(G44:G45)</f>
        <v>34.247629263617426</v>
      </c>
      <c r="H46" s="138">
        <f t="shared" ref="H46:AD46" si="21">SUM(H44:H45)</f>
        <v>34.417597904197216</v>
      </c>
      <c r="I46" s="138">
        <f t="shared" si="21"/>
        <v>34.588410087509786</v>
      </c>
      <c r="J46" s="138">
        <f t="shared" si="21"/>
        <v>34.76007000000002</v>
      </c>
      <c r="K46" s="138">
        <f t="shared" si="21"/>
        <v>34.932581848889789</v>
      </c>
      <c r="L46" s="138">
        <f t="shared" si="21"/>
        <v>35.105949862281179</v>
      </c>
      <c r="M46" s="138">
        <f t="shared" si="21"/>
        <v>35.280178289259993</v>
      </c>
      <c r="N46" s="138">
        <f t="shared" si="21"/>
        <v>35.455271400000029</v>
      </c>
      <c r="O46" s="138">
        <f t="shared" si="21"/>
        <v>35.631233485867597</v>
      </c>
      <c r="P46" s="138">
        <f t="shared" si="21"/>
        <v>35.808068859526813</v>
      </c>
      <c r="Q46" s="138">
        <f t="shared" si="21"/>
        <v>35.985781855045211</v>
      </c>
      <c r="R46" s="138">
        <f t="shared" si="21"/>
        <v>36.164376828000051</v>
      </c>
      <c r="S46" s="138">
        <f t="shared" si="21"/>
        <v>36.343858155584968</v>
      </c>
      <c r="T46" s="138">
        <f t="shared" si="21"/>
        <v>36.524230236717365</v>
      </c>
      <c r="U46" s="138">
        <f t="shared" si="21"/>
        <v>36.705497492146129</v>
      </c>
      <c r="V46" s="138">
        <f t="shared" si="21"/>
        <v>36.887664364560059</v>
      </c>
      <c r="W46" s="138">
        <f t="shared" si="21"/>
        <v>37.070735318696684</v>
      </c>
      <c r="X46" s="138">
        <f t="shared" si="21"/>
        <v>37.254714841451722</v>
      </c>
      <c r="Y46" s="138">
        <f t="shared" si="21"/>
        <v>37.439607441989068</v>
      </c>
      <c r="Z46" s="138">
        <f t="shared" si="21"/>
        <v>37.625417651851272</v>
      </c>
      <c r="AA46" s="138">
        <f t="shared" si="21"/>
        <v>37.812150025070629</v>
      </c>
      <c r="AB46" s="138">
        <f t="shared" si="21"/>
        <v>37.999809138280774</v>
      </c>
      <c r="AC46" s="138">
        <f t="shared" si="21"/>
        <v>38.188399590828872</v>
      </c>
      <c r="AD46" s="138">
        <f t="shared" si="21"/>
        <v>38.377926004888323</v>
      </c>
    </row>
    <row r="47" spans="2:30" x14ac:dyDescent="0.35">
      <c r="B47" s="16"/>
      <c r="C47" s="148"/>
      <c r="D47" s="148"/>
      <c r="E47" s="148"/>
      <c r="F47" s="148"/>
      <c r="G47" s="145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</row>
    <row r="48" spans="2:30" ht="13.3" thickBot="1" x14ac:dyDescent="0.4">
      <c r="B48" s="213" t="s">
        <v>21</v>
      </c>
      <c r="C48" s="157">
        <f t="shared" ref="C48:AD48" si="22">C33+C41+C46</f>
        <v>190.63000000000002</v>
      </c>
      <c r="D48" s="157">
        <f t="shared" si="22"/>
        <v>186.38200000000001</v>
      </c>
      <c r="E48" s="157">
        <f t="shared" si="22"/>
        <v>315.35700000000003</v>
      </c>
      <c r="F48" s="157">
        <f t="shared" si="22"/>
        <v>585.11199999999997</v>
      </c>
      <c r="G48" s="158">
        <f t="shared" si="22"/>
        <v>1813.8476551998372</v>
      </c>
      <c r="H48" s="157">
        <f t="shared" si="22"/>
        <v>605.64914727956693</v>
      </c>
      <c r="I48" s="157">
        <f t="shared" si="22"/>
        <v>1093.9672738762808</v>
      </c>
      <c r="J48" s="157">
        <f t="shared" si="22"/>
        <v>1020.5334227820917</v>
      </c>
      <c r="K48" s="157">
        <f t="shared" si="22"/>
        <v>773.66473148823866</v>
      </c>
      <c r="L48" s="157">
        <f t="shared" si="22"/>
        <v>1019.7723623113553</v>
      </c>
      <c r="M48" s="157">
        <f t="shared" si="22"/>
        <v>449.7091764864777</v>
      </c>
      <c r="N48" s="157">
        <f t="shared" si="22"/>
        <v>390.48411674090755</v>
      </c>
      <c r="O48" s="157">
        <f t="shared" si="22"/>
        <v>1087.5170650177713</v>
      </c>
      <c r="P48" s="157">
        <f t="shared" si="22"/>
        <v>991.33207877169616</v>
      </c>
      <c r="Q48" s="157">
        <f t="shared" si="22"/>
        <v>814.50182890863164</v>
      </c>
      <c r="R48" s="157">
        <f t="shared" si="22"/>
        <v>794.77229319077173</v>
      </c>
      <c r="S48" s="157">
        <f t="shared" si="22"/>
        <v>2115.4859210014406</v>
      </c>
      <c r="T48" s="157">
        <f t="shared" si="22"/>
        <v>1447.6576625946909</v>
      </c>
      <c r="U48" s="157">
        <f t="shared" si="22"/>
        <v>1764.1735551544823</v>
      </c>
      <c r="V48" s="157">
        <f t="shared" si="22"/>
        <v>3211.965210915263</v>
      </c>
      <c r="W48" s="157">
        <f t="shared" si="22"/>
        <v>2782.4485737388077</v>
      </c>
      <c r="X48" s="157">
        <f t="shared" si="22"/>
        <v>4161.2688189173123</v>
      </c>
      <c r="Y48" s="157">
        <f t="shared" si="22"/>
        <v>7514.8641079363606</v>
      </c>
      <c r="Z48" s="157">
        <f t="shared" si="22"/>
        <v>5597.335569654113</v>
      </c>
      <c r="AA48" s="157">
        <f t="shared" si="22"/>
        <v>3731.9095465100272</v>
      </c>
      <c r="AB48" s="157">
        <f t="shared" si="22"/>
        <v>3005.9924133670779</v>
      </c>
      <c r="AC48" s="157">
        <f t="shared" si="22"/>
        <v>1791.6405989272751</v>
      </c>
      <c r="AD48" s="157">
        <f t="shared" si="22"/>
        <v>1957.0080651385053</v>
      </c>
    </row>
    <row r="49" spans="2:2" x14ac:dyDescent="0.35">
      <c r="B49" s="25" t="s">
        <v>37</v>
      </c>
    </row>
    <row r="50" spans="2:2" x14ac:dyDescent="0.35">
      <c r="B50" s="26" t="s">
        <v>193</v>
      </c>
    </row>
    <row r="51" spans="2:2" x14ac:dyDescent="0.35">
      <c r="B51" s="26" t="s">
        <v>205</v>
      </c>
    </row>
    <row r="52" spans="2:2" x14ac:dyDescent="0.35">
      <c r="B52" s="18" t="s">
        <v>389</v>
      </c>
    </row>
    <row r="53" spans="2:2" x14ac:dyDescent="0.35">
      <c r="B53" s="18" t="s">
        <v>390</v>
      </c>
    </row>
    <row r="56" spans="2:2" x14ac:dyDescent="0.35">
      <c r="B56" s="9"/>
    </row>
    <row r="57" spans="2:2" x14ac:dyDescent="0.35">
      <c r="B57" s="9"/>
    </row>
    <row r="58" spans="2:2" x14ac:dyDescent="0.35">
      <c r="B58" s="9"/>
    </row>
    <row r="59" spans="2:2" x14ac:dyDescent="0.35">
      <c r="B59" s="9"/>
    </row>
  </sheetData>
  <phoneticPr fontId="12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CDBE-6E53-411E-BFE7-BAA2EFE9155A}">
  <dimension ref="B2:BK26"/>
  <sheetViews>
    <sheetView showGridLines="0" zoomScaleNormal="100" workbookViewId="0"/>
  </sheetViews>
  <sheetFormatPr defaultRowHeight="12.9" x14ac:dyDescent="0.35"/>
  <cols>
    <col min="1" max="1" width="3.07421875" style="3" customWidth="1"/>
    <col min="2" max="2" width="28.69140625" style="3" customWidth="1"/>
    <col min="3" max="3" width="10.3828125" style="10" customWidth="1"/>
    <col min="4" max="8" width="11" style="10" customWidth="1"/>
    <col min="9" max="18" width="11" style="29" customWidth="1"/>
    <col min="19" max="22" width="11" style="3" customWidth="1"/>
    <col min="23" max="16384" width="9.23046875" style="3"/>
  </cols>
  <sheetData>
    <row r="2" spans="2:62" ht="15.9" x14ac:dyDescent="0.45">
      <c r="B2" s="1" t="s">
        <v>407</v>
      </c>
    </row>
    <row r="3" spans="2:62" x14ac:dyDescent="0.35">
      <c r="B3" s="6" t="s">
        <v>0</v>
      </c>
    </row>
    <row r="4" spans="2:62" x14ac:dyDescent="0.35">
      <c r="B4" s="259" t="s">
        <v>408</v>
      </c>
    </row>
    <row r="6" spans="2:62" x14ac:dyDescent="0.35">
      <c r="B6" s="5" t="s">
        <v>364</v>
      </c>
      <c r="C6" s="81"/>
    </row>
    <row r="7" spans="2:62" ht="13.3" thickBot="1" x14ac:dyDescent="0.4"/>
    <row r="8" spans="2:62" x14ac:dyDescent="0.35">
      <c r="B8" s="190" t="s">
        <v>373</v>
      </c>
      <c r="C8" s="244">
        <v>1.4999999999999999E-2</v>
      </c>
    </row>
    <row r="9" spans="2:62" x14ac:dyDescent="0.35">
      <c r="B9" s="191" t="s">
        <v>365</v>
      </c>
      <c r="C9" s="247">
        <f>C15</f>
        <v>1.3023795952756017</v>
      </c>
    </row>
    <row r="10" spans="2:62" x14ac:dyDescent="0.35">
      <c r="B10" s="191" t="s">
        <v>374</v>
      </c>
      <c r="C10" s="245">
        <v>5.5E-2</v>
      </c>
    </row>
    <row r="11" spans="2:62" ht="13.3" thickBot="1" x14ac:dyDescent="0.4">
      <c r="B11" s="193" t="s">
        <v>375</v>
      </c>
      <c r="C11" s="246">
        <f>C8+C9*C10</f>
        <v>8.6630877740158097E-2</v>
      </c>
    </row>
    <row r="13" spans="2:62" x14ac:dyDescent="0.35">
      <c r="B13" s="5" t="s">
        <v>365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</row>
    <row r="14" spans="2:62" ht="13.3" thickBot="1" x14ac:dyDescent="0.4"/>
    <row r="15" spans="2:62" ht="13.3" thickBot="1" x14ac:dyDescent="0.4">
      <c r="B15" s="253" t="s">
        <v>365</v>
      </c>
      <c r="C15" s="252">
        <f>INDEX(LINEST($C$21:$BI$21,$C$19:$BI$19),1,1)</f>
        <v>1.3023795952756017</v>
      </c>
    </row>
    <row r="16" spans="2:62" ht="13.3" thickBot="1" x14ac:dyDescent="0.4">
      <c r="B16" s="23"/>
      <c r="C16" s="243"/>
    </row>
    <row r="17" spans="2:63" x14ac:dyDescent="0.35">
      <c r="B17" s="44" t="s">
        <v>369</v>
      </c>
      <c r="C17" s="113">
        <v>44286</v>
      </c>
      <c r="D17" s="113">
        <v>44255</v>
      </c>
      <c r="E17" s="113">
        <v>44227</v>
      </c>
      <c r="F17" s="113">
        <v>44196</v>
      </c>
      <c r="G17" s="113">
        <v>44165</v>
      </c>
      <c r="H17" s="113">
        <v>44135</v>
      </c>
      <c r="I17" s="113">
        <v>44104</v>
      </c>
      <c r="J17" s="113">
        <v>44074</v>
      </c>
      <c r="K17" s="113">
        <v>44043</v>
      </c>
      <c r="L17" s="113">
        <v>44012</v>
      </c>
      <c r="M17" s="113">
        <v>43982</v>
      </c>
      <c r="N17" s="113">
        <v>43951</v>
      </c>
      <c r="O17" s="113">
        <v>43921</v>
      </c>
      <c r="P17" s="113">
        <v>43890</v>
      </c>
      <c r="Q17" s="113">
        <v>43861</v>
      </c>
      <c r="R17" s="113">
        <v>43830</v>
      </c>
      <c r="S17" s="113">
        <v>43799</v>
      </c>
      <c r="T17" s="113">
        <v>43769</v>
      </c>
      <c r="U17" s="113">
        <v>43738</v>
      </c>
      <c r="V17" s="113">
        <v>43708</v>
      </c>
      <c r="W17" s="113">
        <v>43677</v>
      </c>
      <c r="X17" s="113">
        <v>43646</v>
      </c>
      <c r="Y17" s="113">
        <v>43616</v>
      </c>
      <c r="Z17" s="113">
        <v>43585</v>
      </c>
      <c r="AA17" s="113">
        <v>43555</v>
      </c>
      <c r="AB17" s="113">
        <v>43524</v>
      </c>
      <c r="AC17" s="113">
        <v>43496</v>
      </c>
      <c r="AD17" s="113">
        <v>43465</v>
      </c>
      <c r="AE17" s="113">
        <v>43434</v>
      </c>
      <c r="AF17" s="113">
        <v>43404</v>
      </c>
      <c r="AG17" s="113">
        <v>43373</v>
      </c>
      <c r="AH17" s="113">
        <v>43343</v>
      </c>
      <c r="AI17" s="113">
        <v>43312</v>
      </c>
      <c r="AJ17" s="113">
        <v>43281</v>
      </c>
      <c r="AK17" s="113">
        <v>43251</v>
      </c>
      <c r="AL17" s="113">
        <v>43220</v>
      </c>
      <c r="AM17" s="113">
        <v>43190</v>
      </c>
      <c r="AN17" s="113">
        <v>43159</v>
      </c>
      <c r="AO17" s="113">
        <v>43131</v>
      </c>
      <c r="AP17" s="113">
        <v>43100</v>
      </c>
      <c r="AQ17" s="113">
        <v>43069</v>
      </c>
      <c r="AR17" s="113">
        <v>43039</v>
      </c>
      <c r="AS17" s="113">
        <v>43008</v>
      </c>
      <c r="AT17" s="113">
        <v>42978</v>
      </c>
      <c r="AU17" s="113">
        <v>42947</v>
      </c>
      <c r="AV17" s="113">
        <v>42916</v>
      </c>
      <c r="AW17" s="113">
        <v>42886</v>
      </c>
      <c r="AX17" s="113">
        <v>42855</v>
      </c>
      <c r="AY17" s="113">
        <v>42825</v>
      </c>
      <c r="AZ17" s="113">
        <v>42794</v>
      </c>
      <c r="BA17" s="113">
        <v>42766</v>
      </c>
      <c r="BB17" s="113">
        <v>42735</v>
      </c>
      <c r="BC17" s="113">
        <v>42704</v>
      </c>
      <c r="BD17" s="113">
        <v>42674</v>
      </c>
      <c r="BE17" s="113">
        <v>42643</v>
      </c>
      <c r="BF17" s="113">
        <v>42613</v>
      </c>
      <c r="BG17" s="113">
        <v>42582</v>
      </c>
      <c r="BH17" s="113">
        <v>42551</v>
      </c>
      <c r="BI17" s="113">
        <v>42521</v>
      </c>
      <c r="BJ17" s="113">
        <v>42490</v>
      </c>
    </row>
    <row r="18" spans="2:63" x14ac:dyDescent="0.35">
      <c r="B18" s="7" t="s">
        <v>371</v>
      </c>
      <c r="C18" s="138">
        <f>INDEX(SPY!$F$4:$F$63,MATCH(C$17,SPY!$E$4:$E$63,0))</f>
        <v>396.33</v>
      </c>
      <c r="D18" s="138">
        <f>INDEX(SPY!$F$4:$F$63,MATCH(D$17,SPY!$E$4:$E$63,0))</f>
        <v>380.36</v>
      </c>
      <c r="E18" s="138">
        <f>INDEX(SPY!$F$4:$F$63,MATCH(E$17,SPY!$E$4:$E$63,0))</f>
        <v>370.07</v>
      </c>
      <c r="F18" s="138">
        <f>INDEX(SPY!$F$4:$F$63,MATCH(F$17,SPY!$E$4:$E$63,0))</f>
        <v>373.88</v>
      </c>
      <c r="G18" s="138">
        <f>INDEX(SPY!$F$4:$F$63,MATCH(G$17,SPY!$E$4:$E$63,0))</f>
        <v>362.06</v>
      </c>
      <c r="H18" s="138">
        <f>INDEX(SPY!$F$4:$F$63,MATCH(H$17,SPY!$E$4:$E$63,0))</f>
        <v>326.54000000000002</v>
      </c>
      <c r="I18" s="138">
        <f>INDEX(SPY!$F$4:$F$63,MATCH(I$17,SPY!$E$4:$E$63,0))</f>
        <v>334.89</v>
      </c>
      <c r="J18" s="138">
        <f>INDEX(SPY!$F$4:$F$63,MATCH(J$17,SPY!$E$4:$E$63,0))</f>
        <v>349.31</v>
      </c>
      <c r="K18" s="138">
        <f>INDEX(SPY!$F$4:$F$63,MATCH(K$17,SPY!$E$4:$E$63,0))</f>
        <v>326.52</v>
      </c>
      <c r="L18" s="138">
        <f>INDEX(SPY!$F$4:$F$63,MATCH(L$17,SPY!$E$4:$E$63,0))</f>
        <v>308.36</v>
      </c>
      <c r="M18" s="138">
        <f>INDEX(SPY!$F$4:$F$63,MATCH(M$17,SPY!$E$4:$E$63,0))</f>
        <v>304.32</v>
      </c>
      <c r="N18" s="138">
        <f>INDEX(SPY!$F$4:$F$63,MATCH(N$17,SPY!$E$4:$E$63,0))</f>
        <v>290.48</v>
      </c>
      <c r="O18" s="138">
        <f>INDEX(SPY!$F$4:$F$63,MATCH(O$17,SPY!$E$4:$E$63,0))</f>
        <v>257.75</v>
      </c>
      <c r="P18" s="138">
        <f>INDEX(SPY!$F$4:$F$63,MATCH(P$17,SPY!$E$4:$E$63,0))</f>
        <v>296.26</v>
      </c>
      <c r="Q18" s="138">
        <f>INDEX(SPY!$F$4:$F$63,MATCH(Q$17,SPY!$E$4:$E$63,0))</f>
        <v>321.73</v>
      </c>
      <c r="R18" s="138">
        <f>INDEX(SPY!$F$4:$F$63,MATCH(R$17,SPY!$E$4:$E$63,0))</f>
        <v>321.86</v>
      </c>
      <c r="S18" s="138">
        <f>INDEX(SPY!$F$4:$F$63,MATCH(S$17,SPY!$E$4:$E$63,0))</f>
        <v>314.31</v>
      </c>
      <c r="T18" s="138">
        <f>INDEX(SPY!$F$4:$F$63,MATCH(T$17,SPY!$E$4:$E$63,0))</f>
        <v>303.33</v>
      </c>
      <c r="U18" s="138">
        <f>INDEX(SPY!$F$4:$F$63,MATCH(U$17,SPY!$E$4:$E$63,0))</f>
        <v>296.77</v>
      </c>
      <c r="V18" s="138">
        <f>INDEX(SPY!$F$4:$F$63,MATCH(V$17,SPY!$E$4:$E$63,0))</f>
        <v>292.45</v>
      </c>
      <c r="W18" s="138">
        <f>INDEX(SPY!$F$4:$F$63,MATCH(W$17,SPY!$E$4:$E$63,0))</f>
        <v>297.43</v>
      </c>
      <c r="X18" s="138">
        <f>INDEX(SPY!$F$4:$F$63,MATCH(X$17,SPY!$E$4:$E$63,0))</f>
        <v>293</v>
      </c>
      <c r="Y18" s="138">
        <f>INDEX(SPY!$F$4:$F$63,MATCH(Y$17,SPY!$E$4:$E$63,0))</f>
        <v>275.27</v>
      </c>
      <c r="Z18" s="138">
        <f>INDEX(SPY!$F$4:$F$63,MATCH(Z$17,SPY!$E$4:$E$63,0))</f>
        <v>294.02</v>
      </c>
      <c r="AA18" s="138">
        <f>INDEX(SPY!$F$4:$F$63,MATCH(AA$17,SPY!$E$4:$E$63,0))</f>
        <v>282.48</v>
      </c>
      <c r="AB18" s="138">
        <f>INDEX(SPY!$F$4:$F$63,MATCH(AB$17,SPY!$E$4:$E$63,0))</f>
        <v>278.68</v>
      </c>
      <c r="AC18" s="138">
        <f>INDEX(SPY!$F$4:$F$63,MATCH(AC$17,SPY!$E$4:$E$63,0))</f>
        <v>269.93</v>
      </c>
      <c r="AD18" s="138">
        <f>INDEX(SPY!$F$4:$F$63,MATCH(AD$17,SPY!$E$4:$E$63,0))</f>
        <v>249.92</v>
      </c>
      <c r="AE18" s="138">
        <f>INDEX(SPY!$F$4:$F$63,MATCH(AE$17,SPY!$E$4:$E$63,0))</f>
        <v>275.64999999999998</v>
      </c>
      <c r="AF18" s="138">
        <f>INDEX(SPY!$F$4:$F$63,MATCH(AF$17,SPY!$E$4:$E$63,0))</f>
        <v>270.63</v>
      </c>
      <c r="AG18" s="138">
        <f>INDEX(SPY!$F$4:$F$63,MATCH(AG$17,SPY!$E$4:$E$63,0))</f>
        <v>290.72000000000003</v>
      </c>
      <c r="AH18" s="138">
        <f>INDEX(SPY!$F$4:$F$63,MATCH(AH$17,SPY!$E$4:$E$63,0))</f>
        <v>290.31</v>
      </c>
      <c r="AI18" s="138">
        <f>INDEX(SPY!$F$4:$F$63,MATCH(AI$17,SPY!$E$4:$E$63,0))</f>
        <v>281.33</v>
      </c>
      <c r="AJ18" s="138">
        <f>INDEX(SPY!$F$4:$F$63,MATCH(AJ$17,SPY!$E$4:$E$63,0))</f>
        <v>271.27999999999997</v>
      </c>
      <c r="AK18" s="138">
        <f>INDEX(SPY!$F$4:$F$63,MATCH(AK$17,SPY!$E$4:$E$63,0))</f>
        <v>270.94</v>
      </c>
      <c r="AL18" s="138">
        <f>INDEX(SPY!$F$4:$F$63,MATCH(AL$17,SPY!$E$4:$E$63,0))</f>
        <v>264.51</v>
      </c>
      <c r="AM18" s="138">
        <f>INDEX(SPY!$F$4:$F$63,MATCH(AM$17,SPY!$E$4:$E$63,0))</f>
        <v>263.14999999999998</v>
      </c>
      <c r="AN18" s="138">
        <f>INDEX(SPY!$F$4:$F$63,MATCH(AN$17,SPY!$E$4:$E$63,0))</f>
        <v>271.64999999999998</v>
      </c>
      <c r="AO18" s="138">
        <f>INDEX(SPY!$F$4:$F$63,MATCH(AO$17,SPY!$E$4:$E$63,0))</f>
        <v>281.89999999999998</v>
      </c>
      <c r="AP18" s="138">
        <f>INDEX(SPY!$F$4:$F$63,MATCH(AP$17,SPY!$E$4:$E$63,0))</f>
        <v>266.86</v>
      </c>
      <c r="AQ18" s="138">
        <f>INDEX(SPY!$F$4:$F$63,MATCH(AQ$17,SPY!$E$4:$E$63,0))</f>
        <v>265.01</v>
      </c>
      <c r="AR18" s="138">
        <f>INDEX(SPY!$F$4:$F$63,MATCH(AR$17,SPY!$E$4:$E$63,0))</f>
        <v>257.14999999999998</v>
      </c>
      <c r="AS18" s="138">
        <f>INDEX(SPY!$F$4:$F$63,MATCH(AS$17,SPY!$E$4:$E$63,0))</f>
        <v>251.23</v>
      </c>
      <c r="AT18" s="138">
        <f>INDEX(SPY!$F$4:$F$63,MATCH(AT$17,SPY!$E$4:$E$63,0))</f>
        <v>247.49</v>
      </c>
      <c r="AU18" s="138">
        <f>INDEX(SPY!$F$4:$F$63,MATCH(AU$17,SPY!$E$4:$E$63,0))</f>
        <v>246.77</v>
      </c>
      <c r="AV18" s="138">
        <f>INDEX(SPY!$F$4:$F$63,MATCH(AV$17,SPY!$E$4:$E$63,0))</f>
        <v>241.8</v>
      </c>
      <c r="AW18" s="138">
        <f>INDEX(SPY!$F$4:$F$63,MATCH(AW$17,SPY!$E$4:$E$63,0))</f>
        <v>241.44</v>
      </c>
      <c r="AX18" s="138">
        <f>INDEX(SPY!$F$4:$F$63,MATCH(AX$17,SPY!$E$4:$E$63,0))</f>
        <v>238.08</v>
      </c>
      <c r="AY18" s="138">
        <f>INDEX(SPY!$F$4:$F$63,MATCH(AY$17,SPY!$E$4:$E$63,0))</f>
        <v>235.74</v>
      </c>
      <c r="AZ18" s="138">
        <f>INDEX(SPY!$F$4:$F$63,MATCH(AZ$17,SPY!$E$4:$E$63,0))</f>
        <v>236.47</v>
      </c>
      <c r="BA18" s="138">
        <f>INDEX(SPY!$F$4:$F$63,MATCH(BA$17,SPY!$E$4:$E$63,0))</f>
        <v>227.53</v>
      </c>
      <c r="BB18" s="138">
        <f>INDEX(SPY!$F$4:$F$63,MATCH(BB$17,SPY!$E$4:$E$63,0))</f>
        <v>223.53</v>
      </c>
      <c r="BC18" s="138">
        <f>INDEX(SPY!$F$4:$F$63,MATCH(BC$17,SPY!$E$4:$E$63,0))</f>
        <v>220.38</v>
      </c>
      <c r="BD18" s="138">
        <f>INDEX(SPY!$F$4:$F$63,MATCH(BD$17,SPY!$E$4:$E$63,0))</f>
        <v>212.55</v>
      </c>
      <c r="BE18" s="138">
        <f>INDEX(SPY!$F$4:$F$63,MATCH(BE$17,SPY!$E$4:$E$63,0))</f>
        <v>216.3</v>
      </c>
      <c r="BF18" s="138">
        <f>INDEX(SPY!$F$4:$F$63,MATCH(BF$17,SPY!$E$4:$E$63,0))</f>
        <v>217.38</v>
      </c>
      <c r="BG18" s="138">
        <f>INDEX(SPY!$F$4:$F$63,MATCH(BG$17,SPY!$E$4:$E$63,0))</f>
        <v>217.12</v>
      </c>
      <c r="BH18" s="138">
        <f>INDEX(SPY!$F$4:$F$63,MATCH(BH$17,SPY!$E$4:$E$63,0))</f>
        <v>209.47499999999999</v>
      </c>
      <c r="BI18" s="138">
        <f>INDEX(SPY!$F$4:$F$63,MATCH(BI$17,SPY!$E$4:$E$63,0))</f>
        <v>209.84</v>
      </c>
      <c r="BJ18" s="138">
        <f>INDEX(SPY!$F$4:$F$63,MATCH(BJ$17,SPY!$E$4:$E$63,0))</f>
        <v>206.33080000000001</v>
      </c>
    </row>
    <row r="19" spans="2:63" x14ac:dyDescent="0.35">
      <c r="B19" s="16" t="s">
        <v>372</v>
      </c>
      <c r="C19" s="241">
        <f>C18/D18-1</f>
        <v>4.1986539068251005E-2</v>
      </c>
      <c r="D19" s="241">
        <f t="shared" ref="D19:BI19" si="0">D18/E18-1</f>
        <v>2.7805550301294391E-2</v>
      </c>
      <c r="E19" s="241">
        <f t="shared" si="0"/>
        <v>-1.0190435433829026E-2</v>
      </c>
      <c r="F19" s="241">
        <f t="shared" si="0"/>
        <v>3.2646522675799483E-2</v>
      </c>
      <c r="G19" s="241">
        <f t="shared" si="0"/>
        <v>0.10877687266491076</v>
      </c>
      <c r="H19" s="241">
        <f t="shared" si="0"/>
        <v>-2.4933560273522559E-2</v>
      </c>
      <c r="I19" s="241">
        <f t="shared" si="0"/>
        <v>-4.1281383298502838E-2</v>
      </c>
      <c r="J19" s="241">
        <f t="shared" si="0"/>
        <v>6.9796643390910296E-2</v>
      </c>
      <c r="K19" s="241">
        <f t="shared" si="0"/>
        <v>5.8892203917498831E-2</v>
      </c>
      <c r="L19" s="241">
        <f t="shared" si="0"/>
        <v>1.3275499474237673E-2</v>
      </c>
      <c r="M19" s="241">
        <f t="shared" si="0"/>
        <v>4.7645276783255142E-2</v>
      </c>
      <c r="N19" s="241">
        <f t="shared" si="0"/>
        <v>0.12698351115421924</v>
      </c>
      <c r="O19" s="241">
        <f t="shared" si="0"/>
        <v>-0.129987173428745</v>
      </c>
      <c r="P19" s="241">
        <f t="shared" si="0"/>
        <v>-7.9165760109408567E-2</v>
      </c>
      <c r="Q19" s="241">
        <f t="shared" si="0"/>
        <v>-4.0390231777787111E-4</v>
      </c>
      <c r="R19" s="241">
        <f t="shared" si="0"/>
        <v>2.4020871114504905E-2</v>
      </c>
      <c r="S19" s="241">
        <f t="shared" si="0"/>
        <v>3.619819998021967E-2</v>
      </c>
      <c r="T19" s="241">
        <f t="shared" si="0"/>
        <v>2.2104660174546042E-2</v>
      </c>
      <c r="U19" s="241">
        <f t="shared" si="0"/>
        <v>1.4771755855701896E-2</v>
      </c>
      <c r="V19" s="241">
        <f t="shared" si="0"/>
        <v>-1.6743435430185305E-2</v>
      </c>
      <c r="W19" s="241">
        <f t="shared" si="0"/>
        <v>1.511945392491465E-2</v>
      </c>
      <c r="X19" s="241">
        <f t="shared" si="0"/>
        <v>6.4409488865477593E-2</v>
      </c>
      <c r="Y19" s="241">
        <f t="shared" si="0"/>
        <v>-6.3771172029113643E-2</v>
      </c>
      <c r="Z19" s="241">
        <f t="shared" si="0"/>
        <v>4.0852449730954365E-2</v>
      </c>
      <c r="AA19" s="241">
        <f t="shared" si="0"/>
        <v>1.3635711209990076E-2</v>
      </c>
      <c r="AB19" s="241">
        <f t="shared" si="0"/>
        <v>3.241581150668682E-2</v>
      </c>
      <c r="AC19" s="241">
        <f t="shared" si="0"/>
        <v>8.0065620998719611E-2</v>
      </c>
      <c r="AD19" s="241">
        <f t="shared" si="0"/>
        <v>-9.3343007436967107E-2</v>
      </c>
      <c r="AE19" s="241">
        <f t="shared" si="0"/>
        <v>1.8549310867235658E-2</v>
      </c>
      <c r="AF19" s="241">
        <f t="shared" si="0"/>
        <v>-6.9104292790313826E-2</v>
      </c>
      <c r="AG19" s="241">
        <f t="shared" si="0"/>
        <v>1.4122834211705015E-3</v>
      </c>
      <c r="AH19" s="241">
        <f t="shared" si="0"/>
        <v>3.1919809476415706E-2</v>
      </c>
      <c r="AI19" s="241">
        <f t="shared" si="0"/>
        <v>3.7046593925095905E-2</v>
      </c>
      <c r="AJ19" s="241">
        <f t="shared" si="0"/>
        <v>1.2548903816342882E-3</v>
      </c>
      <c r="AK19" s="241">
        <f t="shared" si="0"/>
        <v>2.4309099844996407E-2</v>
      </c>
      <c r="AL19" s="241">
        <f t="shared" si="0"/>
        <v>5.1681550446514013E-3</v>
      </c>
      <c r="AM19" s="241">
        <f t="shared" si="0"/>
        <v>-3.1290263206331659E-2</v>
      </c>
      <c r="AN19" s="241">
        <f t="shared" si="0"/>
        <v>-3.6360411493437383E-2</v>
      </c>
      <c r="AO19" s="241">
        <f t="shared" si="0"/>
        <v>5.6359139623772592E-2</v>
      </c>
      <c r="AP19" s="241">
        <f t="shared" si="0"/>
        <v>6.9808686464662983E-3</v>
      </c>
      <c r="AQ19" s="241">
        <f t="shared" si="0"/>
        <v>3.0565817616177382E-2</v>
      </c>
      <c r="AR19" s="241">
        <f t="shared" si="0"/>
        <v>2.356406480117812E-2</v>
      </c>
      <c r="AS19" s="241">
        <f t="shared" si="0"/>
        <v>1.5111721685724611E-2</v>
      </c>
      <c r="AT19" s="241">
        <f t="shared" si="0"/>
        <v>2.9176966405966009E-3</v>
      </c>
      <c r="AU19" s="241">
        <f t="shared" si="0"/>
        <v>2.0554177005789986E-2</v>
      </c>
      <c r="AV19" s="241">
        <f t="shared" si="0"/>
        <v>1.4910536779324524E-3</v>
      </c>
      <c r="AW19" s="241">
        <f t="shared" si="0"/>
        <v>1.4112903225806495E-2</v>
      </c>
      <c r="AX19" s="241">
        <f t="shared" si="0"/>
        <v>9.9261898701958895E-3</v>
      </c>
      <c r="AY19" s="241">
        <f t="shared" si="0"/>
        <v>-3.0870723559013324E-3</v>
      </c>
      <c r="AZ19" s="241">
        <f t="shared" si="0"/>
        <v>3.9291521997099288E-2</v>
      </c>
      <c r="BA19" s="241">
        <f t="shared" si="0"/>
        <v>1.7894689750816539E-2</v>
      </c>
      <c r="BB19" s="241">
        <f t="shared" si="0"/>
        <v>1.4293493057446316E-2</v>
      </c>
      <c r="BC19" s="241">
        <f t="shared" si="0"/>
        <v>3.683839096683128E-2</v>
      </c>
      <c r="BD19" s="241">
        <f t="shared" si="0"/>
        <v>-1.7337031900138689E-2</v>
      </c>
      <c r="BE19" s="241">
        <f t="shared" si="0"/>
        <v>-4.9682583494341515E-3</v>
      </c>
      <c r="BF19" s="241">
        <f t="shared" si="0"/>
        <v>1.1974944731023562E-3</v>
      </c>
      <c r="BG19" s="241">
        <f t="shared" si="0"/>
        <v>3.6496001909535725E-2</v>
      </c>
      <c r="BH19" s="241">
        <f t="shared" si="0"/>
        <v>-1.7394205108655081E-3</v>
      </c>
      <c r="BI19" s="241">
        <f t="shared" si="0"/>
        <v>1.7007640158425152E-2</v>
      </c>
      <c r="BJ19" s="130"/>
    </row>
    <row r="20" spans="2:63" x14ac:dyDescent="0.35">
      <c r="B20" s="14" t="s">
        <v>201</v>
      </c>
      <c r="C20" s="130">
        <f>INDEX(BTCUSD!$F$10:$F$87,MATCH(C$17,BTCUSD!$B$10:$B$88,0))</f>
        <v>58918.832030999998</v>
      </c>
      <c r="D20" s="130">
        <f>INDEX(BTCUSD!$F$10:$F$87,MATCH(D$17,BTCUSD!$B$10:$B$88,0))</f>
        <v>45137.769530999998</v>
      </c>
      <c r="E20" s="130">
        <f>INDEX(BTCUSD!$F$10:$F$87,MATCH(E$17,BTCUSD!$B$10:$B$88,0))</f>
        <v>33114.359375</v>
      </c>
      <c r="F20" s="130">
        <f>INDEX(BTCUSD!$F$10:$F$87,MATCH(F$17,BTCUSD!$B$10:$B$88,0))</f>
        <v>29001.720702999999</v>
      </c>
      <c r="G20" s="130">
        <f>INDEX(BTCUSD!$F$10:$F$87,MATCH(G$17,BTCUSD!$B$10:$B$88,0))</f>
        <v>19625.835938</v>
      </c>
      <c r="H20" s="130">
        <f>INDEX(BTCUSD!$F$10:$F$87,MATCH(H$17,BTCUSD!$B$10:$B$88,0))</f>
        <v>13780.995117</v>
      </c>
      <c r="I20" s="130">
        <f>INDEX(BTCUSD!$F$10:$F$87,MATCH(I$17,BTCUSD!$B$10:$B$88,0))</f>
        <v>10787.618164</v>
      </c>
      <c r="J20" s="130">
        <f>INDEX(BTCUSD!$F$10:$F$87,MATCH(J$17,BTCUSD!$B$10:$B$88,0))</f>
        <v>11680.820313</v>
      </c>
      <c r="K20" s="130">
        <f>INDEX(BTCUSD!$F$10:$F$87,MATCH(K$17,BTCUSD!$B$10:$B$88,0))</f>
        <v>11323.466796999999</v>
      </c>
      <c r="L20" s="130">
        <f>INDEX(BTCUSD!$F$10:$F$87,MATCH(L$17,BTCUSD!$B$10:$B$88,0))</f>
        <v>9137.9931639999995</v>
      </c>
      <c r="M20" s="130">
        <f>INDEX(BTCUSD!$F$10:$F$87,MATCH(M$17,BTCUSD!$B$10:$B$88,0))</f>
        <v>9461.0585940000001</v>
      </c>
      <c r="N20" s="130">
        <f>INDEX(BTCUSD!$F$10:$F$87,MATCH(N$17,BTCUSD!$B$10:$B$88,0))</f>
        <v>8658.5537110000005</v>
      </c>
      <c r="O20" s="130">
        <f>INDEX(BTCUSD!$F$10:$F$87,MATCH(O$17,BTCUSD!$B$10:$B$88,0))</f>
        <v>6438.6445309999999</v>
      </c>
      <c r="P20" s="130">
        <f>INDEX(BTCUSD!$F$10:$F$87,MATCH(P$17,BTCUSD!$B$10:$B$88,0))</f>
        <v>8599.5087889999995</v>
      </c>
      <c r="Q20" s="130">
        <f>INDEX(BTCUSD!$F$10:$F$87,MATCH(Q$17,BTCUSD!$B$10:$B$88,0))</f>
        <v>9350.5292969999991</v>
      </c>
      <c r="R20" s="130">
        <f>INDEX(BTCUSD!$F$10:$F$87,MATCH(R$17,BTCUSD!$B$10:$B$88,0))</f>
        <v>7193.5991210000002</v>
      </c>
      <c r="S20" s="130">
        <f>INDEX(BTCUSD!$F$10:$F$87,MATCH(S$17,BTCUSD!$B$10:$B$88,0))</f>
        <v>7569.6298829999996</v>
      </c>
      <c r="T20" s="130">
        <f>INDEX(BTCUSD!$F$10:$F$87,MATCH(T$17,BTCUSD!$B$10:$B$88,0))</f>
        <v>9199.5849610000005</v>
      </c>
      <c r="U20" s="130">
        <f>INDEX(BTCUSD!$F$10:$F$87,MATCH(U$17,BTCUSD!$B$10:$B$88,0))</f>
        <v>8293.8681639999995</v>
      </c>
      <c r="V20" s="130">
        <f>INDEX(BTCUSD!$F$10:$F$87,MATCH(V$17,BTCUSD!$B$10:$B$88,0))</f>
        <v>9630.6640630000002</v>
      </c>
      <c r="W20" s="130">
        <f>INDEX(BTCUSD!$F$10:$F$87,MATCH(W$17,BTCUSD!$B$10:$B$88,0))</f>
        <v>10085.627930000001</v>
      </c>
      <c r="X20" s="130">
        <f>INDEX(BTCUSD!$F$10:$F$87,MATCH(X$17,BTCUSD!$B$10:$B$88,0))</f>
        <v>10817.155273</v>
      </c>
      <c r="Y20" s="130">
        <f>INDEX(BTCUSD!$F$10:$F$87,MATCH(Y$17,BTCUSD!$B$10:$B$88,0))</f>
        <v>8574.5019530000009</v>
      </c>
      <c r="Z20" s="130">
        <f>INDEX(BTCUSD!$F$10:$F$87,MATCH(Z$17,BTCUSD!$B$10:$B$88,0))</f>
        <v>5350.7265630000002</v>
      </c>
      <c r="AA20" s="130">
        <f>INDEX(BTCUSD!$F$10:$F$87,MATCH(AA$17,BTCUSD!$B$10:$B$88,0))</f>
        <v>4105.404297</v>
      </c>
      <c r="AB20" s="130">
        <f>INDEX(BTCUSD!$F$10:$F$87,MATCH(AB$17,BTCUSD!$B$10:$B$88,0))</f>
        <v>3854.7854000000002</v>
      </c>
      <c r="AC20" s="130">
        <f>INDEX(BTCUSD!$F$10:$F$87,MATCH(AC$17,BTCUSD!$B$10:$B$88,0))</f>
        <v>3457.7927249999998</v>
      </c>
      <c r="AD20" s="130">
        <f>INDEX(BTCUSD!$F$10:$F$87,MATCH(AD$17,BTCUSD!$B$10:$B$88,0))</f>
        <v>3742.7004390000002</v>
      </c>
      <c r="AE20" s="130">
        <f>INDEX(BTCUSD!$F$10:$F$87,MATCH(AE$17,BTCUSD!$B$10:$B$88,0))</f>
        <v>4017.2685550000001</v>
      </c>
      <c r="AF20" s="130">
        <f>INDEX(BTCUSD!$F$10:$F$87,MATCH(AF$17,BTCUSD!$B$10:$B$88,0))</f>
        <v>6317.6098629999997</v>
      </c>
      <c r="AG20" s="130">
        <f>INDEX(BTCUSD!$F$10:$F$87,MATCH(AG$17,BTCUSD!$B$10:$B$88,0))</f>
        <v>6625.5600590000004</v>
      </c>
      <c r="AH20" s="130">
        <f>INDEX(BTCUSD!$F$10:$F$87,MATCH(AH$17,BTCUSD!$B$10:$B$88,0))</f>
        <v>7037.580078</v>
      </c>
      <c r="AI20" s="130">
        <f>INDEX(BTCUSD!$F$10:$F$87,MATCH(AI$17,BTCUSD!$B$10:$B$88,0))</f>
        <v>7780.4399409999996</v>
      </c>
      <c r="AJ20" s="130">
        <f>INDEX(BTCUSD!$F$10:$F$87,MATCH(AJ$17,BTCUSD!$B$10:$B$88,0))</f>
        <v>6404</v>
      </c>
      <c r="AK20" s="130">
        <f>INDEX(BTCUSD!$F$10:$F$87,MATCH(AK$17,BTCUSD!$B$10:$B$88,0))</f>
        <v>7494.169922</v>
      </c>
      <c r="AL20" s="130">
        <f>INDEX(BTCUSD!$F$10:$F$87,MATCH(AL$17,BTCUSD!$B$10:$B$88,0))</f>
        <v>9240.5498050000006</v>
      </c>
      <c r="AM20" s="130">
        <f>INDEX(BTCUSD!$F$10:$F$87,MATCH(AM$17,BTCUSD!$B$10:$B$88,0))</f>
        <v>6973.5297849999997</v>
      </c>
      <c r="AN20" s="130">
        <f>INDEX(BTCUSD!$F$10:$F$87,MATCH(AN$17,BTCUSD!$B$10:$B$88,0))</f>
        <v>10397.900390999999</v>
      </c>
      <c r="AO20" s="130">
        <f>INDEX(BTCUSD!$F$10:$F$87,MATCH(AO$17,BTCUSD!$B$10:$B$88,0))</f>
        <v>10221.099609000001</v>
      </c>
      <c r="AP20" s="130">
        <f>INDEX(BTCUSD!$F$10:$F$87,MATCH(AP$17,BTCUSD!$B$10:$B$88,0))</f>
        <v>14156.400390999999</v>
      </c>
      <c r="AQ20" s="130">
        <f>INDEX(BTCUSD!$F$10:$F$87,MATCH(AQ$17,BTCUSD!$B$10:$B$88,0))</f>
        <v>10233.599609000001</v>
      </c>
      <c r="AR20" s="130">
        <f>INDEX(BTCUSD!$F$10:$F$87,MATCH(AR$17,BTCUSD!$B$10:$B$88,0))</f>
        <v>6468.3999020000001</v>
      </c>
      <c r="AS20" s="130">
        <f>INDEX(BTCUSD!$F$10:$F$87,MATCH(AS$17,BTCUSD!$B$10:$B$88,0))</f>
        <v>4338.7099609999996</v>
      </c>
      <c r="AT20" s="130">
        <f>INDEX(BTCUSD!$F$10:$F$87,MATCH(AT$17,BTCUSD!$B$10:$B$88,0))</f>
        <v>4703.3901370000003</v>
      </c>
      <c r="AU20" s="130">
        <f>INDEX(BTCUSD!$F$10:$F$87,MATCH(AU$17,BTCUSD!$B$10:$B$88,0))</f>
        <v>2875.3400879999999</v>
      </c>
      <c r="AV20" s="130">
        <f>INDEX(BTCUSD!$F$10:$F$87,MATCH(AV$17,BTCUSD!$B$10:$B$88,0))</f>
        <v>2480.8400879999999</v>
      </c>
      <c r="AW20" s="130">
        <f>INDEX(BTCUSD!$F$10:$F$87,MATCH(AW$17,BTCUSD!$B$10:$B$88,0))</f>
        <v>2286.4099120000001</v>
      </c>
      <c r="AX20" s="130">
        <f>INDEX(BTCUSD!$F$10:$F$87,MATCH(AX$17,BTCUSD!$B$10:$B$88,0))</f>
        <v>1347.8900149999999</v>
      </c>
      <c r="AY20" s="130">
        <f>INDEX(BTCUSD!$F$10:$F$87,MATCH(AY$17,BTCUSD!$B$10:$B$88,0))</f>
        <v>1071.790039</v>
      </c>
      <c r="AZ20" s="130">
        <f>INDEX(BTCUSD!$F$10:$F$87,MATCH(AZ$17,BTCUSD!$B$10:$B$88,0))</f>
        <v>1179.969971</v>
      </c>
      <c r="BA20" s="130">
        <f>INDEX(BTCUSD!$F$10:$F$87,MATCH(BA$17,BTCUSD!$B$10:$B$88,0))</f>
        <v>970.40301499999998</v>
      </c>
      <c r="BB20" s="130">
        <f>INDEX(BTCUSD!$F$10:$F$87,MATCH(BB$17,BTCUSD!$B$10:$B$88,0))</f>
        <v>963.74298099999999</v>
      </c>
      <c r="BC20" s="130">
        <f>INDEX(BTCUSD!$F$10:$F$87,MATCH(BC$17,BTCUSD!$B$10:$B$88,0))</f>
        <v>745.69097899999997</v>
      </c>
      <c r="BD20" s="130">
        <f>INDEX(BTCUSD!$F$10:$F$87,MATCH(BD$17,BTCUSD!$B$10:$B$88,0))</f>
        <v>700.97198500000002</v>
      </c>
      <c r="BE20" s="130">
        <f>INDEX(BTCUSD!$F$10:$F$87,MATCH(BE$17,BTCUSD!$B$10:$B$88,0))</f>
        <v>609.73498500000005</v>
      </c>
      <c r="BF20" s="130">
        <f>INDEX(BTCUSD!$F$10:$F$87,MATCH(BF$17,BTCUSD!$B$10:$B$88,0))</f>
        <v>575.47198500000002</v>
      </c>
      <c r="BG20" s="130">
        <f>INDEX(BTCUSD!$F$10:$F$87,MATCH(BG$17,BTCUSD!$B$10:$B$88,0))</f>
        <v>624.68102999999996</v>
      </c>
      <c r="BH20" s="130">
        <f>INDEX(BTCUSD!$F$10:$F$87,MATCH(BH$17,BTCUSD!$B$10:$B$88,0))</f>
        <v>673.33697500000005</v>
      </c>
      <c r="BI20" s="130">
        <f>INDEX(BTCUSD!$F$10:$F$87,MATCH(BI$17,BTCUSD!$B$10:$B$88,0))</f>
        <v>531.385986</v>
      </c>
      <c r="BJ20" s="130">
        <f>INDEX(BTCUSD!$F$10:$F$87,MATCH(BJ$17,BTCUSD!$B$10:$B$88,0))</f>
        <v>448.317993</v>
      </c>
    </row>
    <row r="21" spans="2:63" ht="13.3" thickBot="1" x14ac:dyDescent="0.4">
      <c r="B21" s="40" t="s">
        <v>372</v>
      </c>
      <c r="C21" s="240">
        <f>C20/D20-1</f>
        <v>0.30531110959161056</v>
      </c>
      <c r="D21" s="240">
        <f t="shared" ref="D21" si="1">D20/E20-1</f>
        <v>0.36308750593185835</v>
      </c>
      <c r="E21" s="240">
        <f t="shared" ref="E21" si="2">E20/F20-1</f>
        <v>0.14180671257807753</v>
      </c>
      <c r="F21" s="240">
        <f t="shared" ref="F21" si="3">F20/G20-1</f>
        <v>0.4777317406819952</v>
      </c>
      <c r="G21" s="240">
        <f t="shared" ref="G21" si="4">G20/H20-1</f>
        <v>0.42412327784587234</v>
      </c>
      <c r="H21" s="240">
        <f t="shared" ref="H21" si="5">H20/I20-1</f>
        <v>0.27748265719947129</v>
      </c>
      <c r="I21" s="240">
        <f t="shared" ref="I21" si="6">I20/J20-1</f>
        <v>-7.6467416248662268E-2</v>
      </c>
      <c r="J21" s="240">
        <f t="shared" ref="J21" si="7">J20/K20-1</f>
        <v>3.1558666829373916E-2</v>
      </c>
      <c r="K21" s="240">
        <f t="shared" ref="K21" si="8">K20/L20-1</f>
        <v>0.23916341299202126</v>
      </c>
      <c r="L21" s="240">
        <f t="shared" ref="L21" si="9">L20/M20-1</f>
        <v>-3.4146858598347762E-2</v>
      </c>
      <c r="M21" s="240">
        <f t="shared" ref="M21" si="10">M20/N20-1</f>
        <v>9.2683479225922127E-2</v>
      </c>
      <c r="N21" s="240">
        <f t="shared" ref="N21" si="11">N20/O20-1</f>
        <v>0.34477896229739868</v>
      </c>
      <c r="O21" s="240">
        <f t="shared" ref="O21" si="12">O20/P20-1</f>
        <v>-0.25127763817906135</v>
      </c>
      <c r="P21" s="240">
        <f t="shared" ref="P21" si="13">P20/Q20-1</f>
        <v>-8.0318502209383524E-2</v>
      </c>
      <c r="Q21" s="240">
        <f t="shared" ref="Q21" si="14">Q20/R20-1</f>
        <v>0.29984019678040652</v>
      </c>
      <c r="R21" s="240">
        <f t="shared" ref="R21" si="15">R20/S20-1</f>
        <v>-4.9676241482360384E-2</v>
      </c>
      <c r="S21" s="240">
        <f t="shared" ref="S21" si="16">S20/T20-1</f>
        <v>-0.17717702319288364</v>
      </c>
      <c r="T21" s="240">
        <f t="shared" ref="T21" si="17">T20/U20-1</f>
        <v>0.10920318228969639</v>
      </c>
      <c r="U21" s="240">
        <f t="shared" ref="U21" si="18">U20/V20-1</f>
        <v>-0.13880620175879976</v>
      </c>
      <c r="V21" s="240">
        <f t="shared" ref="V21" si="19">V20/W20-1</f>
        <v>-4.5110118096533869E-2</v>
      </c>
      <c r="W21" s="240">
        <f t="shared" ref="W21" si="20">W20/X20-1</f>
        <v>-6.7626591699752825E-2</v>
      </c>
      <c r="X21" s="240">
        <f t="shared" ref="X21" si="21">X20/Y20-1</f>
        <v>0.26154910597639458</v>
      </c>
      <c r="Y21" s="240">
        <f t="shared" ref="Y21" si="22">Y20/Z20-1</f>
        <v>0.60249301698431812</v>
      </c>
      <c r="Z21" s="240">
        <f t="shared" ref="Z21" si="23">Z20/AA20-1</f>
        <v>0.30333730271340431</v>
      </c>
      <c r="AA21" s="240">
        <f t="shared" ref="AA21" si="24">AA20/AB20-1</f>
        <v>6.5015006282840071E-2</v>
      </c>
      <c r="AB21" s="240">
        <f t="shared" ref="AB21" si="25">AB20/AC20-1</f>
        <v>0.11481100996301064</v>
      </c>
      <c r="AC21" s="240">
        <f t="shared" ref="AC21" si="26">AC20/AD20-1</f>
        <v>-7.6123568702207933E-2</v>
      </c>
      <c r="AD21" s="240">
        <f t="shared" ref="AD21" si="27">AD20/AE20-1</f>
        <v>-6.8346965666078008E-2</v>
      </c>
      <c r="AE21" s="240">
        <f t="shared" ref="AE21" si="28">AE20/AF20-1</f>
        <v>-0.36411575863085233</v>
      </c>
      <c r="AF21" s="240">
        <f t="shared" ref="AF21" si="29">AF20/AG20-1</f>
        <v>-4.6479119237880617E-2</v>
      </c>
      <c r="AG21" s="240">
        <f t="shared" ref="AG21" si="30">AG20/AH20-1</f>
        <v>-5.8545695314786483E-2</v>
      </c>
      <c r="AH21" s="240">
        <f t="shared" ref="AH21" si="31">AH20/AI20-1</f>
        <v>-9.5477873826312454E-2</v>
      </c>
      <c r="AI21" s="240">
        <f t="shared" ref="AI21" si="32">AI20/AJ20-1</f>
        <v>0.21493440677701425</v>
      </c>
      <c r="AJ21" s="240">
        <f t="shared" ref="AJ21" si="33">AJ20/AK20-1</f>
        <v>-0.14546906906923485</v>
      </c>
      <c r="AK21" s="240">
        <f t="shared" ref="AK21" si="34">AK20/AL20-1</f>
        <v>-0.18899090636955884</v>
      </c>
      <c r="AL21" s="240">
        <f t="shared" ref="AL21" si="35">AL20/AM20-1</f>
        <v>0.32508931486552783</v>
      </c>
      <c r="AM21" s="240">
        <f t="shared" ref="AM21" si="36">AM20/AN20-1</f>
        <v>-0.32933289195230186</v>
      </c>
      <c r="AN21" s="240">
        <f t="shared" ref="AN21" si="37">AN20/AO20-1</f>
        <v>1.7297628314307811E-2</v>
      </c>
      <c r="AO21" s="240">
        <f t="shared" ref="AO21" si="38">AO20/AP20-1</f>
        <v>-0.27798738897650033</v>
      </c>
      <c r="AP21" s="240">
        <f t="shared" ref="AP21" si="39">AP20/AQ20-1</f>
        <v>0.38332560700831686</v>
      </c>
      <c r="AQ21" s="240">
        <f t="shared" ref="AQ21" si="40">AQ20/AR20-1</f>
        <v>0.58209136170381459</v>
      </c>
      <c r="AR21" s="240">
        <f t="shared" ref="AR21" si="41">AR20/AS20-1</f>
        <v>0.49085787253433799</v>
      </c>
      <c r="AS21" s="240">
        <f t="shared" ref="AS21" si="42">AS20/AT20-1</f>
        <v>-7.7535599934860477E-2</v>
      </c>
      <c r="AT21" s="240">
        <f t="shared" ref="AT21" si="43">AT20/AU20-1</f>
        <v>0.63576828933357143</v>
      </c>
      <c r="AU21" s="240">
        <f t="shared" ref="AU21" si="44">AU20/AV20-1</f>
        <v>0.15901871382529831</v>
      </c>
      <c r="AV21" s="240">
        <f t="shared" ref="AV21" si="45">AV20/AW20-1</f>
        <v>8.5037322039041241E-2</v>
      </c>
      <c r="AW21" s="240">
        <f t="shared" ref="AW21" si="46">AW20/AX20-1</f>
        <v>0.69628818861752606</v>
      </c>
      <c r="AX21" s="240">
        <f t="shared" ref="AX21" si="47">AX20/AY20-1</f>
        <v>0.25760640233007415</v>
      </c>
      <c r="AY21" s="240">
        <f t="shared" ref="AY21" si="48">AY20/AZ20-1</f>
        <v>-9.1680241581334254E-2</v>
      </c>
      <c r="AZ21" s="240">
        <f t="shared" ref="AZ21" si="49">AZ20/BA20-1</f>
        <v>0.21595868186786293</v>
      </c>
      <c r="BA21" s="240">
        <f t="shared" ref="BA21" si="50">BA20/BB20-1</f>
        <v>6.9105914453346795E-3</v>
      </c>
      <c r="BB21" s="240">
        <f t="shared" ref="BB21" si="51">BB20/BC20-1</f>
        <v>0.29241603846732334</v>
      </c>
      <c r="BC21" s="240">
        <f t="shared" ref="BC21" si="52">BC20/BD20-1</f>
        <v>6.3795693632463735E-2</v>
      </c>
      <c r="BD21" s="240">
        <f t="shared" ref="BD21" si="53">BD20/BE20-1</f>
        <v>0.14963386101258402</v>
      </c>
      <c r="BE21" s="240">
        <f t="shared" ref="BE21" si="54">BE20/BF20-1</f>
        <v>5.953895392492492E-2</v>
      </c>
      <c r="BF21" s="240">
        <f t="shared" ref="BF21" si="55">BF20/BG20-1</f>
        <v>-7.8774674812839951E-2</v>
      </c>
      <c r="BG21" s="240">
        <f t="shared" ref="BG21" si="56">BG20/BH20-1</f>
        <v>-7.2260913638375612E-2</v>
      </c>
      <c r="BH21" s="240">
        <f t="shared" ref="BH21" si="57">BH20/BI20-1</f>
        <v>0.26713348251528801</v>
      </c>
      <c r="BI21" s="240">
        <f t="shared" ref="BI21" si="58">BI20/BJ20-1</f>
        <v>0.18528810865728507</v>
      </c>
      <c r="BJ21" s="86"/>
    </row>
    <row r="25" spans="2:63" x14ac:dyDescent="0.35"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29"/>
      <c r="BF25" s="29"/>
      <c r="BG25" s="29"/>
      <c r="BH25" s="29"/>
      <c r="BI25" s="29"/>
      <c r="BJ25" s="29"/>
      <c r="BK25" s="10"/>
    </row>
    <row r="26" spans="2:63" x14ac:dyDescent="0.35">
      <c r="O26" s="10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BC64-3553-4730-BBAA-7AAF5260C8AB}">
  <sheetPr>
    <tabColor rgb="FF1440AA"/>
  </sheetPr>
  <dimension ref="A1"/>
  <sheetViews>
    <sheetView topLeftCell="A1048576" workbookViewId="0">
      <selection activeCell="L24" sqref="L24"/>
    </sheetView>
  </sheetViews>
  <sheetFormatPr defaultRowHeight="14.6" zeroHeight="1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D47D-0F0D-4FC7-8B4E-A11406EFC15D}">
  <dimension ref="B2:K64"/>
  <sheetViews>
    <sheetView showGridLines="0" workbookViewId="0"/>
  </sheetViews>
  <sheetFormatPr defaultRowHeight="12.9" x14ac:dyDescent="0.35"/>
  <cols>
    <col min="1" max="1" width="3.07421875" style="3" customWidth="1"/>
    <col min="2" max="2" width="43.69140625" style="3" customWidth="1"/>
    <col min="3" max="4" width="15.765625" style="3" customWidth="1"/>
    <col min="5" max="8" width="14.69140625" style="3" customWidth="1"/>
    <col min="9" max="9" width="9.23046875" style="3"/>
    <col min="10" max="10" width="13.53515625" style="3" customWidth="1"/>
    <col min="11" max="16384" width="9.23046875" style="3"/>
  </cols>
  <sheetData>
    <row r="2" spans="2:11" ht="15.9" x14ac:dyDescent="0.45">
      <c r="B2" s="1" t="s">
        <v>407</v>
      </c>
    </row>
    <row r="3" spans="2:11" x14ac:dyDescent="0.35">
      <c r="B3" s="6" t="s">
        <v>0</v>
      </c>
    </row>
    <row r="4" spans="2:11" x14ac:dyDescent="0.35">
      <c r="B4" s="259" t="s">
        <v>408</v>
      </c>
      <c r="C4" s="255"/>
      <c r="D4" s="255"/>
    </row>
    <row r="6" spans="2:11" x14ac:dyDescent="0.35">
      <c r="B6" s="5" t="s">
        <v>411</v>
      </c>
      <c r="C6" s="5"/>
      <c r="D6" s="5"/>
      <c r="E6" s="5"/>
      <c r="F6" s="5"/>
      <c r="G6" s="5"/>
      <c r="H6" s="5"/>
      <c r="I6" s="5"/>
      <c r="J6" s="5"/>
      <c r="K6" s="5"/>
    </row>
    <row r="8" spans="2:11" ht="13.3" thickBot="1" x14ac:dyDescent="0.4">
      <c r="B8" s="21" t="s">
        <v>325</v>
      </c>
    </row>
    <row r="9" spans="2:11" x14ac:dyDescent="0.35">
      <c r="B9" s="11" t="s">
        <v>18</v>
      </c>
      <c r="C9" s="48">
        <v>44196</v>
      </c>
      <c r="D9" s="48">
        <v>43830</v>
      </c>
    </row>
    <row r="10" spans="2:11" x14ac:dyDescent="0.35">
      <c r="B10" s="23" t="s">
        <v>22</v>
      </c>
      <c r="C10" s="66"/>
      <c r="D10" s="66"/>
    </row>
    <row r="11" spans="2:11" x14ac:dyDescent="0.35">
      <c r="B11" s="9" t="s">
        <v>2</v>
      </c>
      <c r="C11" s="60">
        <v>1040.2460000000001</v>
      </c>
      <c r="D11" s="60">
        <v>432.91899999999998</v>
      </c>
      <c r="E11" s="19" t="s">
        <v>300</v>
      </c>
    </row>
    <row r="12" spans="2:11" x14ac:dyDescent="0.35">
      <c r="B12" s="9" t="s">
        <v>3</v>
      </c>
      <c r="C12" s="60">
        <v>55.927999999999997</v>
      </c>
      <c r="D12" s="60">
        <v>30.085999999999999</v>
      </c>
      <c r="E12" s="19" t="s">
        <v>300</v>
      </c>
    </row>
    <row r="13" spans="2:11" x14ac:dyDescent="0.35">
      <c r="B13" s="15" t="s">
        <v>4</v>
      </c>
      <c r="C13" s="57">
        <f>SUM(C11:C12)</f>
        <v>1096.174</v>
      </c>
      <c r="D13" s="57">
        <f>SUM(D11:D12)</f>
        <v>463.005</v>
      </c>
      <c r="E13" s="20"/>
    </row>
    <row r="14" spans="2:11" x14ac:dyDescent="0.35">
      <c r="B14" s="17"/>
      <c r="C14" s="67"/>
      <c r="D14" s="67"/>
      <c r="E14" s="20"/>
    </row>
    <row r="15" spans="2:11" x14ac:dyDescent="0.35">
      <c r="B15" s="9" t="s">
        <v>5</v>
      </c>
      <c r="C15" s="60">
        <v>18.561</v>
      </c>
      <c r="D15" s="60">
        <v>3.0089999999999999</v>
      </c>
      <c r="E15" s="19" t="s">
        <v>300</v>
      </c>
    </row>
    <row r="16" spans="2:11" x14ac:dyDescent="0.35">
      <c r="B16" s="9" t="s">
        <v>6</v>
      </c>
      <c r="C16" s="60">
        <v>10.413</v>
      </c>
      <c r="D16" s="60">
        <v>0.188</v>
      </c>
      <c r="E16" s="19" t="s">
        <v>300</v>
      </c>
    </row>
    <row r="17" spans="2:7" x14ac:dyDescent="0.35">
      <c r="B17" s="9" t="s">
        <v>7</v>
      </c>
      <c r="C17" s="60">
        <v>7.72</v>
      </c>
      <c r="D17" s="60">
        <v>0.11700000000000001</v>
      </c>
      <c r="E17" s="19" t="s">
        <v>300</v>
      </c>
    </row>
    <row r="18" spans="2:7" x14ac:dyDescent="0.35">
      <c r="B18" s="9" t="s">
        <v>8</v>
      </c>
      <c r="C18" s="60">
        <v>5.5350000000000001</v>
      </c>
      <c r="D18" s="60">
        <v>14.414</v>
      </c>
      <c r="E18" s="19" t="s">
        <v>300</v>
      </c>
    </row>
    <row r="19" spans="2:7" x14ac:dyDescent="0.35">
      <c r="B19" s="9" t="s">
        <v>9</v>
      </c>
      <c r="C19" s="60">
        <v>2.7639999999999998</v>
      </c>
      <c r="D19" s="60">
        <v>2.2160000000000002</v>
      </c>
      <c r="E19" s="19" t="s">
        <v>300</v>
      </c>
    </row>
    <row r="20" spans="2:7" x14ac:dyDescent="0.35">
      <c r="B20" s="15" t="s">
        <v>10</v>
      </c>
      <c r="C20" s="57">
        <f>SUM(C15:C19)</f>
        <v>44.993000000000002</v>
      </c>
      <c r="D20" s="57">
        <f>SUM(D15:D19)</f>
        <v>19.944000000000003</v>
      </c>
      <c r="E20" s="20"/>
    </row>
    <row r="21" spans="2:7" x14ac:dyDescent="0.35">
      <c r="B21" s="16"/>
      <c r="C21" s="67"/>
      <c r="D21" s="67"/>
      <c r="E21" s="20"/>
    </row>
    <row r="22" spans="2:7" x14ac:dyDescent="0.35">
      <c r="B22" s="15" t="s">
        <v>11</v>
      </c>
      <c r="C22" s="57">
        <f>C13+C20</f>
        <v>1141.1669999999999</v>
      </c>
      <c r="D22" s="57">
        <f>D13+D20</f>
        <v>482.94900000000001</v>
      </c>
      <c r="E22" s="20"/>
    </row>
    <row r="23" spans="2:7" x14ac:dyDescent="0.35">
      <c r="B23" s="16"/>
      <c r="C23" s="67"/>
      <c r="D23" s="67"/>
      <c r="E23" s="20"/>
    </row>
    <row r="24" spans="2:7" x14ac:dyDescent="0.35">
      <c r="B24" s="9" t="s">
        <v>16</v>
      </c>
      <c r="C24" s="60">
        <v>133.68799999999999</v>
      </c>
      <c r="D24" s="60">
        <v>39.863</v>
      </c>
      <c r="E24" s="19" t="s">
        <v>303</v>
      </c>
    </row>
    <row r="25" spans="2:7" x14ac:dyDescent="0.35">
      <c r="B25" s="9" t="s">
        <v>19</v>
      </c>
      <c r="C25" s="60">
        <v>2.6259999999999999</v>
      </c>
      <c r="D25" s="60">
        <v>10.923</v>
      </c>
      <c r="E25" s="19" t="s">
        <v>302</v>
      </c>
    </row>
    <row r="26" spans="2:7" x14ac:dyDescent="0.35">
      <c r="B26" s="15" t="s">
        <v>20</v>
      </c>
      <c r="C26" s="57">
        <f>SUM(C24:C25)</f>
        <v>136.31399999999999</v>
      </c>
      <c r="D26" s="57">
        <f>SUM(D24:D25)</f>
        <v>50.786000000000001</v>
      </c>
      <c r="E26" s="21"/>
    </row>
    <row r="27" spans="2:7" x14ac:dyDescent="0.35">
      <c r="C27" s="67"/>
      <c r="D27" s="67"/>
      <c r="E27" s="21"/>
    </row>
    <row r="28" spans="2:7" x14ac:dyDescent="0.35">
      <c r="B28" s="7" t="s">
        <v>21</v>
      </c>
      <c r="C28" s="57">
        <f>C22+C26</f>
        <v>1277.481</v>
      </c>
      <c r="D28" s="57">
        <f>D22+D26</f>
        <v>533.73500000000001</v>
      </c>
    </row>
    <row r="29" spans="2:7" x14ac:dyDescent="0.35">
      <c r="C29" s="59"/>
      <c r="D29" s="59"/>
    </row>
    <row r="30" spans="2:7" x14ac:dyDescent="0.35">
      <c r="B30" s="4" t="s">
        <v>23</v>
      </c>
      <c r="C30" s="59"/>
      <c r="D30" s="59"/>
    </row>
    <row r="31" spans="2:7" x14ac:dyDescent="0.35">
      <c r="B31" s="8" t="s">
        <v>24</v>
      </c>
      <c r="C31" s="60">
        <v>-135.51400000000001</v>
      </c>
      <c r="D31" s="60">
        <v>-82.055000000000007</v>
      </c>
      <c r="E31" s="19" t="s">
        <v>301</v>
      </c>
      <c r="F31" s="22"/>
      <c r="G31" s="22"/>
    </row>
    <row r="32" spans="2:7" x14ac:dyDescent="0.35">
      <c r="B32" s="8" t="s">
        <v>25</v>
      </c>
      <c r="C32" s="60">
        <v>-271.73200000000003</v>
      </c>
      <c r="D32" s="60">
        <v>-185.04400000000001</v>
      </c>
      <c r="E32" s="19" t="s">
        <v>301</v>
      </c>
      <c r="F32" s="22"/>
      <c r="G32" s="22"/>
    </row>
    <row r="33" spans="2:7" x14ac:dyDescent="0.35">
      <c r="B33" s="8" t="s">
        <v>26</v>
      </c>
      <c r="C33" s="60">
        <v>-56.781999999999996</v>
      </c>
      <c r="D33" s="60">
        <v>-24.15</v>
      </c>
      <c r="E33" s="19" t="s">
        <v>301</v>
      </c>
      <c r="F33" s="22"/>
      <c r="G33" s="22"/>
    </row>
    <row r="34" spans="2:7" x14ac:dyDescent="0.35">
      <c r="B34" s="8" t="s">
        <v>27</v>
      </c>
      <c r="C34" s="60">
        <v>-279.88</v>
      </c>
      <c r="D34" s="60">
        <v>-231.929</v>
      </c>
      <c r="E34" s="19" t="s">
        <v>301</v>
      </c>
      <c r="F34" s="22"/>
      <c r="G34" s="22"/>
    </row>
    <row r="35" spans="2:7" x14ac:dyDescent="0.35">
      <c r="B35" s="8" t="s">
        <v>28</v>
      </c>
      <c r="C35" s="60">
        <v>0</v>
      </c>
      <c r="D35" s="60">
        <v>-10.14</v>
      </c>
      <c r="E35" s="19" t="s">
        <v>301</v>
      </c>
      <c r="F35" s="22"/>
      <c r="G35" s="22"/>
    </row>
    <row r="36" spans="2:7" x14ac:dyDescent="0.35">
      <c r="B36" s="8" t="s">
        <v>29</v>
      </c>
      <c r="C36" s="60">
        <v>-124.622</v>
      </c>
      <c r="D36" s="60">
        <v>-46.2</v>
      </c>
      <c r="E36" s="19" t="s">
        <v>301</v>
      </c>
      <c r="F36" s="22"/>
      <c r="G36" s="22"/>
    </row>
    <row r="37" spans="2:7" x14ac:dyDescent="0.35">
      <c r="B37" s="12" t="s">
        <v>30</v>
      </c>
      <c r="C37" s="57">
        <f>SUM(C31:C36)</f>
        <v>-868.53</v>
      </c>
      <c r="D37" s="57">
        <f>SUM(D31:D36)</f>
        <v>-579.51800000000003</v>
      </c>
    </row>
    <row r="38" spans="2:7" x14ac:dyDescent="0.35">
      <c r="B38" s="8"/>
      <c r="C38" s="59"/>
      <c r="D38" s="59"/>
    </row>
    <row r="39" spans="2:7" x14ac:dyDescent="0.35">
      <c r="B39" s="12" t="s">
        <v>32</v>
      </c>
      <c r="C39" s="57">
        <f>C28+C37</f>
        <v>408.95100000000002</v>
      </c>
      <c r="D39" s="57">
        <f>D28+D37</f>
        <v>-45.783000000000015</v>
      </c>
    </row>
    <row r="40" spans="2:7" ht="14.15" x14ac:dyDescent="0.35">
      <c r="B40" s="10" t="s">
        <v>36</v>
      </c>
      <c r="C40" s="60">
        <v>0.248</v>
      </c>
      <c r="D40" s="60">
        <v>0.36699999999999999</v>
      </c>
      <c r="E40" s="19" t="s">
        <v>39</v>
      </c>
    </row>
    <row r="41" spans="2:7" x14ac:dyDescent="0.35">
      <c r="B41" s="12" t="s">
        <v>31</v>
      </c>
      <c r="C41" s="57">
        <f>SUM(C39:C40)</f>
        <v>409.19900000000001</v>
      </c>
      <c r="D41" s="57">
        <f>SUM(D39:D40)</f>
        <v>-45.416000000000018</v>
      </c>
    </row>
    <row r="42" spans="2:7" ht="14.15" x14ac:dyDescent="0.35">
      <c r="B42" s="13" t="s">
        <v>70</v>
      </c>
      <c r="C42" s="49">
        <v>0</v>
      </c>
      <c r="D42" s="49">
        <v>0</v>
      </c>
      <c r="E42" s="19"/>
    </row>
    <row r="43" spans="2:7" x14ac:dyDescent="0.35">
      <c r="B43" s="12" t="s">
        <v>413</v>
      </c>
      <c r="C43" s="57">
        <f>SUM(C41:C42)</f>
        <v>409.19900000000001</v>
      </c>
      <c r="D43" s="57">
        <f>SUM(D41:D42)</f>
        <v>-45.416000000000018</v>
      </c>
    </row>
    <row r="44" spans="2:7" x14ac:dyDescent="0.35">
      <c r="B44" s="10" t="s">
        <v>34</v>
      </c>
      <c r="C44" s="60">
        <v>-86.882000000000005</v>
      </c>
      <c r="D44" s="60">
        <v>15.029</v>
      </c>
      <c r="E44" s="19" t="s">
        <v>39</v>
      </c>
    </row>
    <row r="45" spans="2:7" ht="13.3" thickBot="1" x14ac:dyDescent="0.4">
      <c r="B45" s="24" t="s">
        <v>35</v>
      </c>
      <c r="C45" s="63">
        <f>SUM(C43:C44)</f>
        <v>322.31700000000001</v>
      </c>
      <c r="D45" s="63">
        <f>SUM(D43:D44)</f>
        <v>-30.387000000000018</v>
      </c>
    </row>
    <row r="46" spans="2:7" x14ac:dyDescent="0.35">
      <c r="C46" s="65"/>
      <c r="D46" s="65"/>
    </row>
    <row r="47" spans="2:7" x14ac:dyDescent="0.35">
      <c r="B47" s="3" t="s">
        <v>67</v>
      </c>
      <c r="C47" s="59">
        <f>-C44</f>
        <v>86.882000000000005</v>
      </c>
      <c r="D47" s="59">
        <f>-D44</f>
        <v>-15.029</v>
      </c>
    </row>
    <row r="48" spans="2:7" x14ac:dyDescent="0.35">
      <c r="B48" s="3" t="s">
        <v>68</v>
      </c>
      <c r="C48" s="68">
        <v>30.962</v>
      </c>
      <c r="D48" s="68">
        <v>16.878</v>
      </c>
      <c r="E48" s="19" t="s">
        <v>71</v>
      </c>
    </row>
    <row r="49" spans="2:5" x14ac:dyDescent="0.35">
      <c r="B49" s="3" t="s">
        <v>69</v>
      </c>
      <c r="C49" s="68">
        <v>2.6339999999999999</v>
      </c>
      <c r="D49" s="68">
        <v>0</v>
      </c>
      <c r="E49" s="19" t="s">
        <v>71</v>
      </c>
    </row>
    <row r="50" spans="2:5" x14ac:dyDescent="0.35">
      <c r="B50" s="3" t="s">
        <v>79</v>
      </c>
      <c r="C50" s="68">
        <v>69.888999999999996</v>
      </c>
      <c r="D50" s="68">
        <v>31.146999999999998</v>
      </c>
      <c r="E50" s="19" t="s">
        <v>71</v>
      </c>
    </row>
    <row r="51" spans="2:5" x14ac:dyDescent="0.35">
      <c r="B51" s="3" t="s">
        <v>73</v>
      </c>
      <c r="C51" s="68">
        <v>8.3550000000000004</v>
      </c>
      <c r="D51" s="68">
        <v>2.2519999999999998</v>
      </c>
      <c r="E51" s="19" t="s">
        <v>71</v>
      </c>
    </row>
    <row r="52" spans="2:5" x14ac:dyDescent="0.35">
      <c r="B52" s="3" t="s">
        <v>74</v>
      </c>
      <c r="C52" s="68">
        <v>0</v>
      </c>
      <c r="D52" s="68">
        <v>10.14</v>
      </c>
      <c r="E52" s="19" t="s">
        <v>71</v>
      </c>
    </row>
    <row r="53" spans="2:5" x14ac:dyDescent="0.35">
      <c r="B53" s="3" t="s">
        <v>75</v>
      </c>
      <c r="C53" s="68">
        <v>0</v>
      </c>
      <c r="D53" s="68">
        <v>7.37</v>
      </c>
      <c r="E53" s="19" t="s">
        <v>71</v>
      </c>
    </row>
    <row r="54" spans="2:5" x14ac:dyDescent="0.35">
      <c r="B54" s="3" t="s">
        <v>76</v>
      </c>
      <c r="C54" s="68">
        <v>1.0569999999999999</v>
      </c>
      <c r="D54" s="68">
        <v>-3.1059999999999999</v>
      </c>
      <c r="E54" s="19" t="s">
        <v>71</v>
      </c>
    </row>
    <row r="55" spans="2:5" x14ac:dyDescent="0.35">
      <c r="B55" s="3" t="s">
        <v>77</v>
      </c>
      <c r="C55" s="68">
        <v>5.2539999999999996</v>
      </c>
      <c r="D55" s="68">
        <v>0</v>
      </c>
      <c r="E55" s="19" t="s">
        <v>71</v>
      </c>
    </row>
    <row r="56" spans="2:5" x14ac:dyDescent="0.35">
      <c r="B56" s="3" t="s">
        <v>78</v>
      </c>
      <c r="C56" s="68">
        <v>0</v>
      </c>
      <c r="D56" s="68">
        <v>5</v>
      </c>
      <c r="E56" s="19" t="s">
        <v>71</v>
      </c>
    </row>
    <row r="57" spans="2:5" ht="13.3" thickBot="1" x14ac:dyDescent="0.4">
      <c r="B57" s="24" t="s">
        <v>66</v>
      </c>
      <c r="C57" s="63">
        <f>SUM(C45,C47:C56)</f>
        <v>527.35</v>
      </c>
      <c r="D57" s="63">
        <f>SUM(D45,D47:D56)</f>
        <v>24.264999999999979</v>
      </c>
    </row>
    <row r="58" spans="2:5" x14ac:dyDescent="0.35">
      <c r="B58" s="25" t="s">
        <v>37</v>
      </c>
    </row>
    <row r="59" spans="2:5" x14ac:dyDescent="0.35">
      <c r="B59" s="26" t="s">
        <v>38</v>
      </c>
    </row>
    <row r="60" spans="2:5" x14ac:dyDescent="0.35">
      <c r="B60" s="18" t="s">
        <v>72</v>
      </c>
    </row>
    <row r="61" spans="2:5" x14ac:dyDescent="0.35">
      <c r="B61" s="25"/>
    </row>
    <row r="62" spans="2:5" x14ac:dyDescent="0.35">
      <c r="B62" s="25"/>
    </row>
    <row r="63" spans="2:5" x14ac:dyDescent="0.35">
      <c r="B63" s="25"/>
    </row>
    <row r="64" spans="2:5" x14ac:dyDescent="0.35">
      <c r="B64" s="25"/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2BD-347C-4722-ADD7-D3D7918F60FF}">
  <dimension ref="B2:R70"/>
  <sheetViews>
    <sheetView showGridLines="0" zoomScaleNormal="100" workbookViewId="0"/>
  </sheetViews>
  <sheetFormatPr defaultRowHeight="12.9" x14ac:dyDescent="0.35"/>
  <cols>
    <col min="1" max="1" width="3.07421875" style="3" customWidth="1"/>
    <col min="2" max="2" width="29" style="3" customWidth="1"/>
    <col min="3" max="4" width="8.53515625" style="3" customWidth="1"/>
    <col min="5" max="12" width="12.07421875" style="3" customWidth="1"/>
    <col min="13" max="13" width="14.61328125" style="3" customWidth="1"/>
    <col min="14" max="16384" width="9.23046875" style="3"/>
  </cols>
  <sheetData>
    <row r="2" spans="2:18" ht="15.9" x14ac:dyDescent="0.45">
      <c r="B2" s="1" t="s">
        <v>407</v>
      </c>
    </row>
    <row r="3" spans="2:18" x14ac:dyDescent="0.35">
      <c r="B3" s="6" t="s">
        <v>0</v>
      </c>
    </row>
    <row r="4" spans="2:18" x14ac:dyDescent="0.35">
      <c r="B4" s="259" t="s">
        <v>408</v>
      </c>
      <c r="E4" s="254"/>
      <c r="F4" s="254"/>
      <c r="G4" s="254"/>
      <c r="H4" s="254"/>
      <c r="I4" s="254"/>
      <c r="J4" s="254"/>
      <c r="K4" s="254"/>
      <c r="L4" s="254"/>
    </row>
    <row r="6" spans="2:18" x14ac:dyDescent="0.35">
      <c r="B6" s="5" t="s">
        <v>410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8" spans="2:18" ht="13.3" thickBot="1" x14ac:dyDescent="0.4">
      <c r="B8" s="21" t="s">
        <v>325</v>
      </c>
    </row>
    <row r="9" spans="2:18" ht="14.15" x14ac:dyDescent="0.35">
      <c r="B9" s="44" t="s">
        <v>40</v>
      </c>
      <c r="C9" s="46" t="s">
        <v>83</v>
      </c>
      <c r="D9" s="46"/>
      <c r="E9" s="153">
        <v>44196</v>
      </c>
      <c r="F9" s="153">
        <v>44104</v>
      </c>
      <c r="G9" s="153">
        <v>44012</v>
      </c>
      <c r="H9" s="153">
        <v>43921</v>
      </c>
      <c r="I9" s="153">
        <v>43830</v>
      </c>
      <c r="J9" s="153">
        <v>43738</v>
      </c>
      <c r="K9" s="153">
        <v>43646</v>
      </c>
      <c r="L9" s="153">
        <v>43555</v>
      </c>
    </row>
    <row r="10" spans="2:18" x14ac:dyDescent="0.35">
      <c r="B10" s="45"/>
      <c r="C10" s="47" t="s">
        <v>86</v>
      </c>
      <c r="D10" s="47" t="s">
        <v>85</v>
      </c>
      <c r="E10" s="53"/>
      <c r="F10" s="53"/>
      <c r="G10" s="53"/>
      <c r="H10" s="53"/>
      <c r="I10" s="53"/>
      <c r="J10" s="53"/>
      <c r="K10" s="53"/>
      <c r="L10" s="53"/>
    </row>
    <row r="11" spans="2:18" x14ac:dyDescent="0.35">
      <c r="B11" s="27" t="s">
        <v>22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pans="2:18" x14ac:dyDescent="0.35">
      <c r="B12" s="16" t="s">
        <v>12</v>
      </c>
      <c r="C12" s="55"/>
      <c r="D12" s="55"/>
      <c r="E12" s="49">
        <v>476.41500000000002</v>
      </c>
      <c r="F12" s="49">
        <v>275.904</v>
      </c>
      <c r="G12" s="49">
        <v>171.864</v>
      </c>
      <c r="H12" s="49">
        <v>171.99100000000001</v>
      </c>
      <c r="I12" s="49">
        <v>89.028999999999996</v>
      </c>
      <c r="J12" s="49">
        <v>138.63200000000001</v>
      </c>
      <c r="K12" s="49">
        <v>178.67500000000001</v>
      </c>
      <c r="L12" s="49">
        <v>56.668999999999997</v>
      </c>
      <c r="M12" s="19" t="s">
        <v>81</v>
      </c>
    </row>
    <row r="13" spans="2:18" x14ac:dyDescent="0.35">
      <c r="B13" s="16" t="s">
        <v>15</v>
      </c>
      <c r="C13" s="55"/>
      <c r="D13" s="55"/>
      <c r="E13" s="49">
        <v>20.675999999999998</v>
      </c>
      <c r="F13" s="49">
        <v>10.759</v>
      </c>
      <c r="G13" s="49">
        <v>6.4669999999999996</v>
      </c>
      <c r="H13" s="49">
        <v>7.0910000000000002</v>
      </c>
      <c r="I13" s="49">
        <v>5.28</v>
      </c>
      <c r="J13" s="49">
        <v>4.7850000000000001</v>
      </c>
      <c r="K13" s="49">
        <v>5.2320000000000002</v>
      </c>
      <c r="L13" s="49">
        <v>4.6470000000000002</v>
      </c>
      <c r="M13" s="19" t="s">
        <v>81</v>
      </c>
    </row>
    <row r="14" spans="2:18" x14ac:dyDescent="0.35">
      <c r="B14" s="16" t="s">
        <v>1</v>
      </c>
      <c r="C14" s="55"/>
      <c r="D14" s="55"/>
      <c r="E14" s="49">
        <v>88.021000000000001</v>
      </c>
      <c r="F14" s="49">
        <v>28.693999999999999</v>
      </c>
      <c r="G14" s="49">
        <v>8.0510000000000002</v>
      </c>
      <c r="H14" s="49">
        <v>11.548</v>
      </c>
      <c r="I14" s="49">
        <v>3.9620000000000002</v>
      </c>
      <c r="J14" s="49">
        <v>15.1</v>
      </c>
      <c r="K14" s="49">
        <v>26.928000000000001</v>
      </c>
      <c r="L14" s="49">
        <v>4.7960000000000003</v>
      </c>
      <c r="M14" s="19" t="s">
        <v>81</v>
      </c>
    </row>
    <row r="15" spans="2:18" x14ac:dyDescent="0.35">
      <c r="B15" s="7" t="s">
        <v>21</v>
      </c>
      <c r="C15" s="56">
        <v>1800</v>
      </c>
      <c r="D15" s="56">
        <v>1800</v>
      </c>
      <c r="E15" s="57">
        <f>SUM(E12:E14)</f>
        <v>585.11199999999997</v>
      </c>
      <c r="F15" s="57">
        <f t="shared" ref="F15:L15" si="0">SUM(F12:F14)</f>
        <v>315.35700000000003</v>
      </c>
      <c r="G15" s="57">
        <f t="shared" si="0"/>
        <v>186.38200000000001</v>
      </c>
      <c r="H15" s="57">
        <f t="shared" si="0"/>
        <v>190.63000000000002</v>
      </c>
      <c r="I15" s="57">
        <f t="shared" si="0"/>
        <v>98.271000000000001</v>
      </c>
      <c r="J15" s="57">
        <f t="shared" si="0"/>
        <v>158.517</v>
      </c>
      <c r="K15" s="57">
        <f t="shared" si="0"/>
        <v>210.83500000000001</v>
      </c>
      <c r="L15" s="57">
        <f t="shared" si="0"/>
        <v>66.111999999999995</v>
      </c>
    </row>
    <row r="16" spans="2:18" x14ac:dyDescent="0.35">
      <c r="C16" s="58"/>
      <c r="D16" s="58"/>
      <c r="E16" s="59"/>
      <c r="F16" s="59"/>
      <c r="G16" s="59"/>
      <c r="H16" s="59"/>
      <c r="I16" s="59"/>
      <c r="J16" s="59"/>
      <c r="K16" s="59"/>
      <c r="L16" s="59"/>
    </row>
    <row r="17" spans="2:15" x14ac:dyDescent="0.35">
      <c r="B17" s="4" t="s">
        <v>23</v>
      </c>
      <c r="C17" s="58"/>
      <c r="D17" s="58"/>
      <c r="E17" s="59"/>
      <c r="F17" s="59"/>
      <c r="G17" s="59"/>
      <c r="H17" s="59"/>
      <c r="I17" s="59"/>
      <c r="J17" s="59"/>
      <c r="K17" s="59"/>
      <c r="L17" s="59"/>
    </row>
    <row r="18" spans="2:15" x14ac:dyDescent="0.35">
      <c r="B18" s="8" t="s">
        <v>24</v>
      </c>
      <c r="C18" s="58"/>
      <c r="D18" s="58"/>
      <c r="E18" s="60">
        <v>-49.945999999999998</v>
      </c>
      <c r="F18" s="60">
        <v>-36.765999999999998</v>
      </c>
      <c r="G18" s="60">
        <v>-23.395</v>
      </c>
      <c r="H18" s="60">
        <v>-25.407</v>
      </c>
      <c r="I18" s="60">
        <v>-14.227</v>
      </c>
      <c r="J18" s="60">
        <v>-23.050999999999998</v>
      </c>
      <c r="K18" s="60">
        <v>-29.158999999999999</v>
      </c>
      <c r="L18" s="60">
        <v>-15.618</v>
      </c>
      <c r="M18" s="19" t="s">
        <v>81</v>
      </c>
      <c r="N18" s="22"/>
      <c r="O18" s="22"/>
    </row>
    <row r="19" spans="2:15" x14ac:dyDescent="0.35">
      <c r="B19" s="8" t="s">
        <v>25</v>
      </c>
      <c r="C19" s="58"/>
      <c r="D19" s="58"/>
      <c r="E19" s="60">
        <v>-90.498000000000005</v>
      </c>
      <c r="F19" s="60">
        <v>-73.319000000000003</v>
      </c>
      <c r="G19" s="60">
        <v>-60.777000000000001</v>
      </c>
      <c r="H19" s="60">
        <v>-47.137999999999998</v>
      </c>
      <c r="I19" s="60">
        <v>-43.473999999999997</v>
      </c>
      <c r="J19" s="60">
        <v>-44.750999999999998</v>
      </c>
      <c r="K19" s="60">
        <v>-43.887</v>
      </c>
      <c r="L19" s="60">
        <v>-52.932000000000002</v>
      </c>
      <c r="M19" s="19" t="s">
        <v>81</v>
      </c>
      <c r="N19" s="22"/>
      <c r="O19" s="22"/>
    </row>
    <row r="20" spans="2:15" x14ac:dyDescent="0.35">
      <c r="B20" s="8" t="s">
        <v>26</v>
      </c>
      <c r="C20" s="58"/>
      <c r="D20" s="58"/>
      <c r="E20" s="60">
        <v>-23.501000000000001</v>
      </c>
      <c r="F20" s="60">
        <v>-11.977</v>
      </c>
      <c r="G20" s="60">
        <v>-11.382999999999999</v>
      </c>
      <c r="H20" s="60">
        <v>-9.9209999999999994</v>
      </c>
      <c r="I20" s="60">
        <v>-9.6590000000000007</v>
      </c>
      <c r="J20" s="60">
        <v>-5.7160000000000002</v>
      </c>
      <c r="K20" s="60">
        <v>-4.2130000000000001</v>
      </c>
      <c r="L20" s="60">
        <v>-4.5620000000000003</v>
      </c>
      <c r="M20" s="19" t="s">
        <v>81</v>
      </c>
      <c r="N20" s="22"/>
      <c r="O20" s="22"/>
    </row>
    <row r="21" spans="2:15" x14ac:dyDescent="0.35">
      <c r="B21" s="8" t="s">
        <v>27</v>
      </c>
      <c r="C21" s="58"/>
      <c r="D21" s="58"/>
      <c r="E21" s="60">
        <v>-97.501000000000005</v>
      </c>
      <c r="F21" s="60">
        <v>-71.433000000000007</v>
      </c>
      <c r="G21" s="60">
        <v>-51.988</v>
      </c>
      <c r="H21" s="60">
        <v>-58.957999999999998</v>
      </c>
      <c r="I21" s="60">
        <v>-70.227000000000004</v>
      </c>
      <c r="J21" s="60">
        <v>-53.408000000000001</v>
      </c>
      <c r="K21" s="60">
        <v>-46.648000000000003</v>
      </c>
      <c r="L21" s="60">
        <v>-61.646000000000001</v>
      </c>
      <c r="M21" s="19" t="s">
        <v>81</v>
      </c>
      <c r="N21" s="22"/>
      <c r="O21" s="22"/>
    </row>
    <row r="22" spans="2:15" x14ac:dyDescent="0.35">
      <c r="B22" s="8" t="s">
        <v>28</v>
      </c>
      <c r="C22" s="58"/>
      <c r="D22" s="58"/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-10.14</v>
      </c>
      <c r="L22" s="60">
        <v>0</v>
      </c>
      <c r="M22" s="19" t="s">
        <v>81</v>
      </c>
      <c r="N22" s="22"/>
      <c r="O22" s="22"/>
    </row>
    <row r="23" spans="2:15" x14ac:dyDescent="0.35">
      <c r="B23" s="8" t="s">
        <v>29</v>
      </c>
      <c r="C23" s="58"/>
      <c r="D23" s="58"/>
      <c r="E23" s="60">
        <v>-97.081000000000003</v>
      </c>
      <c r="F23" s="60">
        <v>-20.356999999999999</v>
      </c>
      <c r="G23" s="60">
        <v>3.2469999999999999</v>
      </c>
      <c r="H23" s="60">
        <v>-10.430999999999999</v>
      </c>
      <c r="I23" s="60">
        <v>-4.3789999999999996</v>
      </c>
      <c r="J23" s="60">
        <v>-16.704999999999998</v>
      </c>
      <c r="K23" s="60">
        <v>-20.760999999999999</v>
      </c>
      <c r="L23" s="60">
        <v>-4.3550000000000004</v>
      </c>
      <c r="M23" s="19" t="s">
        <v>81</v>
      </c>
      <c r="N23" s="22"/>
      <c r="O23" s="22"/>
    </row>
    <row r="24" spans="2:15" x14ac:dyDescent="0.35">
      <c r="B24" s="12" t="s">
        <v>30</v>
      </c>
      <c r="C24" s="61"/>
      <c r="D24" s="61"/>
      <c r="E24" s="57">
        <f>SUM(E18:E23)</f>
        <v>-358.52700000000004</v>
      </c>
      <c r="F24" s="57">
        <f t="shared" ref="F24:L24" si="1">SUM(F18:F23)</f>
        <v>-213.852</v>
      </c>
      <c r="G24" s="57">
        <f t="shared" si="1"/>
        <v>-144.29599999999999</v>
      </c>
      <c r="H24" s="57">
        <f t="shared" si="1"/>
        <v>-151.85500000000002</v>
      </c>
      <c r="I24" s="57">
        <f t="shared" si="1"/>
        <v>-141.96599999999998</v>
      </c>
      <c r="J24" s="57">
        <f t="shared" si="1"/>
        <v>-143.63099999999997</v>
      </c>
      <c r="K24" s="57">
        <f t="shared" si="1"/>
        <v>-154.80799999999996</v>
      </c>
      <c r="L24" s="57">
        <f t="shared" si="1"/>
        <v>-139.11299999999997</v>
      </c>
    </row>
    <row r="25" spans="2:15" x14ac:dyDescent="0.35">
      <c r="B25" s="8"/>
      <c r="C25" s="58"/>
      <c r="D25" s="58"/>
      <c r="E25" s="59"/>
      <c r="F25" s="59"/>
      <c r="G25" s="59"/>
      <c r="H25" s="59"/>
      <c r="I25" s="59"/>
      <c r="J25" s="59"/>
      <c r="K25" s="59"/>
      <c r="L25" s="59"/>
    </row>
    <row r="26" spans="2:15" x14ac:dyDescent="0.35">
      <c r="B26" s="12" t="s">
        <v>32</v>
      </c>
      <c r="C26" s="61"/>
      <c r="D26" s="61"/>
      <c r="E26" s="57">
        <f>E15+E24</f>
        <v>226.58499999999992</v>
      </c>
      <c r="F26" s="57">
        <f t="shared" ref="F26:L26" si="2">F15+F24</f>
        <v>101.50500000000002</v>
      </c>
      <c r="G26" s="57">
        <f t="shared" si="2"/>
        <v>42.086000000000013</v>
      </c>
      <c r="H26" s="57">
        <f t="shared" si="2"/>
        <v>38.775000000000006</v>
      </c>
      <c r="I26" s="57">
        <f t="shared" si="2"/>
        <v>-43.694999999999979</v>
      </c>
      <c r="J26" s="57">
        <f t="shared" si="2"/>
        <v>14.886000000000024</v>
      </c>
      <c r="K26" s="57">
        <f t="shared" si="2"/>
        <v>56.027000000000044</v>
      </c>
      <c r="L26" s="57">
        <f t="shared" si="2"/>
        <v>-73.000999999999976</v>
      </c>
    </row>
    <row r="27" spans="2:15" ht="14.15" x14ac:dyDescent="0.35">
      <c r="B27" s="10" t="s">
        <v>414</v>
      </c>
      <c r="C27" s="58"/>
      <c r="D27" s="58"/>
      <c r="E27" s="60">
        <v>6.1829999999999998</v>
      </c>
      <c r="F27" s="60">
        <v>1.2110000000000001</v>
      </c>
      <c r="G27" s="60">
        <v>-3.28</v>
      </c>
      <c r="H27" s="60">
        <v>-3.8660000000000001</v>
      </c>
      <c r="I27" s="60">
        <v>2.036</v>
      </c>
      <c r="J27" s="60">
        <v>-2.9289999999999998</v>
      </c>
      <c r="K27" s="60">
        <v>0.76400000000000001</v>
      </c>
      <c r="L27" s="60">
        <v>0.496</v>
      </c>
      <c r="M27" s="19" t="s">
        <v>81</v>
      </c>
    </row>
    <row r="28" spans="2:15" x14ac:dyDescent="0.35">
      <c r="B28" s="12" t="s">
        <v>31</v>
      </c>
      <c r="C28" s="61"/>
      <c r="D28" s="61"/>
      <c r="E28" s="57">
        <f>SUM(E26:E27)</f>
        <v>232.76799999999992</v>
      </c>
      <c r="F28" s="57">
        <f t="shared" ref="F28:L28" si="3">SUM(F26:F27)</f>
        <v>102.71600000000002</v>
      </c>
      <c r="G28" s="57">
        <f t="shared" si="3"/>
        <v>38.806000000000012</v>
      </c>
      <c r="H28" s="57">
        <f t="shared" si="3"/>
        <v>34.909000000000006</v>
      </c>
      <c r="I28" s="57">
        <f t="shared" si="3"/>
        <v>-41.658999999999978</v>
      </c>
      <c r="J28" s="57">
        <f t="shared" si="3"/>
        <v>11.957000000000024</v>
      </c>
      <c r="K28" s="57">
        <f t="shared" si="3"/>
        <v>56.791000000000047</v>
      </c>
      <c r="L28" s="57">
        <f t="shared" si="3"/>
        <v>-72.504999999999981</v>
      </c>
    </row>
    <row r="29" spans="2:15" x14ac:dyDescent="0.35">
      <c r="B29" s="13" t="s">
        <v>33</v>
      </c>
      <c r="C29" s="55"/>
      <c r="D29" s="55"/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19" t="s">
        <v>81</v>
      </c>
    </row>
    <row r="30" spans="2:15" x14ac:dyDescent="0.35">
      <c r="B30" s="12" t="s">
        <v>413</v>
      </c>
      <c r="C30" s="61">
        <f>C32-C31</f>
        <v>990</v>
      </c>
      <c r="D30" s="61">
        <f>D32-D31</f>
        <v>1025</v>
      </c>
      <c r="E30" s="57">
        <f>SUM(E28:E29)</f>
        <v>232.76799999999992</v>
      </c>
      <c r="F30" s="57">
        <f t="shared" ref="F30" si="4">SUM(F28:F29)</f>
        <v>102.71600000000002</v>
      </c>
      <c r="G30" s="57">
        <f t="shared" ref="G30" si="5">SUM(G28:G29)</f>
        <v>38.806000000000012</v>
      </c>
      <c r="H30" s="57">
        <f t="shared" ref="H30" si="6">SUM(H28:H29)</f>
        <v>34.909000000000006</v>
      </c>
      <c r="I30" s="57">
        <f t="shared" ref="I30" si="7">SUM(I28:I29)</f>
        <v>-41.658999999999978</v>
      </c>
      <c r="J30" s="57">
        <f t="shared" ref="J30" si="8">SUM(J28:J29)</f>
        <v>11.957000000000024</v>
      </c>
      <c r="K30" s="57">
        <f t="shared" ref="K30" si="9">SUM(K28:K29)</f>
        <v>56.791000000000047</v>
      </c>
      <c r="L30" s="57">
        <f t="shared" ref="L30" si="10">SUM(L28:L29)</f>
        <v>-72.504999999999981</v>
      </c>
    </row>
    <row r="31" spans="2:15" x14ac:dyDescent="0.35">
      <c r="B31" s="10" t="s">
        <v>34</v>
      </c>
      <c r="C31" s="58">
        <f>-C34</f>
        <v>-260</v>
      </c>
      <c r="D31" s="58">
        <f>-D34</f>
        <v>-225</v>
      </c>
      <c r="E31" s="60">
        <v>-55.982999999999997</v>
      </c>
      <c r="F31" s="60">
        <v>-21.417000000000002</v>
      </c>
      <c r="G31" s="60">
        <v>-6.5460000000000003</v>
      </c>
      <c r="H31" s="60">
        <v>-2.9359999999999999</v>
      </c>
      <c r="I31" s="60">
        <v>13.786</v>
      </c>
      <c r="J31" s="60">
        <v>-3.956</v>
      </c>
      <c r="K31" s="60">
        <v>-18.792999999999999</v>
      </c>
      <c r="L31" s="60">
        <v>23.992000000000001</v>
      </c>
      <c r="M31" s="19" t="s">
        <v>81</v>
      </c>
    </row>
    <row r="32" spans="2:15" ht="13.3" thickBot="1" x14ac:dyDescent="0.4">
      <c r="B32" s="24" t="s">
        <v>35</v>
      </c>
      <c r="C32" s="62">
        <v>730</v>
      </c>
      <c r="D32" s="62">
        <v>800</v>
      </c>
      <c r="E32" s="63">
        <f>SUM(E30:E31)</f>
        <v>176.78499999999991</v>
      </c>
      <c r="F32" s="63">
        <f t="shared" ref="F32" si="11">SUM(F30:F31)</f>
        <v>81.299000000000021</v>
      </c>
      <c r="G32" s="63">
        <f t="shared" ref="G32" si="12">SUM(G30:G31)</f>
        <v>32.260000000000012</v>
      </c>
      <c r="H32" s="63">
        <f t="shared" ref="H32" si="13">SUM(H30:H31)</f>
        <v>31.973000000000006</v>
      </c>
      <c r="I32" s="63">
        <f t="shared" ref="I32" si="14">SUM(I30:I31)</f>
        <v>-27.872999999999976</v>
      </c>
      <c r="J32" s="63">
        <f t="shared" ref="J32" si="15">SUM(J30:J31)</f>
        <v>8.0010000000000243</v>
      </c>
      <c r="K32" s="63">
        <f t="shared" ref="K32" si="16">SUM(K30:K31)</f>
        <v>37.998000000000047</v>
      </c>
      <c r="L32" s="63">
        <f t="shared" ref="L32" si="17">SUM(L30:L31)</f>
        <v>-48.512999999999977</v>
      </c>
    </row>
    <row r="33" spans="2:13" x14ac:dyDescent="0.35">
      <c r="C33" s="64"/>
      <c r="D33" s="64"/>
      <c r="E33" s="65"/>
      <c r="F33" s="65"/>
      <c r="G33" s="65"/>
      <c r="H33" s="65"/>
      <c r="I33" s="65"/>
      <c r="J33" s="65"/>
      <c r="K33" s="65"/>
      <c r="L33" s="65"/>
    </row>
    <row r="34" spans="2:13" x14ac:dyDescent="0.35">
      <c r="B34" s="3" t="s">
        <v>67</v>
      </c>
      <c r="C34" s="60">
        <v>260</v>
      </c>
      <c r="D34" s="60">
        <v>225</v>
      </c>
      <c r="E34" s="59">
        <f>-E31</f>
        <v>55.982999999999997</v>
      </c>
      <c r="F34" s="59">
        <f t="shared" ref="F34:L34" si="18">-F31</f>
        <v>21.417000000000002</v>
      </c>
      <c r="G34" s="59">
        <f t="shared" si="18"/>
        <v>6.5460000000000003</v>
      </c>
      <c r="H34" s="59">
        <f t="shared" si="18"/>
        <v>2.9359999999999999</v>
      </c>
      <c r="I34" s="59">
        <f t="shared" si="18"/>
        <v>-13.786</v>
      </c>
      <c r="J34" s="59">
        <f t="shared" si="18"/>
        <v>3.956</v>
      </c>
      <c r="K34" s="59">
        <f t="shared" si="18"/>
        <v>18.792999999999999</v>
      </c>
      <c r="L34" s="59">
        <f t="shared" si="18"/>
        <v>-23.992000000000001</v>
      </c>
    </row>
    <row r="35" spans="2:13" x14ac:dyDescent="0.35">
      <c r="B35" s="3" t="s">
        <v>68</v>
      </c>
      <c r="C35" s="60">
        <v>11</v>
      </c>
      <c r="D35" s="60">
        <v>11</v>
      </c>
      <c r="E35" s="60">
        <v>8.577</v>
      </c>
      <c r="F35" s="60">
        <v>8.0069999999999997</v>
      </c>
      <c r="G35" s="60">
        <v>7.484</v>
      </c>
      <c r="H35" s="60">
        <v>6.8940000000000001</v>
      </c>
      <c r="I35" s="60">
        <v>8.9700000000000006</v>
      </c>
      <c r="J35" s="60">
        <v>2.9580000000000002</v>
      </c>
      <c r="K35" s="60">
        <v>2.5350000000000001</v>
      </c>
      <c r="L35" s="60">
        <v>2.415</v>
      </c>
      <c r="M35" s="19" t="s">
        <v>82</v>
      </c>
    </row>
    <row r="36" spans="2:13" x14ac:dyDescent="0.35">
      <c r="B36" s="3" t="s">
        <v>69</v>
      </c>
      <c r="C36" s="60">
        <v>4.3</v>
      </c>
      <c r="D36" s="60">
        <v>4.3</v>
      </c>
      <c r="E36" s="60">
        <v>2.3540000000000001</v>
      </c>
      <c r="F36" s="60">
        <v>0.28000000000000003</v>
      </c>
      <c r="G36" s="60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19" t="s">
        <v>82</v>
      </c>
    </row>
    <row r="37" spans="2:13" x14ac:dyDescent="0.35">
      <c r="B37" s="3" t="s">
        <v>79</v>
      </c>
      <c r="C37" s="60">
        <v>100</v>
      </c>
      <c r="D37" s="60">
        <v>110</v>
      </c>
      <c r="E37" s="60">
        <v>32.880000000000003</v>
      </c>
      <c r="F37" s="60">
        <v>15.59</v>
      </c>
      <c r="G37" s="60">
        <v>12.647</v>
      </c>
      <c r="H37" s="60">
        <v>8.7720000000000002</v>
      </c>
      <c r="I37" s="60">
        <v>11.509</v>
      </c>
      <c r="J37" s="60">
        <v>5.7240000000000002</v>
      </c>
      <c r="K37" s="60">
        <v>8.5359999999999996</v>
      </c>
      <c r="L37" s="60">
        <v>5.3780000000000001</v>
      </c>
      <c r="M37" s="19" t="s">
        <v>82</v>
      </c>
    </row>
    <row r="38" spans="2:13" x14ac:dyDescent="0.35">
      <c r="B38" s="3" t="s">
        <v>73</v>
      </c>
      <c r="C38" s="60">
        <v>0.9</v>
      </c>
      <c r="D38" s="60">
        <v>0.9</v>
      </c>
      <c r="E38" s="60">
        <v>3.0000000000000001E-3</v>
      </c>
      <c r="F38" s="60">
        <v>8.0839999999999996</v>
      </c>
      <c r="G38" s="60">
        <v>0</v>
      </c>
      <c r="H38" s="60">
        <v>0.26800000000000002</v>
      </c>
      <c r="I38" s="60">
        <v>2.2210000000000001</v>
      </c>
      <c r="J38" s="60">
        <v>0</v>
      </c>
      <c r="K38" s="60">
        <v>0</v>
      </c>
      <c r="L38" s="60">
        <v>3.1E-2</v>
      </c>
      <c r="M38" s="19" t="s">
        <v>82</v>
      </c>
    </row>
    <row r="39" spans="2:13" x14ac:dyDescent="0.35">
      <c r="B39" s="3" t="s">
        <v>74</v>
      </c>
      <c r="C39" s="58"/>
      <c r="D39" s="58"/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10.14</v>
      </c>
      <c r="L39" s="60">
        <v>0</v>
      </c>
      <c r="M39" s="19" t="s">
        <v>82</v>
      </c>
    </row>
    <row r="40" spans="2:13" x14ac:dyDescent="0.35">
      <c r="B40" s="3" t="s">
        <v>75</v>
      </c>
      <c r="C40" s="58"/>
      <c r="D40" s="58"/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7.37</v>
      </c>
      <c r="M40" s="19" t="s">
        <v>82</v>
      </c>
    </row>
    <row r="41" spans="2:13" x14ac:dyDescent="0.35">
      <c r="B41" s="3" t="s">
        <v>76</v>
      </c>
      <c r="C41" s="58"/>
      <c r="D41" s="58"/>
      <c r="E41" s="60">
        <v>-5.15</v>
      </c>
      <c r="F41" s="60">
        <v>-0.46200000000000002</v>
      </c>
      <c r="G41" s="60">
        <v>2.2599999999999998</v>
      </c>
      <c r="H41" s="60">
        <v>4.4089999999999998</v>
      </c>
      <c r="I41" s="60">
        <v>-3.5910000000000002</v>
      </c>
      <c r="J41" s="60">
        <v>2.2759999999999998</v>
      </c>
      <c r="K41" s="60">
        <v>-0.74</v>
      </c>
      <c r="L41" s="60">
        <v>-1.0509999999999999</v>
      </c>
      <c r="M41" s="19" t="s">
        <v>82</v>
      </c>
    </row>
    <row r="42" spans="2:13" x14ac:dyDescent="0.35">
      <c r="B42" s="3" t="s">
        <v>77</v>
      </c>
      <c r="C42" s="58"/>
      <c r="D42" s="58"/>
      <c r="E42" s="60">
        <v>16.248999999999999</v>
      </c>
      <c r="F42" s="60">
        <v>-10.994999999999999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19" t="s">
        <v>82</v>
      </c>
    </row>
    <row r="43" spans="2:13" x14ac:dyDescent="0.35">
      <c r="B43" s="3" t="s">
        <v>78</v>
      </c>
      <c r="C43" s="58"/>
      <c r="D43" s="58"/>
      <c r="E43" s="60">
        <v>0</v>
      </c>
      <c r="F43" s="60">
        <v>0</v>
      </c>
      <c r="G43" s="60">
        <v>0</v>
      </c>
      <c r="H43" s="60">
        <v>0</v>
      </c>
      <c r="I43" s="60">
        <v>5</v>
      </c>
      <c r="J43" s="60">
        <v>0</v>
      </c>
      <c r="K43" s="60">
        <v>0</v>
      </c>
      <c r="L43" s="60">
        <v>0</v>
      </c>
      <c r="M43" s="19" t="s">
        <v>82</v>
      </c>
    </row>
    <row r="44" spans="2:13" ht="13.3" thickBot="1" x14ac:dyDescent="0.4">
      <c r="B44" s="24" t="s">
        <v>66</v>
      </c>
      <c r="C44" s="63">
        <f t="shared" ref="C44:D44" si="19">SUM(C32,C34:C43)</f>
        <v>1106.2</v>
      </c>
      <c r="D44" s="63">
        <f t="shared" si="19"/>
        <v>1151.2</v>
      </c>
      <c r="E44" s="63">
        <f t="shared" ref="E44:L44" si="20">SUM(E32,E34:E43)</f>
        <v>287.68099999999998</v>
      </c>
      <c r="F44" s="63">
        <f t="shared" si="20"/>
        <v>123.22000000000003</v>
      </c>
      <c r="G44" s="63">
        <f t="shared" si="20"/>
        <v>61.19700000000001</v>
      </c>
      <c r="H44" s="63">
        <f t="shared" si="20"/>
        <v>55.252000000000002</v>
      </c>
      <c r="I44" s="63">
        <f t="shared" si="20"/>
        <v>-17.549999999999979</v>
      </c>
      <c r="J44" s="63">
        <f t="shared" si="20"/>
        <v>22.915000000000024</v>
      </c>
      <c r="K44" s="63">
        <f t="shared" si="20"/>
        <v>77.262000000000057</v>
      </c>
      <c r="L44" s="63">
        <f t="shared" si="20"/>
        <v>-58.361999999999973</v>
      </c>
    </row>
    <row r="45" spans="2:13" x14ac:dyDescent="0.35">
      <c r="B45" s="25" t="s">
        <v>37</v>
      </c>
      <c r="C45" s="41"/>
      <c r="D45" s="41"/>
    </row>
    <row r="46" spans="2:13" x14ac:dyDescent="0.35">
      <c r="B46" s="26" t="s">
        <v>415</v>
      </c>
      <c r="C46" s="41"/>
      <c r="D46" s="41"/>
    </row>
    <row r="47" spans="2:13" x14ac:dyDescent="0.35">
      <c r="B47" s="26" t="s">
        <v>416</v>
      </c>
      <c r="C47" s="41"/>
      <c r="D47" s="41"/>
    </row>
    <row r="48" spans="2:13" x14ac:dyDescent="0.35">
      <c r="B48" s="25"/>
    </row>
    <row r="49" spans="2:12" x14ac:dyDescent="0.35">
      <c r="B49" s="25"/>
    </row>
    <row r="50" spans="2:12" x14ac:dyDescent="0.35">
      <c r="B50" s="25"/>
    </row>
    <row r="51" spans="2:12" x14ac:dyDescent="0.35">
      <c r="B51" s="25"/>
    </row>
    <row r="58" spans="2:12" x14ac:dyDescent="0.35"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 x14ac:dyDescent="0.35"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 x14ac:dyDescent="0.35"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 x14ac:dyDescent="0.35"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 x14ac:dyDescent="0.35"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 x14ac:dyDescent="0.35"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 x14ac:dyDescent="0.35"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3:12" x14ac:dyDescent="0.35"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3:12" x14ac:dyDescent="0.35"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3:12" x14ac:dyDescent="0.35"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3:12" x14ac:dyDescent="0.35"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3:12" x14ac:dyDescent="0.35"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3:12" x14ac:dyDescent="0.35">
      <c r="C70" s="22"/>
      <c r="D70" s="22"/>
      <c r="E70" s="22"/>
      <c r="F70" s="22"/>
      <c r="G70" s="22"/>
      <c r="H70" s="22"/>
      <c r="I70" s="22"/>
      <c r="J70" s="22"/>
      <c r="K70" s="22"/>
      <c r="L70" s="22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EC12-8FAB-44EE-A959-1154DD4BEFD2}">
  <dimension ref="B2:Q51"/>
  <sheetViews>
    <sheetView showGridLines="0" workbookViewId="0"/>
  </sheetViews>
  <sheetFormatPr defaultRowHeight="12.9" x14ac:dyDescent="0.35"/>
  <cols>
    <col min="1" max="1" width="3.07421875" style="3" customWidth="1"/>
    <col min="2" max="2" width="43.69140625" style="3" customWidth="1"/>
    <col min="3" max="4" width="15.765625" style="3" customWidth="1"/>
    <col min="5" max="8" width="14.69140625" style="3" customWidth="1"/>
    <col min="9" max="16384" width="9.23046875" style="3"/>
  </cols>
  <sheetData>
    <row r="2" spans="2:17" ht="15.9" x14ac:dyDescent="0.45">
      <c r="B2" s="1" t="s">
        <v>407</v>
      </c>
    </row>
    <row r="3" spans="2:17" x14ac:dyDescent="0.35">
      <c r="B3" s="6" t="s">
        <v>0</v>
      </c>
      <c r="C3" s="251"/>
      <c r="D3" s="251"/>
    </row>
    <row r="4" spans="2:17" x14ac:dyDescent="0.35">
      <c r="B4" s="259" t="s">
        <v>408</v>
      </c>
      <c r="C4" s="251"/>
      <c r="D4" s="251"/>
    </row>
    <row r="6" spans="2:17" x14ac:dyDescent="0.35">
      <c r="B6" s="5" t="s">
        <v>244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2:17" ht="13.3" thickBot="1" x14ac:dyDescent="0.4"/>
    <row r="8" spans="2:17" x14ac:dyDescent="0.35">
      <c r="B8" s="11" t="s">
        <v>18</v>
      </c>
      <c r="C8" s="48">
        <v>44196</v>
      </c>
      <c r="D8" s="48">
        <v>43830</v>
      </c>
    </row>
    <row r="9" spans="2:17" x14ac:dyDescent="0.35">
      <c r="B9" s="23" t="s">
        <v>198</v>
      </c>
      <c r="C9" s="66"/>
      <c r="D9" s="66"/>
    </row>
    <row r="10" spans="2:17" x14ac:dyDescent="0.35">
      <c r="B10" s="9" t="s">
        <v>212</v>
      </c>
      <c r="C10" s="70">
        <v>1061.8499999999999</v>
      </c>
      <c r="D10" s="70">
        <v>548.94500000000005</v>
      </c>
      <c r="E10" s="19"/>
    </row>
    <row r="11" spans="2:17" x14ac:dyDescent="0.35">
      <c r="B11" s="9" t="s">
        <v>213</v>
      </c>
      <c r="C11" s="70">
        <v>30.786999999999999</v>
      </c>
      <c r="D11" s="70">
        <v>34.122</v>
      </c>
      <c r="E11" s="19" t="s">
        <v>290</v>
      </c>
    </row>
    <row r="12" spans="2:17" x14ac:dyDescent="0.35">
      <c r="B12" s="9" t="s">
        <v>214</v>
      </c>
      <c r="C12" s="70">
        <v>3763.3919999999998</v>
      </c>
      <c r="D12" s="70">
        <v>1201.3499999999999</v>
      </c>
      <c r="E12" s="19"/>
    </row>
    <row r="13" spans="2:17" x14ac:dyDescent="0.35">
      <c r="B13" s="9" t="s">
        <v>215</v>
      </c>
      <c r="C13" s="70">
        <v>48.938000000000002</v>
      </c>
      <c r="D13" s="70">
        <v>88.429000000000002</v>
      </c>
      <c r="E13" s="19"/>
    </row>
    <row r="14" spans="2:17" x14ac:dyDescent="0.35">
      <c r="B14" s="9" t="s">
        <v>216</v>
      </c>
      <c r="C14" s="70">
        <v>189.471</v>
      </c>
      <c r="D14" s="70">
        <v>17.495999999999999</v>
      </c>
      <c r="E14" s="19" t="s">
        <v>291</v>
      </c>
    </row>
    <row r="15" spans="2:17" x14ac:dyDescent="0.35">
      <c r="B15" s="9" t="s">
        <v>217</v>
      </c>
      <c r="C15" s="71">
        <v>0</v>
      </c>
      <c r="D15" s="70">
        <v>74.171000000000006</v>
      </c>
      <c r="E15" s="19"/>
    </row>
    <row r="16" spans="2:17" x14ac:dyDescent="0.35">
      <c r="B16" s="9" t="s">
        <v>218</v>
      </c>
      <c r="C16" s="70">
        <v>39.51</v>
      </c>
      <c r="D16" s="70">
        <v>22.433</v>
      </c>
      <c r="E16" s="180" t="s">
        <v>324</v>
      </c>
    </row>
    <row r="17" spans="2:5" x14ac:dyDescent="0.35">
      <c r="B17" s="15" t="s">
        <v>219</v>
      </c>
      <c r="C17" s="172">
        <f>SUM(C10:C16)</f>
        <v>5133.9480000000003</v>
      </c>
      <c r="D17" s="172">
        <f>SUM(D10:D16)</f>
        <v>1986.9460000000001</v>
      </c>
      <c r="E17" s="20"/>
    </row>
    <row r="18" spans="2:5" x14ac:dyDescent="0.35">
      <c r="B18" s="17"/>
      <c r="C18" s="173"/>
      <c r="D18" s="173"/>
      <c r="E18" s="20"/>
    </row>
    <row r="19" spans="2:5" x14ac:dyDescent="0.35">
      <c r="B19" s="9" t="s">
        <v>220</v>
      </c>
      <c r="C19" s="70">
        <v>316.09399999999999</v>
      </c>
      <c r="D19" s="70">
        <v>33.932000000000002</v>
      </c>
      <c r="E19" s="19"/>
    </row>
    <row r="20" spans="2:5" x14ac:dyDescent="0.35">
      <c r="B20" s="9" t="s">
        <v>221</v>
      </c>
      <c r="C20" s="70">
        <v>100.845</v>
      </c>
      <c r="D20" s="70">
        <v>123.386</v>
      </c>
      <c r="E20" s="19"/>
    </row>
    <row r="21" spans="2:5" x14ac:dyDescent="0.35">
      <c r="B21" s="9" t="s">
        <v>222</v>
      </c>
      <c r="C21" s="70">
        <v>49.25</v>
      </c>
      <c r="D21" s="70">
        <v>47.116999999999997</v>
      </c>
      <c r="E21" s="19"/>
    </row>
    <row r="22" spans="2:5" x14ac:dyDescent="0.35">
      <c r="B22" s="9" t="s">
        <v>223</v>
      </c>
      <c r="C22" s="70">
        <v>77.212000000000003</v>
      </c>
      <c r="D22" s="70">
        <v>54.695999999999998</v>
      </c>
      <c r="E22" s="19"/>
    </row>
    <row r="23" spans="2:5" x14ac:dyDescent="0.35">
      <c r="B23" s="9" t="s">
        <v>224</v>
      </c>
      <c r="C23" s="70">
        <v>60.825000000000003</v>
      </c>
      <c r="D23" s="70">
        <v>70.137</v>
      </c>
      <c r="E23" s="19"/>
    </row>
    <row r="24" spans="2:5" ht="12" customHeight="1" x14ac:dyDescent="0.35">
      <c r="B24" s="9" t="s">
        <v>225</v>
      </c>
      <c r="C24" s="70">
        <v>117.24</v>
      </c>
      <c r="D24" s="70">
        <v>75.555000000000007</v>
      </c>
      <c r="E24" s="19"/>
    </row>
    <row r="25" spans="2:5" x14ac:dyDescent="0.35">
      <c r="B25" s="15" t="s">
        <v>226</v>
      </c>
      <c r="C25" s="172">
        <f>SUM(C19:C24)</f>
        <v>721.46600000000001</v>
      </c>
      <c r="D25" s="172">
        <f>SUM(D19:D24)</f>
        <v>404.82299999999998</v>
      </c>
      <c r="E25" s="20"/>
    </row>
    <row r="26" spans="2:5" x14ac:dyDescent="0.35">
      <c r="B26" s="16"/>
      <c r="C26" s="173"/>
      <c r="D26" s="173"/>
      <c r="E26" s="20"/>
    </row>
    <row r="27" spans="2:5" x14ac:dyDescent="0.35">
      <c r="B27" s="169" t="s">
        <v>227</v>
      </c>
      <c r="C27" s="174">
        <f>C17+C25</f>
        <v>5855.4140000000007</v>
      </c>
      <c r="D27" s="174">
        <f>D17+D25</f>
        <v>2391.7690000000002</v>
      </c>
      <c r="E27" s="20"/>
    </row>
    <row r="28" spans="2:5" x14ac:dyDescent="0.35">
      <c r="B28" s="16"/>
      <c r="C28" s="173"/>
      <c r="D28" s="173"/>
      <c r="E28" s="20"/>
    </row>
    <row r="29" spans="2:5" x14ac:dyDescent="0.35">
      <c r="B29" s="4" t="s">
        <v>228</v>
      </c>
      <c r="C29" s="175"/>
      <c r="D29" s="175"/>
    </row>
    <row r="30" spans="2:5" x14ac:dyDescent="0.35">
      <c r="B30" s="8" t="s">
        <v>229</v>
      </c>
      <c r="C30" s="70">
        <v>3849.4679999999998</v>
      </c>
      <c r="D30" s="70">
        <v>1106.8150000000001</v>
      </c>
      <c r="E30" s="19"/>
    </row>
    <row r="31" spans="2:5" x14ac:dyDescent="0.35">
      <c r="B31" s="8" t="s">
        <v>230</v>
      </c>
      <c r="C31" s="70">
        <v>85.111000000000004</v>
      </c>
      <c r="D31" s="70">
        <v>45.453000000000003</v>
      </c>
      <c r="E31" s="19"/>
    </row>
    <row r="32" spans="2:5" x14ac:dyDescent="0.35">
      <c r="B32" s="8" t="s">
        <v>231</v>
      </c>
      <c r="C32" s="70">
        <v>271.303</v>
      </c>
      <c r="D32" s="71">
        <v>0</v>
      </c>
      <c r="E32" s="19" t="s">
        <v>292</v>
      </c>
    </row>
    <row r="33" spans="2:5" x14ac:dyDescent="0.35">
      <c r="B33" s="8" t="s">
        <v>232</v>
      </c>
      <c r="C33" s="70">
        <v>25.27</v>
      </c>
      <c r="D33" s="70">
        <v>23.774999999999999</v>
      </c>
      <c r="E33" s="19"/>
    </row>
    <row r="34" spans="2:5" x14ac:dyDescent="0.35">
      <c r="B34" s="8" t="s">
        <v>233</v>
      </c>
      <c r="C34" s="70">
        <v>15.702999999999999</v>
      </c>
      <c r="D34" s="70">
        <v>47.401000000000003</v>
      </c>
      <c r="E34" s="19"/>
    </row>
    <row r="35" spans="2:5" x14ac:dyDescent="0.35">
      <c r="B35" s="12" t="s">
        <v>234</v>
      </c>
      <c r="C35" s="172">
        <f>SUM(C30:C34)</f>
        <v>4246.8550000000005</v>
      </c>
      <c r="D35" s="172">
        <f>SUM(D30:D34)</f>
        <v>1223.4440000000002</v>
      </c>
    </row>
    <row r="36" spans="2:5" x14ac:dyDescent="0.35">
      <c r="B36" s="170" t="s">
        <v>235</v>
      </c>
      <c r="C36" s="176">
        <v>82.507999999999996</v>
      </c>
      <c r="D36" s="176">
        <v>106.542</v>
      </c>
    </row>
    <row r="37" spans="2:5" x14ac:dyDescent="0.35">
      <c r="B37" s="12" t="s">
        <v>236</v>
      </c>
      <c r="C37" s="172">
        <f>C35+C36</f>
        <v>4329.3630000000003</v>
      </c>
      <c r="D37" s="172">
        <f>D35+D36</f>
        <v>1329.9860000000001</v>
      </c>
    </row>
    <row r="38" spans="2:5" x14ac:dyDescent="0.35">
      <c r="B38" s="13"/>
      <c r="C38" s="173"/>
      <c r="D38" s="173"/>
    </row>
    <row r="39" spans="2:5" x14ac:dyDescent="0.35">
      <c r="B39" s="13" t="s">
        <v>237</v>
      </c>
      <c r="C39" s="71">
        <v>562.46699999999998</v>
      </c>
      <c r="D39" s="71">
        <v>564.697</v>
      </c>
    </row>
    <row r="40" spans="2:5" x14ac:dyDescent="0.35">
      <c r="B40" s="13"/>
      <c r="C40" s="173"/>
      <c r="D40" s="173"/>
    </row>
    <row r="41" spans="2:5" x14ac:dyDescent="0.35">
      <c r="B41" s="16" t="s">
        <v>238</v>
      </c>
      <c r="C41" s="71">
        <v>0</v>
      </c>
      <c r="D41" s="71">
        <v>0</v>
      </c>
    </row>
    <row r="42" spans="2:5" x14ac:dyDescent="0.35">
      <c r="B42" s="16" t="s">
        <v>239</v>
      </c>
      <c r="C42" s="71">
        <v>0</v>
      </c>
      <c r="D42" s="71">
        <v>0</v>
      </c>
    </row>
    <row r="43" spans="2:5" x14ac:dyDescent="0.35">
      <c r="B43" s="16" t="s">
        <v>240</v>
      </c>
      <c r="C43" s="71">
        <v>231.024</v>
      </c>
      <c r="D43" s="71">
        <v>93.82</v>
      </c>
    </row>
    <row r="44" spans="2:5" x14ac:dyDescent="0.35">
      <c r="B44" s="16" t="s">
        <v>241</v>
      </c>
      <c r="C44" s="71">
        <v>6.2560000000000002</v>
      </c>
      <c r="D44" s="71">
        <v>-0.72099999999999997</v>
      </c>
      <c r="E44" s="19" t="s">
        <v>289</v>
      </c>
    </row>
    <row r="45" spans="2:5" x14ac:dyDescent="0.35">
      <c r="B45" s="16" t="s">
        <v>288</v>
      </c>
      <c r="C45" s="71">
        <v>726.30399999999997</v>
      </c>
      <c r="D45" s="71">
        <v>403.98700000000002</v>
      </c>
    </row>
    <row r="46" spans="2:5" x14ac:dyDescent="0.35">
      <c r="B46" s="12" t="s">
        <v>242</v>
      </c>
      <c r="C46" s="172">
        <f>SUM(C41:C45)</f>
        <v>963.58399999999995</v>
      </c>
      <c r="D46" s="172">
        <f>SUM(D41:D45)</f>
        <v>497.08600000000001</v>
      </c>
      <c r="E46" s="19"/>
    </row>
    <row r="47" spans="2:5" x14ac:dyDescent="0.35">
      <c r="B47" s="10"/>
      <c r="C47" s="173"/>
      <c r="D47" s="173"/>
      <c r="E47" s="19"/>
    </row>
    <row r="48" spans="2:5" ht="13.3" thickBot="1" x14ac:dyDescent="0.4">
      <c r="B48" s="24" t="s">
        <v>243</v>
      </c>
      <c r="C48" s="177">
        <f>C37+C39+C46</f>
        <v>5855.4139999999998</v>
      </c>
      <c r="D48" s="177">
        <f>D37+D39+D46</f>
        <v>2391.7690000000002</v>
      </c>
    </row>
    <row r="49" spans="2:2" x14ac:dyDescent="0.35">
      <c r="B49" s="25"/>
    </row>
    <row r="50" spans="2:2" x14ac:dyDescent="0.35">
      <c r="B50" s="25"/>
    </row>
    <row r="51" spans="2:2" x14ac:dyDescent="0.35">
      <c r="B51" s="25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0991-EBF8-4B22-9EF2-206C5A317ECD}">
  <dimension ref="B2:Q34"/>
  <sheetViews>
    <sheetView showGridLines="0" zoomScaleNormal="100" workbookViewId="0">
      <selection activeCell="F20" sqref="F20"/>
    </sheetView>
  </sheetViews>
  <sheetFormatPr defaultRowHeight="12.9" x14ac:dyDescent="0.35"/>
  <cols>
    <col min="1" max="1" width="3.07421875" style="3" customWidth="1"/>
    <col min="2" max="2" width="32.765625" style="3" customWidth="1"/>
    <col min="3" max="15" width="10.15234375" style="29" customWidth="1"/>
    <col min="16" max="16" width="14.69140625" style="3" customWidth="1"/>
    <col min="17" max="17" width="9.4609375" style="3" customWidth="1"/>
    <col min="18" max="19" width="14.69140625" style="3" customWidth="1"/>
    <col min="20" max="16384" width="9.23046875" style="3"/>
  </cols>
  <sheetData>
    <row r="2" spans="2:17" ht="15.9" x14ac:dyDescent="0.45">
      <c r="B2" s="1" t="s">
        <v>407</v>
      </c>
    </row>
    <row r="3" spans="2:17" x14ac:dyDescent="0.35">
      <c r="B3" s="6" t="s">
        <v>0</v>
      </c>
    </row>
    <row r="4" spans="2:17" x14ac:dyDescent="0.35">
      <c r="B4" s="259" t="s">
        <v>408</v>
      </c>
    </row>
    <row r="6" spans="2:17" x14ac:dyDescent="0.35">
      <c r="B6" s="5" t="s">
        <v>41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  <c r="Q6" s="5"/>
    </row>
    <row r="8" spans="2:17" ht="13.3" thickBot="1" x14ac:dyDescent="0.4">
      <c r="B8" s="4" t="s">
        <v>58</v>
      </c>
    </row>
    <row r="9" spans="2:17" x14ac:dyDescent="0.35">
      <c r="B9" s="44" t="s">
        <v>80</v>
      </c>
      <c r="C9" s="90" t="s">
        <v>42</v>
      </c>
      <c r="D9" s="90" t="s">
        <v>43</v>
      </c>
      <c r="E9" s="90" t="s">
        <v>49</v>
      </c>
      <c r="F9" s="90" t="s">
        <v>50</v>
      </c>
      <c r="G9" s="90" t="s">
        <v>44</v>
      </c>
      <c r="H9" s="90" t="s">
        <v>45</v>
      </c>
      <c r="I9" s="90" t="s">
        <v>51</v>
      </c>
      <c r="J9" s="90" t="s">
        <v>52</v>
      </c>
      <c r="K9" s="90" t="s">
        <v>46</v>
      </c>
      <c r="L9" s="90" t="s">
        <v>47</v>
      </c>
      <c r="M9" s="90" t="s">
        <v>53</v>
      </c>
      <c r="N9" s="90" t="s">
        <v>54</v>
      </c>
      <c r="O9" s="90" t="s">
        <v>48</v>
      </c>
    </row>
    <row r="10" spans="2:17" x14ac:dyDescent="0.35">
      <c r="B10" s="28" t="s">
        <v>164</v>
      </c>
      <c r="C10" s="91">
        <v>43190</v>
      </c>
      <c r="D10" s="91">
        <v>43281</v>
      </c>
      <c r="E10" s="91">
        <v>43373</v>
      </c>
      <c r="F10" s="91">
        <v>43465</v>
      </c>
      <c r="G10" s="91">
        <v>43555</v>
      </c>
      <c r="H10" s="91">
        <v>43646</v>
      </c>
      <c r="I10" s="91">
        <v>43738</v>
      </c>
      <c r="J10" s="91">
        <v>43830</v>
      </c>
      <c r="K10" s="91">
        <v>43921</v>
      </c>
      <c r="L10" s="91">
        <v>44012</v>
      </c>
      <c r="M10" s="91">
        <v>44104</v>
      </c>
      <c r="N10" s="91">
        <v>44196</v>
      </c>
      <c r="O10" s="91">
        <v>44286</v>
      </c>
    </row>
    <row r="11" spans="2:17" x14ac:dyDescent="0.35">
      <c r="B11" s="10" t="s">
        <v>417</v>
      </c>
      <c r="C11" s="70">
        <v>23</v>
      </c>
      <c r="D11" s="70">
        <v>24</v>
      </c>
      <c r="E11" s="70">
        <v>25</v>
      </c>
      <c r="F11" s="70">
        <v>26</v>
      </c>
      <c r="G11" s="70">
        <v>27</v>
      </c>
      <c r="H11" s="70">
        <v>29</v>
      </c>
      <c r="I11" s="70">
        <v>31</v>
      </c>
      <c r="J11" s="70">
        <v>32</v>
      </c>
      <c r="K11" s="70">
        <v>34</v>
      </c>
      <c r="L11" s="70">
        <v>37</v>
      </c>
      <c r="M11" s="70">
        <v>39</v>
      </c>
      <c r="N11" s="70">
        <v>43</v>
      </c>
      <c r="O11" s="70">
        <v>56</v>
      </c>
      <c r="P11" s="19" t="s">
        <v>55</v>
      </c>
    </row>
    <row r="12" spans="2:17" x14ac:dyDescent="0.35">
      <c r="B12" s="10" t="s">
        <v>163</v>
      </c>
      <c r="C12" s="60">
        <v>2.7</v>
      </c>
      <c r="D12" s="60">
        <v>1.2</v>
      </c>
      <c r="E12" s="60">
        <v>0.9</v>
      </c>
      <c r="F12" s="60">
        <v>0.9</v>
      </c>
      <c r="G12" s="60">
        <v>0.8</v>
      </c>
      <c r="H12" s="60">
        <v>1.3</v>
      </c>
      <c r="I12" s="60">
        <v>1.2</v>
      </c>
      <c r="J12" s="60">
        <v>1</v>
      </c>
      <c r="K12" s="60">
        <v>1.3</v>
      </c>
      <c r="L12" s="60">
        <v>1.5</v>
      </c>
      <c r="M12" s="60">
        <v>2.1</v>
      </c>
      <c r="N12" s="60">
        <v>2.8</v>
      </c>
      <c r="O12" s="60">
        <v>6.1</v>
      </c>
      <c r="P12" s="19" t="s">
        <v>56</v>
      </c>
    </row>
    <row r="13" spans="2:17" x14ac:dyDescent="0.35">
      <c r="B13" s="13" t="s">
        <v>204</v>
      </c>
      <c r="C13" s="71">
        <v>13</v>
      </c>
      <c r="D13" s="71">
        <v>13</v>
      </c>
      <c r="E13" s="71">
        <v>11</v>
      </c>
      <c r="F13" s="71">
        <v>7</v>
      </c>
      <c r="G13" s="71">
        <v>8</v>
      </c>
      <c r="H13" s="71">
        <v>21</v>
      </c>
      <c r="I13" s="71">
        <v>18</v>
      </c>
      <c r="J13" s="71">
        <v>17</v>
      </c>
      <c r="K13" s="71">
        <v>17</v>
      </c>
      <c r="L13" s="71">
        <v>26</v>
      </c>
      <c r="M13" s="71">
        <v>36</v>
      </c>
      <c r="N13" s="71">
        <v>90</v>
      </c>
      <c r="O13" s="71">
        <v>223</v>
      </c>
      <c r="P13" s="19" t="s">
        <v>57</v>
      </c>
    </row>
    <row r="14" spans="2:17" x14ac:dyDescent="0.35">
      <c r="B14" s="13" t="s">
        <v>418</v>
      </c>
      <c r="C14" s="72">
        <f>SUM(C15:C16)</f>
        <v>56</v>
      </c>
      <c r="D14" s="72">
        <f t="shared" ref="D14:N14" si="0">SUM(D15:D16)</f>
        <v>21</v>
      </c>
      <c r="E14" s="72">
        <f t="shared" si="0"/>
        <v>12</v>
      </c>
      <c r="F14" s="72">
        <f t="shared" si="0"/>
        <v>11</v>
      </c>
      <c r="G14" s="72">
        <f t="shared" si="0"/>
        <v>7</v>
      </c>
      <c r="H14" s="72">
        <f t="shared" si="0"/>
        <v>31</v>
      </c>
      <c r="I14" s="72">
        <f t="shared" si="0"/>
        <v>27</v>
      </c>
      <c r="J14" s="72">
        <f t="shared" si="0"/>
        <v>14</v>
      </c>
      <c r="K14" s="72">
        <f t="shared" si="0"/>
        <v>30</v>
      </c>
      <c r="L14" s="72">
        <f t="shared" si="0"/>
        <v>28</v>
      </c>
      <c r="M14" s="72">
        <f t="shared" si="0"/>
        <v>45</v>
      </c>
      <c r="N14" s="72">
        <f t="shared" si="0"/>
        <v>89</v>
      </c>
      <c r="O14" s="71">
        <v>335</v>
      </c>
      <c r="P14" s="19"/>
    </row>
    <row r="15" spans="2:17" x14ac:dyDescent="0.35">
      <c r="B15" s="16" t="s">
        <v>13</v>
      </c>
      <c r="C15" s="71">
        <v>45</v>
      </c>
      <c r="D15" s="71">
        <v>14</v>
      </c>
      <c r="E15" s="71">
        <v>7</v>
      </c>
      <c r="F15" s="71">
        <v>6</v>
      </c>
      <c r="G15" s="71">
        <v>4</v>
      </c>
      <c r="H15" s="71">
        <v>14</v>
      </c>
      <c r="I15" s="71">
        <v>11</v>
      </c>
      <c r="J15" s="71">
        <v>5</v>
      </c>
      <c r="K15" s="71">
        <v>12</v>
      </c>
      <c r="L15" s="71">
        <v>11</v>
      </c>
      <c r="M15" s="71">
        <v>18</v>
      </c>
      <c r="N15" s="71">
        <v>32</v>
      </c>
      <c r="O15" s="72"/>
      <c r="P15" s="19" t="s">
        <v>64</v>
      </c>
    </row>
    <row r="16" spans="2:17" ht="13.3" thickBot="1" x14ac:dyDescent="0.4">
      <c r="B16" s="40" t="s">
        <v>14</v>
      </c>
      <c r="C16" s="73">
        <v>11</v>
      </c>
      <c r="D16" s="73">
        <v>7</v>
      </c>
      <c r="E16" s="73">
        <v>5</v>
      </c>
      <c r="F16" s="73">
        <v>5</v>
      </c>
      <c r="G16" s="73">
        <v>3</v>
      </c>
      <c r="H16" s="73">
        <v>17</v>
      </c>
      <c r="I16" s="73">
        <v>16</v>
      </c>
      <c r="J16" s="73">
        <v>9</v>
      </c>
      <c r="K16" s="73">
        <v>18</v>
      </c>
      <c r="L16" s="73">
        <v>17</v>
      </c>
      <c r="M16" s="73">
        <v>27</v>
      </c>
      <c r="N16" s="73">
        <v>57</v>
      </c>
      <c r="O16" s="74"/>
      <c r="P16" s="19" t="s">
        <v>64</v>
      </c>
    </row>
    <row r="17" spans="2:6" x14ac:dyDescent="0.35">
      <c r="B17" s="25"/>
    </row>
    <row r="18" spans="2:6" ht="13.3" thickBot="1" x14ac:dyDescent="0.4">
      <c r="B18" s="260" t="s">
        <v>419</v>
      </c>
    </row>
    <row r="19" spans="2:6" x14ac:dyDescent="0.35">
      <c r="B19" s="33" t="s">
        <v>17</v>
      </c>
      <c r="C19" s="75">
        <v>2018</v>
      </c>
      <c r="D19" s="75">
        <v>2019</v>
      </c>
      <c r="E19" s="75">
        <v>2020</v>
      </c>
    </row>
    <row r="20" spans="2:6" ht="13.3" thickBot="1" x14ac:dyDescent="0.4">
      <c r="B20" s="261" t="s">
        <v>420</v>
      </c>
      <c r="C20" s="262">
        <v>4.4999999999999998E-2</v>
      </c>
      <c r="D20" s="262">
        <v>8.3000000000000004E-2</v>
      </c>
      <c r="E20" s="262">
        <v>0.111</v>
      </c>
      <c r="F20" s="19" t="s">
        <v>63</v>
      </c>
    </row>
    <row r="21" spans="2:6" x14ac:dyDescent="0.35">
      <c r="B21" s="25"/>
    </row>
    <row r="22" spans="2:6" ht="13.3" thickBot="1" x14ac:dyDescent="0.4">
      <c r="B22" s="4" t="s">
        <v>98</v>
      </c>
    </row>
    <row r="23" spans="2:6" x14ac:dyDescent="0.35">
      <c r="B23" s="33" t="s">
        <v>17</v>
      </c>
      <c r="C23" s="75">
        <v>2019</v>
      </c>
      <c r="D23" s="75">
        <v>2020</v>
      </c>
    </row>
    <row r="24" spans="2:6" x14ac:dyDescent="0.35">
      <c r="B24" s="38" t="s">
        <v>59</v>
      </c>
      <c r="C24" s="76">
        <v>0.7</v>
      </c>
      <c r="D24" s="76">
        <v>0.7</v>
      </c>
      <c r="E24" s="19" t="s">
        <v>63</v>
      </c>
      <c r="F24" s="3"/>
    </row>
    <row r="25" spans="2:6" x14ac:dyDescent="0.35">
      <c r="B25" s="38" t="s">
        <v>60</v>
      </c>
      <c r="C25" s="76">
        <v>0.09</v>
      </c>
      <c r="D25" s="76">
        <v>0.13</v>
      </c>
      <c r="E25" s="19" t="s">
        <v>63</v>
      </c>
      <c r="F25" s="3"/>
    </row>
    <row r="26" spans="2:6" x14ac:dyDescent="0.35">
      <c r="B26" s="38" t="s">
        <v>61</v>
      </c>
      <c r="C26" s="76">
        <v>0.15</v>
      </c>
      <c r="D26" s="76">
        <v>0.13</v>
      </c>
      <c r="E26" s="19" t="s">
        <v>63</v>
      </c>
      <c r="F26" s="3"/>
    </row>
    <row r="27" spans="2:6" ht="13.3" thickBot="1" x14ac:dyDescent="0.4">
      <c r="B27" s="39" t="s">
        <v>62</v>
      </c>
      <c r="C27" s="77">
        <v>0.06</v>
      </c>
      <c r="D27" s="77">
        <v>0.04</v>
      </c>
      <c r="E27" s="19" t="s">
        <v>63</v>
      </c>
      <c r="F27" s="3"/>
    </row>
    <row r="28" spans="2:6" x14ac:dyDescent="0.35">
      <c r="B28" s="37"/>
      <c r="C28" s="78"/>
      <c r="D28" s="78"/>
      <c r="E28" s="35"/>
      <c r="F28" s="35"/>
    </row>
    <row r="29" spans="2:6" ht="13.3" thickBot="1" x14ac:dyDescent="0.4">
      <c r="B29" s="4" t="s">
        <v>99</v>
      </c>
      <c r="C29" s="65"/>
      <c r="D29" s="65"/>
    </row>
    <row r="30" spans="2:6" x14ac:dyDescent="0.35">
      <c r="B30" s="33" t="s">
        <v>17</v>
      </c>
      <c r="C30" s="75">
        <v>2019</v>
      </c>
      <c r="D30" s="75">
        <v>2020</v>
      </c>
    </row>
    <row r="31" spans="2:6" x14ac:dyDescent="0.35">
      <c r="B31" s="34" t="s">
        <v>59</v>
      </c>
      <c r="C31" s="76">
        <v>0.57999999999999996</v>
      </c>
      <c r="D31" s="76">
        <v>0.41</v>
      </c>
      <c r="E31" s="19" t="s">
        <v>63</v>
      </c>
      <c r="F31" s="35"/>
    </row>
    <row r="32" spans="2:6" x14ac:dyDescent="0.35">
      <c r="B32" s="34" t="s">
        <v>60</v>
      </c>
      <c r="C32" s="76">
        <v>0.14000000000000001</v>
      </c>
      <c r="D32" s="76">
        <v>0.15</v>
      </c>
      <c r="E32" s="19" t="s">
        <v>63</v>
      </c>
      <c r="F32" s="35"/>
    </row>
    <row r="33" spans="2:6" x14ac:dyDescent="0.35">
      <c r="B33" s="34" t="s">
        <v>65</v>
      </c>
      <c r="C33" s="76">
        <v>0.1</v>
      </c>
      <c r="D33" s="76">
        <v>0</v>
      </c>
      <c r="E33" s="19" t="s">
        <v>63</v>
      </c>
      <c r="F33" s="35"/>
    </row>
    <row r="34" spans="2:6" ht="13.3" thickBot="1" x14ac:dyDescent="0.4">
      <c r="B34" s="36" t="s">
        <v>61</v>
      </c>
      <c r="C34" s="77">
        <v>0.18</v>
      </c>
      <c r="D34" s="77">
        <v>0.44</v>
      </c>
      <c r="E34" s="19" t="s">
        <v>63</v>
      </c>
      <c r="F34" s="35"/>
    </row>
  </sheetData>
  <phoneticPr fontId="12" type="noConversion"/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0F6F-D088-466C-B78B-EF3135368CE7}">
  <dimension ref="B2:E63"/>
  <sheetViews>
    <sheetView showGridLines="0" workbookViewId="0">
      <selection activeCell="C45" sqref="C45"/>
    </sheetView>
  </sheetViews>
  <sheetFormatPr defaultRowHeight="12.9" x14ac:dyDescent="0.35"/>
  <cols>
    <col min="1" max="1" width="3.07421875" style="3" customWidth="1"/>
    <col min="2" max="2" width="53.84375" style="3" customWidth="1"/>
    <col min="3" max="4" width="15.765625" style="3" customWidth="1"/>
    <col min="5" max="8" width="14.69140625" style="3" customWidth="1"/>
    <col min="9" max="16384" width="9.23046875" style="3"/>
  </cols>
  <sheetData>
    <row r="2" spans="2:4" ht="15.9" x14ac:dyDescent="0.45">
      <c r="B2" s="1" t="s">
        <v>407</v>
      </c>
    </row>
    <row r="3" spans="2:4" x14ac:dyDescent="0.35">
      <c r="B3" s="6" t="s">
        <v>0</v>
      </c>
    </row>
    <row r="4" spans="2:4" x14ac:dyDescent="0.35">
      <c r="B4" s="259" t="s">
        <v>408</v>
      </c>
    </row>
    <row r="6" spans="2:4" x14ac:dyDescent="0.35">
      <c r="B6" s="5" t="s">
        <v>409</v>
      </c>
      <c r="C6" s="5"/>
      <c r="D6" s="5"/>
    </row>
    <row r="8" spans="2:4" ht="13.3" thickBot="1" x14ac:dyDescent="0.4">
      <c r="B8" s="21" t="s">
        <v>325</v>
      </c>
    </row>
    <row r="9" spans="2:4" x14ac:dyDescent="0.35">
      <c r="B9" s="11" t="s">
        <v>18</v>
      </c>
      <c r="C9" s="48">
        <v>44196</v>
      </c>
      <c r="D9" s="48">
        <v>43830</v>
      </c>
    </row>
    <row r="10" spans="2:4" x14ac:dyDescent="0.35">
      <c r="B10" s="23" t="s">
        <v>245</v>
      </c>
      <c r="C10" s="66"/>
      <c r="D10" s="66"/>
    </row>
    <row r="11" spans="2:4" x14ac:dyDescent="0.35">
      <c r="B11" s="8" t="s">
        <v>246</v>
      </c>
      <c r="C11" s="60">
        <v>322.31700000000001</v>
      </c>
      <c r="D11" s="60">
        <v>-30.387</v>
      </c>
    </row>
    <row r="12" spans="2:4" x14ac:dyDescent="0.35">
      <c r="B12" s="8" t="s">
        <v>247</v>
      </c>
      <c r="C12" s="58"/>
      <c r="D12" s="58"/>
    </row>
    <row r="13" spans="2:4" x14ac:dyDescent="0.35">
      <c r="B13" s="178" t="s">
        <v>248</v>
      </c>
      <c r="C13" s="60">
        <v>30.962</v>
      </c>
      <c r="D13" s="60">
        <v>16.878</v>
      </c>
    </row>
    <row r="14" spans="2:4" x14ac:dyDescent="0.35">
      <c r="B14" s="178" t="s">
        <v>249</v>
      </c>
      <c r="C14" s="60">
        <v>8.3550000000000004</v>
      </c>
      <c r="D14" s="60">
        <v>2.2519999999999998</v>
      </c>
    </row>
    <row r="15" spans="2:4" x14ac:dyDescent="0.35">
      <c r="B15" s="178" t="s">
        <v>250</v>
      </c>
      <c r="C15" s="60">
        <v>70.548000000000002</v>
      </c>
      <c r="D15" s="60">
        <v>31.146999999999998</v>
      </c>
    </row>
    <row r="16" spans="2:4" x14ac:dyDescent="0.35">
      <c r="B16" s="178" t="s">
        <v>251</v>
      </c>
      <c r="C16" s="60">
        <v>-2.9660000000000002</v>
      </c>
      <c r="D16" s="60">
        <v>-4.6790000000000003</v>
      </c>
    </row>
    <row r="17" spans="2:5" x14ac:dyDescent="0.35">
      <c r="B17" s="178" t="s">
        <v>252</v>
      </c>
      <c r="C17" s="60">
        <v>0.35499999999999998</v>
      </c>
      <c r="D17" s="60">
        <v>9.0730000000000004</v>
      </c>
    </row>
    <row r="18" spans="2:5" x14ac:dyDescent="0.35">
      <c r="B18" s="178" t="s">
        <v>253</v>
      </c>
      <c r="C18" s="60">
        <v>0.47399999999999998</v>
      </c>
      <c r="D18" s="60">
        <v>-20.902999999999999</v>
      </c>
    </row>
    <row r="19" spans="2:5" x14ac:dyDescent="0.35">
      <c r="B19" s="178" t="s">
        <v>254</v>
      </c>
      <c r="C19" s="60">
        <v>1.0569999999999999</v>
      </c>
      <c r="D19" s="60">
        <v>-3.1059999999999999</v>
      </c>
    </row>
    <row r="20" spans="2:5" x14ac:dyDescent="0.35">
      <c r="B20" s="178" t="s">
        <v>255</v>
      </c>
      <c r="C20" s="60">
        <v>25.012</v>
      </c>
      <c r="D20" s="60">
        <v>13.323</v>
      </c>
      <c r="E20" s="19"/>
    </row>
    <row r="21" spans="2:5" x14ac:dyDescent="0.35">
      <c r="B21" s="178" t="s">
        <v>256</v>
      </c>
      <c r="C21" s="60">
        <v>0.15</v>
      </c>
      <c r="D21" s="60">
        <v>0.245</v>
      </c>
      <c r="E21" s="19"/>
    </row>
    <row r="22" spans="2:5" x14ac:dyDescent="0.35">
      <c r="B22" s="178" t="s">
        <v>257</v>
      </c>
      <c r="C22" s="60">
        <v>3.2810000000000001</v>
      </c>
      <c r="D22" s="60">
        <v>0</v>
      </c>
      <c r="E22" s="19"/>
    </row>
    <row r="23" spans="2:5" x14ac:dyDescent="0.35">
      <c r="B23" s="178" t="s">
        <v>258</v>
      </c>
      <c r="C23" s="60">
        <v>-23.681999999999999</v>
      </c>
      <c r="D23" s="60">
        <v>5.6619999999999999</v>
      </c>
      <c r="E23" s="19"/>
    </row>
    <row r="24" spans="2:5" x14ac:dyDescent="0.35">
      <c r="B24" s="178" t="s">
        <v>259</v>
      </c>
      <c r="C24" s="60">
        <v>-94.158000000000001</v>
      </c>
      <c r="D24" s="60">
        <v>-11.407999999999999</v>
      </c>
      <c r="E24" s="19"/>
    </row>
    <row r="25" spans="2:5" x14ac:dyDescent="0.35">
      <c r="B25" s="178" t="s">
        <v>260</v>
      </c>
      <c r="C25" s="60">
        <v>40.204999999999998</v>
      </c>
      <c r="D25" s="60">
        <v>11.622</v>
      </c>
      <c r="E25" s="19"/>
    </row>
    <row r="26" spans="2:5" x14ac:dyDescent="0.35">
      <c r="B26" s="178" t="s">
        <v>261</v>
      </c>
      <c r="C26" s="60">
        <v>5.2539999999999996</v>
      </c>
      <c r="D26" s="60">
        <v>0</v>
      </c>
      <c r="E26" s="19"/>
    </row>
    <row r="27" spans="2:5" x14ac:dyDescent="0.35">
      <c r="B27" s="8" t="s">
        <v>266</v>
      </c>
      <c r="C27" s="58"/>
      <c r="D27" s="58"/>
      <c r="E27" s="19"/>
    </row>
    <row r="28" spans="2:5" x14ac:dyDescent="0.35">
      <c r="B28" s="178" t="s">
        <v>215</v>
      </c>
      <c r="C28" s="60">
        <v>37.936</v>
      </c>
      <c r="D28" s="60">
        <v>35.302999999999997</v>
      </c>
      <c r="E28" s="19"/>
    </row>
    <row r="29" spans="2:5" x14ac:dyDescent="0.35">
      <c r="B29" s="178" t="s">
        <v>262</v>
      </c>
      <c r="C29" s="60">
        <v>-157.15600000000001</v>
      </c>
      <c r="D29" s="60">
        <v>30.702999999999999</v>
      </c>
      <c r="E29" s="19"/>
    </row>
    <row r="30" spans="2:5" x14ac:dyDescent="0.35">
      <c r="B30" s="178" t="s">
        <v>217</v>
      </c>
      <c r="C30" s="60">
        <v>86.790999999999997</v>
      </c>
      <c r="D30" s="60">
        <v>-1.9119999999999999</v>
      </c>
      <c r="E30" s="19"/>
    </row>
    <row r="31" spans="2:5" x14ac:dyDescent="0.35">
      <c r="B31" s="178" t="s">
        <v>263</v>
      </c>
      <c r="C31" s="49">
        <v>-48.677</v>
      </c>
      <c r="D31" s="60">
        <v>-38.594000000000001</v>
      </c>
      <c r="E31" s="19"/>
    </row>
    <row r="32" spans="2:5" x14ac:dyDescent="0.35">
      <c r="B32" s="178" t="s">
        <v>229</v>
      </c>
      <c r="C32" s="49">
        <v>2710.5219999999999</v>
      </c>
      <c r="D32" s="60">
        <v>-130.12200000000001</v>
      </c>
      <c r="E32" s="19"/>
    </row>
    <row r="33" spans="2:5" x14ac:dyDescent="0.35">
      <c r="B33" s="178" t="s">
        <v>230</v>
      </c>
      <c r="C33" s="49">
        <v>20.837</v>
      </c>
      <c r="D33" s="60">
        <v>-0.78800000000000003</v>
      </c>
      <c r="E33" s="19"/>
    </row>
    <row r="34" spans="2:5" x14ac:dyDescent="0.35">
      <c r="B34" s="178" t="s">
        <v>264</v>
      </c>
      <c r="C34" s="49">
        <v>-24.998000000000001</v>
      </c>
      <c r="D34" s="60">
        <v>-11.025</v>
      </c>
      <c r="E34" s="19"/>
    </row>
    <row r="35" spans="2:5" x14ac:dyDescent="0.35">
      <c r="B35" s="178" t="s">
        <v>265</v>
      </c>
      <c r="C35" s="60">
        <v>-8.3490000000000002</v>
      </c>
      <c r="D35" s="60">
        <v>16.122</v>
      </c>
      <c r="E35" s="19"/>
    </row>
    <row r="36" spans="2:5" x14ac:dyDescent="0.35">
      <c r="B36" s="12" t="s">
        <v>267</v>
      </c>
      <c r="C36" s="57">
        <f>SUM(C11,C13:C26,C28:C35)</f>
        <v>3004.0699999999997</v>
      </c>
      <c r="D36" s="57">
        <f>SUM(D11,D13:D26,D28:D35)</f>
        <v>-80.594000000000023</v>
      </c>
      <c r="E36" s="20"/>
    </row>
    <row r="37" spans="2:5" x14ac:dyDescent="0.35">
      <c r="B37" s="17"/>
      <c r="C37" s="67"/>
      <c r="D37" s="67"/>
      <c r="E37" s="20"/>
    </row>
    <row r="38" spans="2:5" x14ac:dyDescent="0.35">
      <c r="B38" s="4" t="s">
        <v>268</v>
      </c>
      <c r="C38" s="59"/>
      <c r="D38" s="59"/>
    </row>
    <row r="39" spans="2:5" x14ac:dyDescent="0.35">
      <c r="B39" s="8" t="s">
        <v>270</v>
      </c>
      <c r="C39" s="60">
        <v>-9.9130000000000003</v>
      </c>
      <c r="D39" s="60">
        <v>-33.521000000000001</v>
      </c>
      <c r="E39" s="19"/>
    </row>
    <row r="40" spans="2:5" x14ac:dyDescent="0.35">
      <c r="B40" s="8" t="s">
        <v>271</v>
      </c>
      <c r="C40" s="60">
        <v>0</v>
      </c>
      <c r="D40" s="60">
        <v>2.2930000000000001</v>
      </c>
      <c r="E40" s="19"/>
    </row>
    <row r="41" spans="2:5" x14ac:dyDescent="0.35">
      <c r="B41" s="8" t="s">
        <v>272</v>
      </c>
      <c r="C41" s="60">
        <v>-8.8889999999999993</v>
      </c>
      <c r="D41" s="60">
        <v>-6.95</v>
      </c>
      <c r="E41" s="19"/>
    </row>
    <row r="42" spans="2:5" x14ac:dyDescent="0.35">
      <c r="B42" s="8" t="s">
        <v>273</v>
      </c>
      <c r="C42" s="60">
        <v>33.615000000000002</v>
      </c>
      <c r="D42" s="60">
        <v>-5.6980000000000004</v>
      </c>
      <c r="E42" s="19"/>
    </row>
    <row r="43" spans="2:5" x14ac:dyDescent="0.35">
      <c r="B43" s="8" t="s">
        <v>274</v>
      </c>
      <c r="C43" s="60">
        <v>-10.329000000000001</v>
      </c>
      <c r="D43" s="60">
        <v>-7.9379999999999997</v>
      </c>
      <c r="E43" s="19"/>
    </row>
    <row r="44" spans="2:5" x14ac:dyDescent="0.35">
      <c r="B44" s="8" t="s">
        <v>275</v>
      </c>
      <c r="C44" s="60">
        <v>0</v>
      </c>
      <c r="D44" s="49">
        <v>-55.389000000000003</v>
      </c>
      <c r="E44" s="19"/>
    </row>
    <row r="45" spans="2:5" x14ac:dyDescent="0.35">
      <c r="B45" s="8" t="s">
        <v>276</v>
      </c>
      <c r="C45" s="60">
        <v>0.30299999999999999</v>
      </c>
      <c r="D45" s="49">
        <v>0.374</v>
      </c>
      <c r="E45" s="19"/>
    </row>
    <row r="46" spans="2:5" x14ac:dyDescent="0.35">
      <c r="B46" s="8" t="s">
        <v>277</v>
      </c>
      <c r="C46" s="60">
        <v>-528.08000000000004</v>
      </c>
      <c r="D46" s="60">
        <v>-271.26600000000002</v>
      </c>
      <c r="E46" s="19"/>
    </row>
    <row r="47" spans="2:5" x14ac:dyDescent="0.35">
      <c r="B47" s="8" t="s">
        <v>278</v>
      </c>
      <c r="C47" s="60">
        <v>574.11500000000001</v>
      </c>
      <c r="D47" s="60">
        <v>272.74200000000002</v>
      </c>
      <c r="E47" s="19"/>
    </row>
    <row r="48" spans="2:5" x14ac:dyDescent="0.35">
      <c r="B48" s="12" t="s">
        <v>269</v>
      </c>
      <c r="C48" s="57">
        <f>SUM(C39:C47)</f>
        <v>50.822000000000003</v>
      </c>
      <c r="D48" s="57">
        <f>SUM(D39:D47)</f>
        <v>-105.35300000000001</v>
      </c>
    </row>
    <row r="49" spans="2:5" x14ac:dyDescent="0.35">
      <c r="B49" s="13"/>
      <c r="C49" s="67"/>
      <c r="D49" s="67"/>
    </row>
    <row r="50" spans="2:5" x14ac:dyDescent="0.35">
      <c r="B50" s="4" t="s">
        <v>279</v>
      </c>
      <c r="C50" s="67"/>
      <c r="D50" s="67"/>
    </row>
    <row r="51" spans="2:5" x14ac:dyDescent="0.35">
      <c r="B51" s="16" t="s">
        <v>280</v>
      </c>
      <c r="C51" s="49">
        <v>20.731000000000002</v>
      </c>
      <c r="D51" s="49">
        <v>4.3529999999999998</v>
      </c>
    </row>
    <row r="52" spans="2:5" x14ac:dyDescent="0.35">
      <c r="B52" s="16" t="s">
        <v>281</v>
      </c>
      <c r="C52" s="49">
        <v>-1.93</v>
      </c>
      <c r="D52" s="49">
        <v>-20.957999999999998</v>
      </c>
    </row>
    <row r="53" spans="2:5" x14ac:dyDescent="0.35">
      <c r="B53" s="12" t="s">
        <v>282</v>
      </c>
      <c r="C53" s="57">
        <f>SUM(C51:C52)</f>
        <v>18.801000000000002</v>
      </c>
      <c r="D53" s="57">
        <f>SUM(D51:D52)</f>
        <v>-16.604999999999997</v>
      </c>
      <c r="E53" s="19"/>
    </row>
    <row r="54" spans="2:5" x14ac:dyDescent="0.35">
      <c r="B54" s="10"/>
      <c r="C54" s="67"/>
      <c r="D54" s="67"/>
      <c r="E54" s="19"/>
    </row>
    <row r="55" spans="2:5" x14ac:dyDescent="0.35">
      <c r="B55" s="12" t="s">
        <v>283</v>
      </c>
      <c r="C55" s="57">
        <f>C36+C48+C53</f>
        <v>3073.6929999999998</v>
      </c>
      <c r="D55" s="57">
        <f>D36+D48+D53</f>
        <v>-202.55200000000002</v>
      </c>
      <c r="E55" s="19"/>
    </row>
    <row r="56" spans="2:5" x14ac:dyDescent="0.35">
      <c r="B56" s="10" t="s">
        <v>284</v>
      </c>
      <c r="C56" s="49">
        <v>-2.081</v>
      </c>
      <c r="D56" s="49">
        <v>-0.17</v>
      </c>
      <c r="E56" s="19"/>
    </row>
    <row r="57" spans="2:5" x14ac:dyDescent="0.35">
      <c r="B57" s="168" t="s">
        <v>285</v>
      </c>
      <c r="C57" s="171">
        <v>1784.4169999999999</v>
      </c>
      <c r="D57" s="171">
        <v>1987.1389999999999</v>
      </c>
      <c r="E57" s="19"/>
    </row>
    <row r="58" spans="2:5" ht="13.3" thickBot="1" x14ac:dyDescent="0.4">
      <c r="B58" s="24" t="s">
        <v>286</v>
      </c>
      <c r="C58" s="63">
        <f>SUM(C55:C57)</f>
        <v>4856.0289999999995</v>
      </c>
      <c r="D58" s="63">
        <f>SUM(D55:D57)</f>
        <v>1784.4169999999999</v>
      </c>
    </row>
    <row r="59" spans="2:5" x14ac:dyDescent="0.35">
      <c r="B59" s="25"/>
    </row>
    <row r="60" spans="2:5" x14ac:dyDescent="0.35">
      <c r="B60" s="25"/>
    </row>
    <row r="61" spans="2:5" x14ac:dyDescent="0.35">
      <c r="B61" s="25"/>
    </row>
    <row r="62" spans="2:5" x14ac:dyDescent="0.35">
      <c r="B62" s="25"/>
    </row>
    <row r="63" spans="2:5" x14ac:dyDescent="0.35">
      <c r="B63" s="25"/>
    </row>
  </sheetData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4595-24E0-4B07-A166-A5507294698D}">
  <dimension ref="B2:I33"/>
  <sheetViews>
    <sheetView showGridLines="0" workbookViewId="0">
      <selection activeCell="F49" sqref="F49"/>
    </sheetView>
  </sheetViews>
  <sheetFormatPr defaultRowHeight="12.9" x14ac:dyDescent="0.35"/>
  <cols>
    <col min="1" max="1" width="3.07421875" style="3" customWidth="1"/>
    <col min="2" max="2" width="42.84375" style="3" customWidth="1"/>
    <col min="3" max="3" width="12.53515625" style="3" customWidth="1"/>
    <col min="4" max="10" width="11.3828125" style="3" customWidth="1"/>
    <col min="11" max="16384" width="9.23046875" style="3"/>
  </cols>
  <sheetData>
    <row r="2" spans="2:9" ht="15.9" x14ac:dyDescent="0.45">
      <c r="B2" s="1" t="s">
        <v>407</v>
      </c>
    </row>
    <row r="3" spans="2:9" x14ac:dyDescent="0.35">
      <c r="B3" s="6" t="s">
        <v>0</v>
      </c>
    </row>
    <row r="4" spans="2:9" x14ac:dyDescent="0.35">
      <c r="B4" s="259" t="s">
        <v>408</v>
      </c>
    </row>
    <row r="6" spans="2:9" x14ac:dyDescent="0.35">
      <c r="B6" s="5" t="s">
        <v>84</v>
      </c>
      <c r="C6" s="5"/>
      <c r="D6" s="5"/>
      <c r="E6" s="5"/>
      <c r="F6" s="5"/>
      <c r="G6" s="5"/>
      <c r="H6" s="5"/>
      <c r="I6" s="5"/>
    </row>
    <row r="8" spans="2:9" ht="13.3" thickBot="1" x14ac:dyDescent="0.4">
      <c r="B8" s="4" t="s">
        <v>412</v>
      </c>
    </row>
    <row r="9" spans="2:9" x14ac:dyDescent="0.35">
      <c r="B9" s="11" t="s">
        <v>87</v>
      </c>
      <c r="C9" s="48">
        <v>44561</v>
      </c>
    </row>
    <row r="10" spans="2:9" ht="14.15" x14ac:dyDescent="0.35">
      <c r="B10" s="13" t="s">
        <v>88</v>
      </c>
      <c r="C10" s="49">
        <v>7</v>
      </c>
      <c r="D10" s="19" t="s">
        <v>107</v>
      </c>
    </row>
    <row r="11" spans="2:9" ht="14.15" x14ac:dyDescent="0.35">
      <c r="B11" s="13" t="s">
        <v>89</v>
      </c>
      <c r="C11" s="49">
        <v>5.5</v>
      </c>
      <c r="D11" s="19" t="s">
        <v>107</v>
      </c>
    </row>
    <row r="12" spans="2:9" ht="14.6" thickBot="1" x14ac:dyDescent="0.4">
      <c r="B12" s="31" t="s">
        <v>90</v>
      </c>
      <c r="C12" s="50">
        <v>4</v>
      </c>
      <c r="D12" s="19" t="s">
        <v>107</v>
      </c>
    </row>
    <row r="13" spans="2:9" x14ac:dyDescent="0.35">
      <c r="B13" s="25" t="s">
        <v>37</v>
      </c>
    </row>
    <row r="14" spans="2:9" x14ac:dyDescent="0.35">
      <c r="B14" s="26" t="s">
        <v>104</v>
      </c>
    </row>
    <row r="15" spans="2:9" x14ac:dyDescent="0.35">
      <c r="B15" s="26" t="s">
        <v>91</v>
      </c>
    </row>
    <row r="16" spans="2:9" x14ac:dyDescent="0.35">
      <c r="B16" s="26" t="s">
        <v>92</v>
      </c>
    </row>
    <row r="18" spans="2:3" x14ac:dyDescent="0.35">
      <c r="B18" s="4" t="s">
        <v>93</v>
      </c>
    </row>
    <row r="19" spans="2:3" x14ac:dyDescent="0.35">
      <c r="B19" s="42" t="s">
        <v>94</v>
      </c>
    </row>
    <row r="20" spans="2:3" x14ac:dyDescent="0.35">
      <c r="B20" s="42" t="s">
        <v>95</v>
      </c>
    </row>
    <row r="21" spans="2:3" x14ac:dyDescent="0.35">
      <c r="B21" s="43" t="s">
        <v>108</v>
      </c>
      <c r="C21" s="22"/>
    </row>
    <row r="22" spans="2:3" x14ac:dyDescent="0.35">
      <c r="C22" s="22"/>
    </row>
    <row r="23" spans="2:3" ht="13.3" thickBot="1" x14ac:dyDescent="0.4">
      <c r="B23" s="4" t="s">
        <v>97</v>
      </c>
      <c r="C23" s="22"/>
    </row>
    <row r="24" spans="2:3" x14ac:dyDescent="0.35">
      <c r="B24" s="11" t="s">
        <v>87</v>
      </c>
      <c r="C24" s="48">
        <v>44561</v>
      </c>
    </row>
    <row r="25" spans="2:3" x14ac:dyDescent="0.35">
      <c r="B25" s="13" t="s">
        <v>96</v>
      </c>
      <c r="C25" s="49">
        <v>35</v>
      </c>
    </row>
    <row r="26" spans="2:3" ht="14.15" x14ac:dyDescent="0.35">
      <c r="B26" s="13" t="s">
        <v>100</v>
      </c>
      <c r="C26" s="49">
        <v>1500</v>
      </c>
    </row>
    <row r="27" spans="2:3" ht="14.15" x14ac:dyDescent="0.35">
      <c r="B27" s="13" t="s">
        <v>102</v>
      </c>
      <c r="C27" s="51">
        <f>AVERAGE(12%,15%)</f>
        <v>0.13500000000000001</v>
      </c>
    </row>
    <row r="28" spans="2:3" ht="14.6" thickBot="1" x14ac:dyDescent="0.4">
      <c r="B28" s="31" t="s">
        <v>103</v>
      </c>
      <c r="C28" s="52">
        <f>AVERAGE(10%,15%)</f>
        <v>0.125</v>
      </c>
    </row>
    <row r="29" spans="2:3" x14ac:dyDescent="0.35">
      <c r="B29" s="25" t="s">
        <v>37</v>
      </c>
      <c r="C29" s="22"/>
    </row>
    <row r="30" spans="2:3" x14ac:dyDescent="0.35">
      <c r="B30" s="26" t="s">
        <v>101</v>
      </c>
      <c r="C30" s="22"/>
    </row>
    <row r="31" spans="2:3" x14ac:dyDescent="0.35">
      <c r="B31" s="26" t="s">
        <v>105</v>
      </c>
      <c r="C31" s="22"/>
    </row>
    <row r="32" spans="2:3" x14ac:dyDescent="0.35">
      <c r="B32" s="26" t="s">
        <v>106</v>
      </c>
      <c r="C32" s="22"/>
    </row>
    <row r="33" spans="3:3" x14ac:dyDescent="0.35">
      <c r="C33" s="22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B697-1A72-48DE-B4F7-9A14CF351A1A}">
  <dimension ref="B2:Q12"/>
  <sheetViews>
    <sheetView showGridLines="0" zoomScaleNormal="100" workbookViewId="0">
      <selection activeCell="N45" sqref="N45"/>
    </sheetView>
  </sheetViews>
  <sheetFormatPr defaultRowHeight="12.9" x14ac:dyDescent="0.35"/>
  <cols>
    <col min="1" max="1" width="3.07421875" style="3" customWidth="1"/>
    <col min="2" max="2" width="28.69140625" style="3" customWidth="1"/>
    <col min="3" max="3" width="16.921875" style="10" customWidth="1"/>
    <col min="4" max="6" width="18" style="10" customWidth="1"/>
    <col min="7" max="7" width="14.3046875" style="10" customWidth="1"/>
    <col min="8" max="8" width="16.921875" style="10" customWidth="1"/>
    <col min="9" max="9" width="15.23046875" style="29" customWidth="1"/>
    <col min="10" max="10" width="17.3046875" style="29" customWidth="1"/>
    <col min="11" max="12" width="11.3046875" style="29" customWidth="1"/>
    <col min="13" max="13" width="9.23046875" style="29" customWidth="1"/>
    <col min="14" max="17" width="10.23046875" style="29" customWidth="1"/>
    <col min="18" max="21" width="14.69140625" style="3" customWidth="1"/>
    <col min="22" max="16384" width="9.23046875" style="3"/>
  </cols>
  <sheetData>
    <row r="2" spans="2:13" ht="15.9" x14ac:dyDescent="0.45">
      <c r="B2" s="1" t="s">
        <v>407</v>
      </c>
    </row>
    <row r="3" spans="2:13" x14ac:dyDescent="0.35">
      <c r="B3" s="6" t="s">
        <v>0</v>
      </c>
    </row>
    <row r="4" spans="2:13" x14ac:dyDescent="0.35">
      <c r="B4" s="259" t="s">
        <v>408</v>
      </c>
    </row>
    <row r="6" spans="2:13" x14ac:dyDescent="0.35">
      <c r="B6" s="5" t="s">
        <v>341</v>
      </c>
      <c r="C6" s="81"/>
      <c r="D6" s="81"/>
      <c r="E6" s="81"/>
      <c r="F6" s="81"/>
      <c r="G6" s="81"/>
      <c r="H6" s="81"/>
      <c r="I6" s="30"/>
      <c r="J6" s="30"/>
      <c r="K6" s="30"/>
      <c r="L6" s="30"/>
      <c r="M6" s="30"/>
    </row>
    <row r="7" spans="2:13" ht="13.3" thickBot="1" x14ac:dyDescent="0.4"/>
    <row r="8" spans="2:13" x14ac:dyDescent="0.35">
      <c r="B8" s="11" t="s">
        <v>342</v>
      </c>
      <c r="C8" s="82" t="s">
        <v>344</v>
      </c>
      <c r="D8" s="82" t="s">
        <v>345</v>
      </c>
      <c r="E8" s="82"/>
      <c r="F8" s="82"/>
      <c r="G8" s="82" t="s">
        <v>360</v>
      </c>
      <c r="H8" s="194" t="s">
        <v>353</v>
      </c>
    </row>
    <row r="9" spans="2:13" x14ac:dyDescent="0.35">
      <c r="B9" s="214" t="s">
        <v>347</v>
      </c>
      <c r="C9" s="215">
        <v>44215</v>
      </c>
      <c r="D9" s="272" t="s">
        <v>348</v>
      </c>
      <c r="E9" s="272"/>
      <c r="F9" s="272"/>
      <c r="G9" s="216" t="s">
        <v>376</v>
      </c>
      <c r="H9" s="227">
        <v>80</v>
      </c>
      <c r="I9" s="230" t="s">
        <v>357</v>
      </c>
      <c r="J9" s="217"/>
    </row>
    <row r="10" spans="2:13" x14ac:dyDescent="0.35">
      <c r="B10" s="218" t="s">
        <v>343</v>
      </c>
      <c r="C10" s="219">
        <v>44043</v>
      </c>
      <c r="D10" s="273" t="s">
        <v>346</v>
      </c>
      <c r="E10" s="273"/>
      <c r="F10" s="273"/>
      <c r="G10" s="220" t="s">
        <v>340</v>
      </c>
      <c r="H10" s="228">
        <v>41.792000000000002</v>
      </c>
      <c r="I10" s="230" t="s">
        <v>356</v>
      </c>
      <c r="J10" s="217"/>
    </row>
    <row r="11" spans="2:13" x14ac:dyDescent="0.35">
      <c r="B11" s="221" t="s">
        <v>349</v>
      </c>
      <c r="C11" s="222">
        <v>43679</v>
      </c>
      <c r="D11" s="273" t="s">
        <v>350</v>
      </c>
      <c r="E11" s="273"/>
      <c r="F11" s="273"/>
      <c r="G11" s="223" t="s">
        <v>361</v>
      </c>
      <c r="H11" s="228">
        <v>68.313000000000002</v>
      </c>
      <c r="I11" s="230" t="s">
        <v>355</v>
      </c>
      <c r="J11" s="217"/>
    </row>
    <row r="12" spans="2:13" ht="13.3" thickBot="1" x14ac:dyDescent="0.4">
      <c r="B12" s="224" t="s">
        <v>351</v>
      </c>
      <c r="C12" s="225">
        <v>43482</v>
      </c>
      <c r="D12" s="274" t="s">
        <v>352</v>
      </c>
      <c r="E12" s="274"/>
      <c r="F12" s="274"/>
      <c r="G12" s="226" t="s">
        <v>362</v>
      </c>
      <c r="H12" s="229">
        <v>6.4260000000000002</v>
      </c>
      <c r="I12" s="230" t="s">
        <v>354</v>
      </c>
    </row>
  </sheetData>
  <mergeCells count="4">
    <mergeCell ref="D9:F9"/>
    <mergeCell ref="D10:F10"/>
    <mergeCell ref="D11:F11"/>
    <mergeCell ref="D12:F1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74F2-1A1F-433B-B9AF-D92CF10881C2}">
  <dimension ref="B2:M157"/>
  <sheetViews>
    <sheetView showGridLines="0" zoomScaleNormal="100" workbookViewId="0">
      <selection activeCell="T37" sqref="T37"/>
    </sheetView>
  </sheetViews>
  <sheetFormatPr defaultRowHeight="12.9" x14ac:dyDescent="0.35"/>
  <cols>
    <col min="1" max="1" width="3.07421875" style="3" customWidth="1"/>
    <col min="2" max="2" width="13.4609375" style="10" customWidth="1"/>
    <col min="3" max="6" width="10.61328125" style="29" customWidth="1"/>
    <col min="7" max="7" width="8.3046875" style="3" customWidth="1"/>
    <col min="8" max="9" width="12.921875" style="3" customWidth="1"/>
    <col min="10" max="10" width="15.15234375" style="3" customWidth="1"/>
    <col min="11" max="11" width="8.3046875" style="3" customWidth="1"/>
    <col min="12" max="12" width="12.921875" style="3" customWidth="1"/>
    <col min="13" max="13" width="18.61328125" style="3" customWidth="1"/>
    <col min="14" max="16384" width="9.23046875" style="3"/>
  </cols>
  <sheetData>
    <row r="2" spans="2:13" ht="15.9" x14ac:dyDescent="0.45">
      <c r="B2" s="79" t="s">
        <v>407</v>
      </c>
    </row>
    <row r="3" spans="2:13" x14ac:dyDescent="0.35">
      <c r="B3" s="80" t="s">
        <v>0</v>
      </c>
    </row>
    <row r="4" spans="2:13" x14ac:dyDescent="0.35">
      <c r="B4" s="259" t="s">
        <v>408</v>
      </c>
    </row>
    <row r="6" spans="2:13" x14ac:dyDescent="0.35">
      <c r="B6" s="81" t="s">
        <v>394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8" spans="2:13" ht="13.3" thickBot="1" x14ac:dyDescent="0.4">
      <c r="B8" s="89" t="s">
        <v>124</v>
      </c>
      <c r="H8" s="4" t="s">
        <v>125</v>
      </c>
      <c r="I8" s="4"/>
      <c r="L8" s="4" t="s">
        <v>145</v>
      </c>
      <c r="M8" s="4"/>
    </row>
    <row r="9" spans="2:13" ht="25.75" x14ac:dyDescent="0.35">
      <c r="B9" s="82" t="s">
        <v>109</v>
      </c>
      <c r="C9" s="69" t="s">
        <v>110</v>
      </c>
      <c r="D9" s="69" t="s">
        <v>85</v>
      </c>
      <c r="E9" s="69" t="s">
        <v>86</v>
      </c>
      <c r="F9" s="69" t="s">
        <v>111</v>
      </c>
      <c r="H9" s="82" t="s">
        <v>109</v>
      </c>
      <c r="I9" s="69" t="s">
        <v>126</v>
      </c>
      <c r="J9" s="69" t="s">
        <v>127</v>
      </c>
      <c r="L9" s="82" t="s">
        <v>109</v>
      </c>
      <c r="M9" s="102" t="s">
        <v>148</v>
      </c>
    </row>
    <row r="10" spans="2:13" x14ac:dyDescent="0.35">
      <c r="B10" s="93">
        <v>44286</v>
      </c>
      <c r="C10" s="83">
        <v>45159.503905999998</v>
      </c>
      <c r="D10" s="83">
        <v>61683.863280999998</v>
      </c>
      <c r="E10" s="83">
        <v>45115.09375</v>
      </c>
      <c r="F10" s="83">
        <v>58918.832030999998</v>
      </c>
      <c r="G10" s="41"/>
      <c r="H10" s="93">
        <v>44286</v>
      </c>
      <c r="I10" s="83">
        <v>58730.13</v>
      </c>
      <c r="J10" s="83">
        <v>18667925</v>
      </c>
      <c r="K10" s="41"/>
      <c r="L10" s="93">
        <v>44286</v>
      </c>
      <c r="M10" s="123" t="s">
        <v>147</v>
      </c>
    </row>
    <row r="11" spans="2:13" x14ac:dyDescent="0.35">
      <c r="B11" s="92">
        <v>44255</v>
      </c>
      <c r="C11" s="83">
        <v>33114.578125</v>
      </c>
      <c r="D11" s="83">
        <v>58330.570312999997</v>
      </c>
      <c r="E11" s="83">
        <v>32384.228515999999</v>
      </c>
      <c r="F11" s="83">
        <v>45137.769530999998</v>
      </c>
      <c r="G11" s="41"/>
      <c r="H11" s="92">
        <v>44255</v>
      </c>
      <c r="I11" s="83">
        <v>46800.42</v>
      </c>
      <c r="J11" s="83">
        <v>18640281.25</v>
      </c>
      <c r="K11" s="41"/>
      <c r="L11" s="92">
        <v>44255</v>
      </c>
      <c r="M11" s="123" t="s">
        <v>147</v>
      </c>
    </row>
    <row r="12" spans="2:13" x14ac:dyDescent="0.35">
      <c r="B12" s="93">
        <v>44227</v>
      </c>
      <c r="C12" s="83">
        <v>28994.009765999999</v>
      </c>
      <c r="D12" s="83">
        <v>41946.738280999998</v>
      </c>
      <c r="E12" s="83">
        <v>28722.755859000001</v>
      </c>
      <c r="F12" s="83">
        <v>33114.359375</v>
      </c>
      <c r="G12" s="41"/>
      <c r="H12" s="93">
        <v>44227</v>
      </c>
      <c r="I12" s="83">
        <v>34314.26</v>
      </c>
      <c r="J12" s="83">
        <v>18612575</v>
      </c>
      <c r="K12" s="41"/>
      <c r="L12" s="93">
        <v>44227</v>
      </c>
      <c r="M12" s="123" t="s">
        <v>147</v>
      </c>
    </row>
    <row r="13" spans="2:13" x14ac:dyDescent="0.35">
      <c r="B13" s="92">
        <v>44196</v>
      </c>
      <c r="C13" s="83">
        <v>19633.769531000002</v>
      </c>
      <c r="D13" s="83">
        <v>29244.876952999999</v>
      </c>
      <c r="E13" s="83">
        <v>17619.533202999999</v>
      </c>
      <c r="F13" s="83">
        <v>29001.720702999999</v>
      </c>
      <c r="G13" s="41"/>
      <c r="H13" s="92">
        <v>44196</v>
      </c>
      <c r="I13" s="83">
        <v>28856.59</v>
      </c>
      <c r="J13" s="83">
        <v>18584887.5</v>
      </c>
      <c r="K13" s="41"/>
      <c r="L13" s="92">
        <v>44196</v>
      </c>
      <c r="M13" s="123" t="s">
        <v>147</v>
      </c>
    </row>
    <row r="14" spans="2:13" x14ac:dyDescent="0.35">
      <c r="B14" s="93">
        <v>44165</v>
      </c>
      <c r="C14" s="83">
        <v>13780.995117</v>
      </c>
      <c r="D14" s="83">
        <v>19749.263672000001</v>
      </c>
      <c r="E14" s="83">
        <v>13243.160156</v>
      </c>
      <c r="F14" s="83">
        <v>19625.835938</v>
      </c>
      <c r="G14" s="41"/>
      <c r="H14" s="93">
        <v>44165</v>
      </c>
      <c r="I14" s="83">
        <v>17138.87</v>
      </c>
      <c r="J14" s="83">
        <v>18557212.5</v>
      </c>
      <c r="K14" s="41"/>
      <c r="L14" s="93">
        <v>44165</v>
      </c>
      <c r="M14" s="123" t="s">
        <v>147</v>
      </c>
    </row>
    <row r="15" spans="2:13" x14ac:dyDescent="0.35">
      <c r="B15" s="92">
        <v>44135</v>
      </c>
      <c r="C15" s="83">
        <v>10785.010742</v>
      </c>
      <c r="D15" s="83">
        <v>14028.213867</v>
      </c>
      <c r="E15" s="83">
        <v>10440.311523</v>
      </c>
      <c r="F15" s="83">
        <v>13780.995117</v>
      </c>
      <c r="G15" s="41"/>
      <c r="H15" s="92">
        <v>44135</v>
      </c>
      <c r="I15" s="83">
        <v>13289</v>
      </c>
      <c r="J15" s="83">
        <v>18529531.25</v>
      </c>
      <c r="K15" s="41"/>
      <c r="L15" s="92">
        <v>44135</v>
      </c>
      <c r="M15" s="123" t="s">
        <v>147</v>
      </c>
    </row>
    <row r="16" spans="2:13" x14ac:dyDescent="0.35">
      <c r="B16" s="93">
        <v>44104</v>
      </c>
      <c r="C16" s="83">
        <v>11679.316406</v>
      </c>
      <c r="D16" s="83">
        <v>12067.081055000001</v>
      </c>
      <c r="E16" s="83">
        <v>9916.4931639999995</v>
      </c>
      <c r="F16" s="83">
        <v>10787.618164</v>
      </c>
      <c r="G16" s="41"/>
      <c r="H16" s="93">
        <v>44104</v>
      </c>
      <c r="I16" s="83">
        <v>10692.33</v>
      </c>
      <c r="J16" s="83">
        <v>18501856.25</v>
      </c>
      <c r="K16" s="41"/>
      <c r="L16" s="93">
        <v>44104</v>
      </c>
      <c r="M16" s="123" t="s">
        <v>147</v>
      </c>
    </row>
    <row r="17" spans="2:13" x14ac:dyDescent="0.35">
      <c r="B17" s="92">
        <v>44074</v>
      </c>
      <c r="C17" s="83">
        <v>11322.570313</v>
      </c>
      <c r="D17" s="83">
        <v>12359.056640999999</v>
      </c>
      <c r="E17" s="83">
        <v>11012.415039</v>
      </c>
      <c r="F17" s="83">
        <v>11680.820313</v>
      </c>
      <c r="G17" s="41"/>
      <c r="H17" s="92">
        <v>44074</v>
      </c>
      <c r="I17" s="83">
        <v>11481.64</v>
      </c>
      <c r="J17" s="83">
        <v>18474193.75</v>
      </c>
      <c r="K17" s="41"/>
      <c r="L17" s="92">
        <v>44074</v>
      </c>
      <c r="M17" s="123" t="s">
        <v>147</v>
      </c>
    </row>
    <row r="18" spans="2:13" x14ac:dyDescent="0.35">
      <c r="B18" s="93">
        <v>44043</v>
      </c>
      <c r="C18" s="83">
        <v>9145.9853519999997</v>
      </c>
      <c r="D18" s="83">
        <v>11415.864258</v>
      </c>
      <c r="E18" s="83">
        <v>8977.015625</v>
      </c>
      <c r="F18" s="83">
        <v>11323.466796999999</v>
      </c>
      <c r="H18" s="93">
        <v>44043</v>
      </c>
      <c r="I18" s="83">
        <v>11114.93</v>
      </c>
      <c r="J18" s="83">
        <v>18446568.75</v>
      </c>
      <c r="L18" s="93">
        <v>44043</v>
      </c>
      <c r="M18" s="123" t="s">
        <v>147</v>
      </c>
    </row>
    <row r="19" spans="2:13" x14ac:dyDescent="0.35">
      <c r="B19" s="92">
        <v>44012</v>
      </c>
      <c r="C19" s="83">
        <v>9463.6054690000001</v>
      </c>
      <c r="D19" s="83">
        <v>10199.565430000001</v>
      </c>
      <c r="E19" s="83">
        <v>8975.5253909999992</v>
      </c>
      <c r="F19" s="83">
        <v>9137.9931639999995</v>
      </c>
      <c r="H19" s="92">
        <v>44012</v>
      </c>
      <c r="I19" s="83">
        <v>9004.23</v>
      </c>
      <c r="J19" s="83">
        <v>18416156.25</v>
      </c>
      <c r="L19" s="92">
        <v>44012</v>
      </c>
      <c r="M19" s="123" t="s">
        <v>147</v>
      </c>
    </row>
    <row r="20" spans="2:13" x14ac:dyDescent="0.35">
      <c r="B20" s="93">
        <v>43982</v>
      </c>
      <c r="C20" s="83">
        <v>8672.7822269999997</v>
      </c>
      <c r="D20" s="83">
        <v>9996.7431639999995</v>
      </c>
      <c r="E20" s="83">
        <v>8374.3232420000004</v>
      </c>
      <c r="F20" s="83">
        <v>9461.0585940000001</v>
      </c>
      <c r="H20" s="93">
        <v>43982</v>
      </c>
      <c r="I20" s="83">
        <v>9569.2099999999991</v>
      </c>
      <c r="J20" s="83">
        <v>18388475</v>
      </c>
      <c r="L20" s="93">
        <v>43982</v>
      </c>
      <c r="M20" s="123" t="s">
        <v>147</v>
      </c>
    </row>
    <row r="21" spans="2:13" x14ac:dyDescent="0.35">
      <c r="B21" s="92">
        <v>43951</v>
      </c>
      <c r="C21" s="83">
        <v>6437.3193359999996</v>
      </c>
      <c r="D21" s="83">
        <v>9440.6503909999992</v>
      </c>
      <c r="E21" s="83">
        <v>6202.3735349999997</v>
      </c>
      <c r="F21" s="83">
        <v>8658.5537110000005</v>
      </c>
      <c r="H21" s="92">
        <v>43951</v>
      </c>
      <c r="I21" s="83">
        <v>7765.33</v>
      </c>
      <c r="J21" s="83">
        <v>18352025</v>
      </c>
      <c r="L21" s="92">
        <v>43951</v>
      </c>
      <c r="M21" s="123">
        <v>8.1416666666666604</v>
      </c>
    </row>
    <row r="22" spans="2:13" x14ac:dyDescent="0.35">
      <c r="B22" s="93">
        <v>43921</v>
      </c>
      <c r="C22" s="83">
        <v>8599.7587889999995</v>
      </c>
      <c r="D22" s="83">
        <v>9167.6953130000002</v>
      </c>
      <c r="E22" s="83">
        <v>4106.9809569999998</v>
      </c>
      <c r="F22" s="83">
        <v>6438.6445309999999</v>
      </c>
      <c r="H22" s="93">
        <v>43921</v>
      </c>
      <c r="I22" s="83">
        <v>5885.41</v>
      </c>
      <c r="J22" s="83">
        <v>18291187.5</v>
      </c>
      <c r="L22" s="93">
        <v>43921</v>
      </c>
      <c r="M22" s="123">
        <v>10.4888432017543</v>
      </c>
    </row>
    <row r="23" spans="2:13" x14ac:dyDescent="0.35">
      <c r="B23" s="92">
        <v>43890</v>
      </c>
      <c r="C23" s="83">
        <v>9346.3574219999991</v>
      </c>
      <c r="D23" s="83">
        <v>10457.626953000001</v>
      </c>
      <c r="E23" s="83">
        <v>8492.9326170000004</v>
      </c>
      <c r="F23" s="83">
        <v>8599.5087889999995</v>
      </c>
      <c r="H23" s="92">
        <v>43890</v>
      </c>
      <c r="I23" s="83">
        <v>8712.35</v>
      </c>
      <c r="J23" s="83">
        <v>18241387.5</v>
      </c>
      <c r="L23" s="92">
        <v>43890</v>
      </c>
      <c r="M23" s="123">
        <v>10.057577216205299</v>
      </c>
    </row>
    <row r="24" spans="2:13" x14ac:dyDescent="0.35">
      <c r="B24" s="93">
        <v>43861</v>
      </c>
      <c r="C24" s="83">
        <v>7194.8920900000003</v>
      </c>
      <c r="D24" s="83">
        <v>9553.1259769999997</v>
      </c>
      <c r="E24" s="83">
        <v>6914.9960940000001</v>
      </c>
      <c r="F24" s="83">
        <v>9350.5292969999991</v>
      </c>
      <c r="H24" s="93">
        <v>43861</v>
      </c>
      <c r="I24" s="83">
        <v>9279.81</v>
      </c>
      <c r="J24" s="83">
        <v>18186062.5</v>
      </c>
      <c r="L24" s="93">
        <v>43861</v>
      </c>
      <c r="M24" s="123">
        <v>9.4260517799352694</v>
      </c>
    </row>
    <row r="25" spans="2:13" x14ac:dyDescent="0.35">
      <c r="B25" s="92">
        <v>43830</v>
      </c>
      <c r="C25" s="83">
        <v>7571.6162109999996</v>
      </c>
      <c r="D25" s="83">
        <v>7743.4316410000001</v>
      </c>
      <c r="E25" s="83">
        <v>6540.0493159999996</v>
      </c>
      <c r="F25" s="83">
        <v>7193.5991210000002</v>
      </c>
      <c r="H25" s="92">
        <v>43830</v>
      </c>
      <c r="I25" s="83">
        <v>7219.6</v>
      </c>
      <c r="J25" s="83">
        <v>18129362.5</v>
      </c>
      <c r="L25" s="92">
        <v>43830</v>
      </c>
      <c r="M25" s="123">
        <v>9.7025852704757707</v>
      </c>
    </row>
    <row r="26" spans="2:13" x14ac:dyDescent="0.35">
      <c r="B26" s="93">
        <v>43799</v>
      </c>
      <c r="C26" s="83">
        <v>9193.9921880000002</v>
      </c>
      <c r="D26" s="83">
        <v>9505.0517579999996</v>
      </c>
      <c r="E26" s="83">
        <v>6617.1669920000004</v>
      </c>
      <c r="F26" s="83">
        <v>7569.6298829999996</v>
      </c>
      <c r="H26" s="93">
        <v>43799</v>
      </c>
      <c r="I26" s="83">
        <v>7523.83</v>
      </c>
      <c r="J26" s="83">
        <v>18074012.5</v>
      </c>
      <c r="L26" s="93">
        <v>43799</v>
      </c>
      <c r="M26" s="123">
        <v>10.1650455330507</v>
      </c>
    </row>
    <row r="27" spans="2:13" x14ac:dyDescent="0.35">
      <c r="B27" s="92">
        <v>43769</v>
      </c>
      <c r="C27" s="83">
        <v>8299.7207030000009</v>
      </c>
      <c r="D27" s="83">
        <v>10021.744140999999</v>
      </c>
      <c r="E27" s="83">
        <v>7446.9887699999999</v>
      </c>
      <c r="F27" s="83">
        <v>9199.5849610000005</v>
      </c>
      <c r="H27" s="92">
        <v>43769</v>
      </c>
      <c r="I27" s="83">
        <v>9218.76</v>
      </c>
      <c r="J27" s="83">
        <v>18018650</v>
      </c>
      <c r="L27" s="92">
        <v>43769</v>
      </c>
      <c r="M27" s="123">
        <v>9.8713417329796602</v>
      </c>
    </row>
    <row r="28" spans="2:13" x14ac:dyDescent="0.35">
      <c r="B28" s="93">
        <v>43738</v>
      </c>
      <c r="C28" s="83">
        <v>9630.5927730000003</v>
      </c>
      <c r="D28" s="83">
        <v>10898.761719</v>
      </c>
      <c r="E28" s="83">
        <v>7830.7587890000004</v>
      </c>
      <c r="F28" s="83">
        <v>8293.8681639999995</v>
      </c>
      <c r="H28" s="93">
        <v>43738</v>
      </c>
      <c r="I28" s="83">
        <v>8225</v>
      </c>
      <c r="J28" s="83">
        <v>17963225</v>
      </c>
      <c r="L28" s="93">
        <v>43738</v>
      </c>
      <c r="M28" s="123">
        <v>9.3166019417475692</v>
      </c>
    </row>
    <row r="29" spans="2:13" x14ac:dyDescent="0.35">
      <c r="B29" s="92">
        <v>43708</v>
      </c>
      <c r="C29" s="83">
        <v>10077.442383</v>
      </c>
      <c r="D29" s="83">
        <v>12273.821289</v>
      </c>
      <c r="E29" s="83">
        <v>9421.6298829999996</v>
      </c>
      <c r="F29" s="83">
        <v>9630.6640630000002</v>
      </c>
      <c r="H29" s="92">
        <v>43708</v>
      </c>
      <c r="I29" s="83">
        <v>9484.5499999999993</v>
      </c>
      <c r="J29" s="83">
        <v>17902275</v>
      </c>
      <c r="L29" s="92">
        <v>43708</v>
      </c>
      <c r="M29" s="123">
        <v>9.5475335044197305</v>
      </c>
    </row>
    <row r="30" spans="2:13" x14ac:dyDescent="0.35">
      <c r="B30" s="93">
        <v>43677</v>
      </c>
      <c r="C30" s="83">
        <v>10796.930664</v>
      </c>
      <c r="D30" s="83">
        <v>13129.529296999999</v>
      </c>
      <c r="E30" s="83">
        <v>9163.1347659999992</v>
      </c>
      <c r="F30" s="83">
        <v>10085.627930000001</v>
      </c>
      <c r="H30" s="93">
        <v>43677</v>
      </c>
      <c r="I30" s="83">
        <v>9589.1299999999992</v>
      </c>
      <c r="J30" s="83">
        <v>17846825</v>
      </c>
      <c r="L30" s="93">
        <v>43677</v>
      </c>
      <c r="M30" s="123">
        <v>9.3592452830188595</v>
      </c>
    </row>
    <row r="31" spans="2:13" x14ac:dyDescent="0.35">
      <c r="B31" s="92">
        <v>43646</v>
      </c>
      <c r="C31" s="83">
        <v>8573.8398440000001</v>
      </c>
      <c r="D31" s="83">
        <v>13796.489258</v>
      </c>
      <c r="E31" s="83">
        <v>7564.4887699999999</v>
      </c>
      <c r="F31" s="83">
        <v>10817.155273</v>
      </c>
      <c r="H31" s="92">
        <v>43646</v>
      </c>
      <c r="I31" s="83">
        <v>11132.85</v>
      </c>
      <c r="J31" s="83">
        <v>17785962.5</v>
      </c>
      <c r="L31" s="92">
        <v>43646</v>
      </c>
      <c r="M31" s="123">
        <v>9.5597883012465807</v>
      </c>
    </row>
    <row r="32" spans="2:13" x14ac:dyDescent="0.35">
      <c r="B32" s="93">
        <v>43616</v>
      </c>
      <c r="C32" s="83">
        <v>5350.9145509999998</v>
      </c>
      <c r="D32" s="83">
        <v>9008.3144530000009</v>
      </c>
      <c r="E32" s="83">
        <v>5347.6459960000002</v>
      </c>
      <c r="F32" s="83">
        <v>8574.5019530000009</v>
      </c>
      <c r="H32" s="93">
        <v>43616</v>
      </c>
      <c r="I32" s="83">
        <v>8719.8799999999992</v>
      </c>
      <c r="J32" s="83">
        <v>17730662.5</v>
      </c>
      <c r="L32" s="93">
        <v>43616</v>
      </c>
      <c r="M32" s="123">
        <v>9.4543105274306196</v>
      </c>
    </row>
    <row r="33" spans="2:13" x14ac:dyDescent="0.35">
      <c r="B33" s="92">
        <v>43585</v>
      </c>
      <c r="C33" s="83">
        <v>4105.3623049999997</v>
      </c>
      <c r="D33" s="83">
        <v>5642.0444340000004</v>
      </c>
      <c r="E33" s="83">
        <v>4096.9013670000004</v>
      </c>
      <c r="F33" s="83">
        <v>5350.7265630000002</v>
      </c>
      <c r="H33" s="92">
        <v>43585</v>
      </c>
      <c r="I33" s="83">
        <v>5301.29</v>
      </c>
      <c r="J33" s="83">
        <v>17669662.5</v>
      </c>
      <c r="L33" s="92">
        <v>43585</v>
      </c>
      <c r="M33" s="123">
        <v>9.9626018134316894</v>
      </c>
    </row>
    <row r="34" spans="2:13" x14ac:dyDescent="0.35">
      <c r="B34" s="93">
        <v>43555</v>
      </c>
      <c r="C34" s="83">
        <v>3853.7570799999999</v>
      </c>
      <c r="D34" s="83">
        <v>4296.8066410000001</v>
      </c>
      <c r="E34" s="83">
        <v>3733.7497560000002</v>
      </c>
      <c r="F34" s="83">
        <v>4105.404297</v>
      </c>
      <c r="H34" s="93">
        <v>43555</v>
      </c>
      <c r="I34" s="83">
        <v>4115.55</v>
      </c>
      <c r="J34" s="83">
        <v>17614287.5</v>
      </c>
      <c r="L34" s="93">
        <v>43555</v>
      </c>
      <c r="M34" s="123">
        <v>9.8070476190476192</v>
      </c>
    </row>
    <row r="35" spans="2:13" x14ac:dyDescent="0.35">
      <c r="B35" s="92">
        <v>43524</v>
      </c>
      <c r="C35" s="83">
        <v>3460.5471189999998</v>
      </c>
      <c r="D35" s="83">
        <v>4210.6416019999997</v>
      </c>
      <c r="E35" s="83">
        <v>3391.023682</v>
      </c>
      <c r="F35" s="83">
        <v>3854.7854000000002</v>
      </c>
      <c r="H35" s="92">
        <v>43524</v>
      </c>
      <c r="I35" s="83">
        <v>3833.23</v>
      </c>
      <c r="J35" s="83">
        <v>17558812.5</v>
      </c>
      <c r="L35" s="92">
        <v>43524</v>
      </c>
      <c r="M35" s="123">
        <v>9.7796525252525193</v>
      </c>
    </row>
    <row r="36" spans="2:13" x14ac:dyDescent="0.35">
      <c r="B36" s="93">
        <v>43496</v>
      </c>
      <c r="C36" s="83">
        <v>3746.7133789999998</v>
      </c>
      <c r="D36" s="83">
        <v>4109.0209960000002</v>
      </c>
      <c r="E36" s="83">
        <v>3400.8198240000002</v>
      </c>
      <c r="F36" s="83">
        <v>3457.7927249999998</v>
      </c>
      <c r="H36" s="93">
        <v>43496</v>
      </c>
      <c r="I36" s="83">
        <v>3448.58</v>
      </c>
      <c r="J36" s="83">
        <v>17508987.5</v>
      </c>
      <c r="L36" s="93">
        <v>43496</v>
      </c>
      <c r="M36" s="123">
        <v>9.8606777163904198</v>
      </c>
    </row>
    <row r="37" spans="2:13" x14ac:dyDescent="0.35">
      <c r="B37" s="92">
        <v>43465</v>
      </c>
      <c r="C37" s="83">
        <v>4024.4643550000001</v>
      </c>
      <c r="D37" s="83">
        <v>4309.3774409999996</v>
      </c>
      <c r="E37" s="83">
        <v>3191.3034670000002</v>
      </c>
      <c r="F37" s="83">
        <v>3742.7004390000002</v>
      </c>
      <c r="H37" s="92">
        <v>43465</v>
      </c>
      <c r="I37" s="83">
        <v>3770.36</v>
      </c>
      <c r="J37" s="83">
        <v>17453412.5</v>
      </c>
      <c r="L37" s="92">
        <v>43465</v>
      </c>
      <c r="M37" s="123">
        <v>10.203405714285701</v>
      </c>
    </row>
    <row r="38" spans="2:13" x14ac:dyDescent="0.35">
      <c r="B38" s="93">
        <v>43434</v>
      </c>
      <c r="C38" s="83">
        <v>6318.1401370000003</v>
      </c>
      <c r="D38" s="83">
        <v>6552.1601559999999</v>
      </c>
      <c r="E38" s="83">
        <v>3585.0600589999999</v>
      </c>
      <c r="F38" s="83">
        <v>4017.2685550000001</v>
      </c>
      <c r="H38" s="93">
        <v>43434</v>
      </c>
      <c r="I38" s="83">
        <v>4278.7700000000004</v>
      </c>
      <c r="J38" s="83">
        <v>17398075</v>
      </c>
      <c r="L38" s="93">
        <v>43434</v>
      </c>
      <c r="M38" s="123">
        <v>11.163738913286799</v>
      </c>
    </row>
    <row r="39" spans="2:13" x14ac:dyDescent="0.35">
      <c r="B39" s="92">
        <v>43404</v>
      </c>
      <c r="C39" s="83">
        <v>6619.8500979999999</v>
      </c>
      <c r="D39" s="83">
        <v>6965.0600590000004</v>
      </c>
      <c r="E39" s="83">
        <v>6236.4702150000003</v>
      </c>
      <c r="F39" s="83">
        <v>6317.6098629999997</v>
      </c>
      <c r="H39" s="92">
        <v>43404</v>
      </c>
      <c r="I39" s="83">
        <v>6301.61</v>
      </c>
      <c r="J39" s="83">
        <v>17348262.5</v>
      </c>
      <c r="L39" s="92">
        <v>43404</v>
      </c>
      <c r="M39" s="123">
        <v>10.1968371774377</v>
      </c>
    </row>
    <row r="40" spans="2:13" x14ac:dyDescent="0.35">
      <c r="B40" s="93">
        <v>43373</v>
      </c>
      <c r="C40" s="83">
        <v>7044.8100590000004</v>
      </c>
      <c r="D40" s="83">
        <v>7388.4301759999998</v>
      </c>
      <c r="E40" s="83">
        <v>6197.5200199999999</v>
      </c>
      <c r="F40" s="83">
        <v>6625.5600590000004</v>
      </c>
      <c r="H40" s="93">
        <v>43373</v>
      </c>
      <c r="I40" s="83">
        <v>6686.08</v>
      </c>
      <c r="J40" s="83">
        <v>17292912.5</v>
      </c>
      <c r="L40" s="93">
        <v>43373</v>
      </c>
      <c r="M40" s="123">
        <v>9.7711613876319703</v>
      </c>
    </row>
    <row r="41" spans="2:13" x14ac:dyDescent="0.35">
      <c r="B41" s="92">
        <v>43343</v>
      </c>
      <c r="C41" s="83">
        <v>7769.0400390000004</v>
      </c>
      <c r="D41" s="83">
        <v>7769.0400390000004</v>
      </c>
      <c r="E41" s="83">
        <v>5971.0498049999997</v>
      </c>
      <c r="F41" s="83">
        <v>7037.580078</v>
      </c>
      <c r="H41" s="92">
        <v>43343</v>
      </c>
      <c r="I41" s="83">
        <v>7078.19</v>
      </c>
      <c r="J41" s="83">
        <v>17237575</v>
      </c>
      <c r="L41" s="92">
        <v>43343</v>
      </c>
      <c r="M41" s="123">
        <v>9.2987787954482304</v>
      </c>
    </row>
    <row r="42" spans="2:13" x14ac:dyDescent="0.35">
      <c r="B42" s="93">
        <v>43312</v>
      </c>
      <c r="C42" s="83">
        <v>6411.6801759999998</v>
      </c>
      <c r="D42" s="83">
        <v>8424.2695309999999</v>
      </c>
      <c r="E42" s="83">
        <v>6136.419922</v>
      </c>
      <c r="F42" s="83">
        <v>7780.4399409999996</v>
      </c>
      <c r="H42" s="93">
        <v>43312</v>
      </c>
      <c r="I42" s="83">
        <v>8220.91</v>
      </c>
      <c r="J42" s="83">
        <v>17176687.5</v>
      </c>
      <c r="L42" s="93">
        <v>43312</v>
      </c>
      <c r="M42" s="123">
        <v>9.6080912416612794</v>
      </c>
    </row>
    <row r="43" spans="2:13" x14ac:dyDescent="0.35">
      <c r="B43" s="92">
        <v>43281</v>
      </c>
      <c r="C43" s="83">
        <v>7500.7001950000003</v>
      </c>
      <c r="D43" s="83">
        <v>7754.8901370000003</v>
      </c>
      <c r="E43" s="83">
        <v>5826.4101559999999</v>
      </c>
      <c r="F43" s="83">
        <v>6404</v>
      </c>
      <c r="H43" s="92">
        <v>43281</v>
      </c>
      <c r="I43" s="83">
        <v>6223.28</v>
      </c>
      <c r="J43" s="83">
        <v>17121175</v>
      </c>
      <c r="L43" s="92">
        <v>43281</v>
      </c>
      <c r="M43" s="123">
        <v>9.3905056871694494</v>
      </c>
    </row>
    <row r="44" spans="2:13" x14ac:dyDescent="0.35">
      <c r="B44" s="93">
        <v>43251</v>
      </c>
      <c r="C44" s="83">
        <v>9251.4697269999997</v>
      </c>
      <c r="D44" s="83">
        <v>9964.5</v>
      </c>
      <c r="E44" s="83">
        <v>7090.6801759999998</v>
      </c>
      <c r="F44" s="83">
        <v>7494.169922</v>
      </c>
      <c r="H44" s="93">
        <v>43251</v>
      </c>
      <c r="I44" s="83">
        <v>7386.72</v>
      </c>
      <c r="J44" s="83">
        <v>17060200</v>
      </c>
      <c r="L44" s="93">
        <v>43251</v>
      </c>
      <c r="M44" s="123">
        <v>9.4654971380114397</v>
      </c>
    </row>
    <row r="45" spans="2:13" x14ac:dyDescent="0.35">
      <c r="B45" s="92">
        <v>43220</v>
      </c>
      <c r="C45" s="83">
        <v>7003.0600590000004</v>
      </c>
      <c r="D45" s="83">
        <v>9745.3203130000002</v>
      </c>
      <c r="E45" s="83">
        <v>6526.8701170000004</v>
      </c>
      <c r="F45" s="83">
        <v>9240.5498050000006</v>
      </c>
      <c r="H45" s="92">
        <v>43220</v>
      </c>
      <c r="I45" s="83">
        <v>8928.5499999999993</v>
      </c>
      <c r="J45" s="83">
        <v>17004750</v>
      </c>
      <c r="L45" s="92">
        <v>43220</v>
      </c>
      <c r="M45" s="123">
        <v>9.3717642805495291</v>
      </c>
    </row>
    <row r="46" spans="2:13" x14ac:dyDescent="0.35">
      <c r="B46" s="93">
        <v>43190</v>
      </c>
      <c r="C46" s="83">
        <v>10385</v>
      </c>
      <c r="D46" s="83">
        <v>11704.099609000001</v>
      </c>
      <c r="E46" s="83">
        <v>6683.9301759999998</v>
      </c>
      <c r="F46" s="83">
        <v>6973.5297849999997</v>
      </c>
      <c r="H46" s="93">
        <v>43190</v>
      </c>
      <c r="I46" s="83">
        <v>7950.61</v>
      </c>
      <c r="J46" s="83">
        <v>16943837.5</v>
      </c>
      <c r="L46" s="93">
        <v>43190</v>
      </c>
      <c r="M46" s="123">
        <v>9.5871213748657294</v>
      </c>
    </row>
    <row r="47" spans="2:13" x14ac:dyDescent="0.35">
      <c r="B47" s="92">
        <v>43159</v>
      </c>
      <c r="C47" s="83">
        <v>10237.299805000001</v>
      </c>
      <c r="D47" s="83">
        <v>11958.5</v>
      </c>
      <c r="E47" s="83">
        <v>6048.2597660000001</v>
      </c>
      <c r="F47" s="83">
        <v>10397.900390999999</v>
      </c>
      <c r="H47" s="92">
        <v>43159</v>
      </c>
      <c r="I47" s="83">
        <v>10319.459999999999</v>
      </c>
      <c r="J47" s="83">
        <v>16888425</v>
      </c>
      <c r="L47" s="92">
        <v>43159</v>
      </c>
      <c r="M47" s="123">
        <v>9.2311589227130497</v>
      </c>
    </row>
    <row r="48" spans="2:13" x14ac:dyDescent="0.35">
      <c r="B48" s="93">
        <v>43131</v>
      </c>
      <c r="C48" s="83">
        <v>14112.200194999999</v>
      </c>
      <c r="D48" s="83">
        <v>17712.400390999999</v>
      </c>
      <c r="E48" s="83">
        <v>9402.2900389999995</v>
      </c>
      <c r="F48" s="83">
        <v>10221.099609000001</v>
      </c>
      <c r="H48" s="93">
        <v>43131</v>
      </c>
      <c r="I48" s="83">
        <v>10082.52</v>
      </c>
      <c r="J48" s="83">
        <v>16833025</v>
      </c>
      <c r="L48" s="93">
        <v>43131</v>
      </c>
      <c r="M48" s="123">
        <v>8.8291106276371298</v>
      </c>
    </row>
    <row r="49" spans="2:13" x14ac:dyDescent="0.35">
      <c r="B49" s="92">
        <v>43100</v>
      </c>
      <c r="C49" s="83">
        <v>10198.599609000001</v>
      </c>
      <c r="D49" s="83">
        <v>20089</v>
      </c>
      <c r="E49" s="83">
        <v>9694.6503909999992</v>
      </c>
      <c r="F49" s="83">
        <v>14156.400390999999</v>
      </c>
      <c r="H49" s="92">
        <v>43100</v>
      </c>
      <c r="I49" s="83">
        <v>14214.01</v>
      </c>
      <c r="J49" s="83">
        <v>16772100</v>
      </c>
      <c r="L49" s="92">
        <v>43100</v>
      </c>
      <c r="M49" s="123">
        <v>8.8777954530390399</v>
      </c>
    </row>
    <row r="50" spans="2:13" x14ac:dyDescent="0.35">
      <c r="B50" s="93">
        <v>43069</v>
      </c>
      <c r="C50" s="83">
        <v>6440.9702150000003</v>
      </c>
      <c r="D50" s="83">
        <v>11517.400390999999</v>
      </c>
      <c r="E50" s="83">
        <v>5519.0097660000001</v>
      </c>
      <c r="F50" s="83">
        <v>10233.599609000001</v>
      </c>
      <c r="H50" s="93">
        <v>43069</v>
      </c>
      <c r="I50" s="83">
        <v>9919</v>
      </c>
      <c r="J50" s="83">
        <v>16705575</v>
      </c>
      <c r="L50" s="93">
        <v>43069</v>
      </c>
      <c r="M50" s="123">
        <v>9.8729614388050599</v>
      </c>
    </row>
    <row r="51" spans="2:13" x14ac:dyDescent="0.35">
      <c r="B51" s="92">
        <v>43039</v>
      </c>
      <c r="C51" s="83">
        <v>4341.0498049999997</v>
      </c>
      <c r="D51" s="83">
        <v>6470.4301759999998</v>
      </c>
      <c r="E51" s="83">
        <v>4164.0498049999997</v>
      </c>
      <c r="F51" s="83">
        <v>6468.3999020000001</v>
      </c>
      <c r="H51" s="92">
        <v>43039</v>
      </c>
      <c r="I51" s="83">
        <v>6136.49</v>
      </c>
      <c r="J51" s="83">
        <v>16650137.5</v>
      </c>
      <c r="L51" s="92">
        <v>43039</v>
      </c>
      <c r="M51" s="123">
        <v>9.2680849591808503</v>
      </c>
    </row>
    <row r="52" spans="2:13" x14ac:dyDescent="0.35">
      <c r="B52" s="93">
        <v>43008</v>
      </c>
      <c r="C52" s="83">
        <v>4701.7597660000001</v>
      </c>
      <c r="D52" s="83">
        <v>4975.0400390000004</v>
      </c>
      <c r="E52" s="83">
        <v>2946.6201169999999</v>
      </c>
      <c r="F52" s="83">
        <v>4338.7099609999996</v>
      </c>
      <c r="H52" s="93">
        <v>43008</v>
      </c>
      <c r="I52" s="83">
        <v>4164.2700000000004</v>
      </c>
      <c r="J52" s="83">
        <v>16594700</v>
      </c>
      <c r="L52" s="93">
        <v>43008</v>
      </c>
      <c r="M52" s="123">
        <v>8.8977136972193591</v>
      </c>
    </row>
    <row r="53" spans="2:13" x14ac:dyDescent="0.35">
      <c r="B53" s="92">
        <v>42978</v>
      </c>
      <c r="C53" s="83">
        <v>2871.3000489999999</v>
      </c>
      <c r="D53" s="83">
        <v>4736.0498049999997</v>
      </c>
      <c r="E53" s="83">
        <v>2668.5900879999999</v>
      </c>
      <c r="F53" s="83">
        <v>4703.3901370000003</v>
      </c>
      <c r="H53" s="92">
        <v>42978</v>
      </c>
      <c r="I53" s="83">
        <v>4582.5200000000004</v>
      </c>
      <c r="J53" s="83">
        <v>16533712.5</v>
      </c>
      <c r="L53" s="92">
        <v>42978</v>
      </c>
      <c r="M53" s="123">
        <v>10.1289453775155</v>
      </c>
    </row>
    <row r="54" spans="2:13" x14ac:dyDescent="0.35">
      <c r="B54" s="93">
        <v>42947</v>
      </c>
      <c r="C54" s="83">
        <v>2492.6000979999999</v>
      </c>
      <c r="D54" s="83">
        <v>2916.139893</v>
      </c>
      <c r="E54" s="83">
        <v>1843.030029</v>
      </c>
      <c r="F54" s="83">
        <v>2875.3400879999999</v>
      </c>
      <c r="H54" s="93">
        <v>42947</v>
      </c>
      <c r="I54" s="83">
        <v>2784.8</v>
      </c>
      <c r="J54" s="83">
        <v>16478200</v>
      </c>
      <c r="L54" s="93">
        <v>42947</v>
      </c>
      <c r="M54" s="123">
        <v>9.1361781962068491</v>
      </c>
    </row>
    <row r="55" spans="2:13" x14ac:dyDescent="0.35">
      <c r="B55" s="92">
        <v>42916</v>
      </c>
      <c r="C55" s="83">
        <v>2288.330078</v>
      </c>
      <c r="D55" s="83">
        <v>2999.9099120000001</v>
      </c>
      <c r="E55" s="83">
        <v>2212.959961</v>
      </c>
      <c r="F55" s="83">
        <v>2480.8400879999999</v>
      </c>
      <c r="H55" s="92">
        <v>42916</v>
      </c>
      <c r="I55" s="83">
        <v>2558.3000000000002</v>
      </c>
      <c r="J55" s="83">
        <v>16417162.5</v>
      </c>
      <c r="L55" s="92">
        <v>42916</v>
      </c>
      <c r="M55" s="123">
        <v>9.6630284052784603</v>
      </c>
    </row>
    <row r="56" spans="2:13" x14ac:dyDescent="0.35">
      <c r="B56" s="93">
        <v>42886</v>
      </c>
      <c r="C56" s="83">
        <v>1348.3000489999999</v>
      </c>
      <c r="D56" s="83">
        <v>2763.709961</v>
      </c>
      <c r="E56" s="83">
        <v>1348.3000489999999</v>
      </c>
      <c r="F56" s="83">
        <v>2286.4099120000001</v>
      </c>
      <c r="H56" s="93">
        <v>42886</v>
      </c>
      <c r="I56" s="83">
        <v>2290.02</v>
      </c>
      <c r="J56" s="83">
        <v>16361712.5</v>
      </c>
      <c r="L56" s="93">
        <v>42886</v>
      </c>
      <c r="M56" s="123">
        <v>9.2004225061830098</v>
      </c>
    </row>
    <row r="57" spans="2:13" x14ac:dyDescent="0.35">
      <c r="B57" s="92">
        <v>42855</v>
      </c>
      <c r="C57" s="83">
        <v>1071.709961</v>
      </c>
      <c r="D57" s="83">
        <v>1347.910034</v>
      </c>
      <c r="E57" s="83">
        <v>1061.089966</v>
      </c>
      <c r="F57" s="83">
        <v>1347.8900149999999</v>
      </c>
      <c r="H57" s="92">
        <v>42855</v>
      </c>
      <c r="I57" s="83">
        <v>1333</v>
      </c>
      <c r="J57" s="83">
        <v>16300575</v>
      </c>
      <c r="L57" s="92">
        <v>42855</v>
      </c>
      <c r="M57" s="123">
        <v>9.73431726002703</v>
      </c>
    </row>
    <row r="58" spans="2:13" x14ac:dyDescent="0.35">
      <c r="B58" s="93">
        <v>42825</v>
      </c>
      <c r="C58" s="83">
        <v>1180.040039</v>
      </c>
      <c r="D58" s="83">
        <v>1280.3100589999999</v>
      </c>
      <c r="E58" s="83">
        <v>903.71301300000005</v>
      </c>
      <c r="F58" s="83">
        <v>1071.790039</v>
      </c>
      <c r="H58" s="93">
        <v>42825</v>
      </c>
      <c r="I58" s="83">
        <v>1034.74</v>
      </c>
      <c r="J58" s="83">
        <v>16244787.5</v>
      </c>
      <c r="L58" s="93">
        <v>42825</v>
      </c>
      <c r="M58" s="123">
        <v>9.6375143926309708</v>
      </c>
    </row>
    <row r="59" spans="2:13" x14ac:dyDescent="0.35">
      <c r="B59" s="92">
        <v>42794</v>
      </c>
      <c r="C59" s="83">
        <v>970.94097899999997</v>
      </c>
      <c r="D59" s="83">
        <v>1200.3900149999999</v>
      </c>
      <c r="E59" s="83">
        <v>946.69097899999997</v>
      </c>
      <c r="F59" s="83">
        <v>1179.969971</v>
      </c>
      <c r="H59" s="92">
        <v>42794</v>
      </c>
      <c r="I59" s="83">
        <v>1150.3699999999999</v>
      </c>
      <c r="J59" s="83">
        <v>16183750</v>
      </c>
      <c r="L59" s="92">
        <v>42794</v>
      </c>
      <c r="M59" s="123">
        <v>9.4751312181746901</v>
      </c>
    </row>
    <row r="60" spans="2:13" x14ac:dyDescent="0.35">
      <c r="B60" s="93">
        <v>42766</v>
      </c>
      <c r="C60" s="83">
        <v>963.65801999999996</v>
      </c>
      <c r="D60" s="83">
        <v>1191.099976</v>
      </c>
      <c r="E60" s="83">
        <v>755.75598100000002</v>
      </c>
      <c r="F60" s="83">
        <v>970.40301499999998</v>
      </c>
      <c r="H60" s="93">
        <v>42766</v>
      </c>
      <c r="I60" s="83">
        <v>912.19</v>
      </c>
      <c r="J60" s="83">
        <v>16133700</v>
      </c>
      <c r="L60" s="93">
        <v>42766</v>
      </c>
      <c r="M60" s="123">
        <v>9.0903637350705697</v>
      </c>
    </row>
    <row r="61" spans="2:13" x14ac:dyDescent="0.35">
      <c r="B61" s="92">
        <v>42735</v>
      </c>
      <c r="C61" s="83">
        <v>746.046021</v>
      </c>
      <c r="D61" s="83">
        <v>979.396973</v>
      </c>
      <c r="E61" s="83">
        <v>746.046021</v>
      </c>
      <c r="F61" s="83">
        <v>963.74298099999999</v>
      </c>
      <c r="H61" s="92">
        <v>42735</v>
      </c>
      <c r="I61" s="83">
        <v>958.12</v>
      </c>
      <c r="J61" s="83">
        <v>16072675</v>
      </c>
      <c r="L61" s="92">
        <v>42735</v>
      </c>
      <c r="M61" s="123">
        <v>9.5127628587666901</v>
      </c>
    </row>
    <row r="62" spans="2:13" x14ac:dyDescent="0.35">
      <c r="B62" s="93">
        <v>42704</v>
      </c>
      <c r="C62" s="83">
        <v>701.33697500000005</v>
      </c>
      <c r="D62" s="83">
        <v>756.23699999999997</v>
      </c>
      <c r="E62" s="83">
        <v>678.15600600000005</v>
      </c>
      <c r="F62" s="83">
        <v>745.69097899999997</v>
      </c>
      <c r="H62" s="93">
        <v>42704</v>
      </c>
      <c r="I62" s="83">
        <v>727.31</v>
      </c>
      <c r="J62" s="83">
        <v>16011525</v>
      </c>
      <c r="L62" s="93">
        <v>42704</v>
      </c>
      <c r="M62" s="123">
        <v>9.5730851613856203</v>
      </c>
    </row>
    <row r="63" spans="2:13" x14ac:dyDescent="0.35">
      <c r="B63" s="92">
        <v>42674</v>
      </c>
      <c r="C63" s="83">
        <v>609.92901600000005</v>
      </c>
      <c r="D63" s="83">
        <v>720.40197799999999</v>
      </c>
      <c r="E63" s="83">
        <v>609.47900400000003</v>
      </c>
      <c r="F63" s="83">
        <v>700.97198500000002</v>
      </c>
      <c r="H63" s="92">
        <v>42674</v>
      </c>
      <c r="I63" s="83">
        <v>685.91</v>
      </c>
      <c r="J63" s="83">
        <v>15956137.5</v>
      </c>
      <c r="L63" s="92">
        <v>42674</v>
      </c>
      <c r="M63" s="123">
        <v>9.8249999999999993</v>
      </c>
    </row>
    <row r="64" spans="2:13" x14ac:dyDescent="0.35">
      <c r="B64" s="93">
        <v>42643</v>
      </c>
      <c r="C64" s="83">
        <v>575.546021</v>
      </c>
      <c r="D64" s="83">
        <v>628.817993</v>
      </c>
      <c r="E64" s="83">
        <v>570.81097399999999</v>
      </c>
      <c r="F64" s="83">
        <v>609.73498500000005</v>
      </c>
      <c r="H64" s="93">
        <v>42643</v>
      </c>
      <c r="I64" s="83">
        <v>603.85</v>
      </c>
      <c r="J64" s="83">
        <v>15900775</v>
      </c>
      <c r="L64" s="93">
        <v>42643</v>
      </c>
      <c r="M64" s="123">
        <v>9.4987574224763502</v>
      </c>
    </row>
    <row r="65" spans="2:13" x14ac:dyDescent="0.35">
      <c r="B65" s="92">
        <v>42613</v>
      </c>
      <c r="C65" s="83">
        <v>624.60199</v>
      </c>
      <c r="D65" s="83">
        <v>626.11901899999998</v>
      </c>
      <c r="E65" s="83">
        <v>531.33398399999999</v>
      </c>
      <c r="F65" s="83">
        <v>575.47198500000002</v>
      </c>
      <c r="H65" s="92">
        <v>42613</v>
      </c>
      <c r="I65" s="83">
        <v>571.5</v>
      </c>
      <c r="J65" s="83">
        <v>15839687.5</v>
      </c>
      <c r="L65" s="92">
        <v>42613</v>
      </c>
      <c r="M65" s="123">
        <v>9.6033448053344799</v>
      </c>
    </row>
    <row r="66" spans="2:13" x14ac:dyDescent="0.35">
      <c r="B66" s="93">
        <v>42582</v>
      </c>
      <c r="C66" s="83">
        <v>672.51501499999995</v>
      </c>
      <c r="D66" s="83">
        <v>704.96801800000003</v>
      </c>
      <c r="E66" s="83">
        <v>611.83398399999999</v>
      </c>
      <c r="F66" s="83">
        <v>624.68102999999996</v>
      </c>
      <c r="H66" s="93">
        <v>42582</v>
      </c>
      <c r="I66" s="83">
        <v>654.67999999999995</v>
      </c>
      <c r="J66" s="83">
        <v>15784187.5</v>
      </c>
      <c r="L66" s="93">
        <v>42582</v>
      </c>
      <c r="M66" s="123">
        <v>10.224131347842601</v>
      </c>
    </row>
    <row r="67" spans="2:13" x14ac:dyDescent="0.35">
      <c r="B67" s="92">
        <v>42551</v>
      </c>
      <c r="C67" s="83">
        <v>531.10699499999998</v>
      </c>
      <c r="D67" s="83">
        <v>777.98999000000003</v>
      </c>
      <c r="E67" s="83">
        <v>525.635986</v>
      </c>
      <c r="F67" s="83">
        <v>673.33697500000005</v>
      </c>
      <c r="H67" s="92">
        <v>42551</v>
      </c>
      <c r="I67" s="83">
        <v>651.85</v>
      </c>
      <c r="J67" s="83">
        <v>15706775</v>
      </c>
      <c r="L67" s="92">
        <v>42551</v>
      </c>
      <c r="M67" s="123">
        <v>9.6760022396416492</v>
      </c>
    </row>
    <row r="68" spans="2:13" x14ac:dyDescent="0.35">
      <c r="B68" s="93">
        <v>42521</v>
      </c>
      <c r="C68" s="83">
        <v>448.48400900000001</v>
      </c>
      <c r="D68" s="83">
        <v>553.96002199999998</v>
      </c>
      <c r="E68" s="83">
        <v>437.38900799999999</v>
      </c>
      <c r="F68" s="83">
        <v>531.385986</v>
      </c>
      <c r="H68" s="93">
        <v>42521</v>
      </c>
      <c r="I68" s="83">
        <v>526.64</v>
      </c>
      <c r="J68" s="83">
        <v>15595600</v>
      </c>
      <c r="L68" s="93">
        <v>42521</v>
      </c>
      <c r="M68" s="123">
        <v>9.6660497835497807</v>
      </c>
    </row>
    <row r="69" spans="2:13" x14ac:dyDescent="0.35">
      <c r="B69" s="92">
        <v>42490</v>
      </c>
      <c r="C69" s="83">
        <v>416.76001000000002</v>
      </c>
      <c r="D69" s="83">
        <v>467.96499599999999</v>
      </c>
      <c r="E69" s="83">
        <v>415.83099399999998</v>
      </c>
      <c r="F69" s="83">
        <v>448.317993</v>
      </c>
      <c r="H69" s="92">
        <v>42490</v>
      </c>
      <c r="I69" s="83">
        <v>449.98</v>
      </c>
      <c r="J69" s="83">
        <v>15484175</v>
      </c>
      <c r="L69" s="92">
        <v>42490</v>
      </c>
      <c r="M69" s="123">
        <v>9.6860731105628997</v>
      </c>
    </row>
    <row r="70" spans="2:13" x14ac:dyDescent="0.35">
      <c r="B70" s="93">
        <v>42460</v>
      </c>
      <c r="C70" s="83">
        <v>437.91699199999999</v>
      </c>
      <c r="D70" s="83">
        <v>439.65301499999998</v>
      </c>
      <c r="E70" s="83">
        <v>394.03500400000001</v>
      </c>
      <c r="F70" s="83">
        <v>416.72900399999997</v>
      </c>
      <c r="H70" s="93">
        <v>42460</v>
      </c>
      <c r="I70" s="83">
        <v>415.83</v>
      </c>
      <c r="J70" s="83">
        <v>15372675</v>
      </c>
      <c r="L70" s="93">
        <v>42460</v>
      </c>
      <c r="M70" s="123">
        <v>9.7554572593563407</v>
      </c>
    </row>
    <row r="71" spans="2:13" x14ac:dyDescent="0.35">
      <c r="B71" s="92">
        <v>42429</v>
      </c>
      <c r="C71" s="83">
        <v>369.35000600000001</v>
      </c>
      <c r="D71" s="83">
        <v>448.04599000000002</v>
      </c>
      <c r="E71" s="83">
        <v>367.95700099999999</v>
      </c>
      <c r="F71" s="83">
        <v>437.69699100000003</v>
      </c>
      <c r="H71" s="92">
        <v>42429</v>
      </c>
      <c r="I71" s="83">
        <v>431.89</v>
      </c>
      <c r="J71" s="83">
        <v>15261450</v>
      </c>
      <c r="L71" s="92">
        <v>42429</v>
      </c>
      <c r="M71" s="123">
        <v>9.1670181605155197</v>
      </c>
    </row>
    <row r="72" spans="2:13" x14ac:dyDescent="0.35">
      <c r="B72" s="93">
        <v>42400</v>
      </c>
      <c r="C72" s="83">
        <v>430.72100799999998</v>
      </c>
      <c r="D72" s="83">
        <v>462.93398999999999</v>
      </c>
      <c r="E72" s="83">
        <v>354.91400099999998</v>
      </c>
      <c r="F72" s="83">
        <v>368.766998</v>
      </c>
      <c r="H72" s="93">
        <v>42400</v>
      </c>
      <c r="I72" s="83">
        <v>378.18</v>
      </c>
      <c r="J72" s="83">
        <v>15137200</v>
      </c>
      <c r="L72" s="93">
        <v>42400</v>
      </c>
      <c r="M72" s="123">
        <v>9.1765529758235704</v>
      </c>
    </row>
    <row r="73" spans="2:13" x14ac:dyDescent="0.35">
      <c r="B73" s="92">
        <v>42369</v>
      </c>
      <c r="C73" s="83">
        <v>377.41400099999998</v>
      </c>
      <c r="D73" s="83">
        <v>469.10299700000002</v>
      </c>
      <c r="E73" s="83">
        <v>349.46499599999999</v>
      </c>
      <c r="F73" s="83">
        <v>430.56698599999999</v>
      </c>
      <c r="H73" s="92">
        <v>42369</v>
      </c>
      <c r="I73" s="83">
        <v>428.23</v>
      </c>
      <c r="J73" s="83">
        <v>15024475</v>
      </c>
      <c r="L73" s="92">
        <v>42369</v>
      </c>
      <c r="M73" s="123">
        <v>8.8135789057870806</v>
      </c>
    </row>
    <row r="74" spans="2:13" x14ac:dyDescent="0.35">
      <c r="B74" s="93">
        <v>42338</v>
      </c>
      <c r="C74" s="83">
        <v>315.00500499999998</v>
      </c>
      <c r="D74" s="83">
        <v>495.56201199999998</v>
      </c>
      <c r="E74" s="83">
        <v>300.99700899999999</v>
      </c>
      <c r="F74" s="83">
        <v>377.32101399999999</v>
      </c>
      <c r="H74" s="93">
        <v>42338</v>
      </c>
      <c r="I74" s="83">
        <v>358</v>
      </c>
      <c r="J74" s="83">
        <v>14898125</v>
      </c>
      <c r="L74" s="93">
        <v>42338</v>
      </c>
      <c r="M74" s="123">
        <v>9.2941707894170698</v>
      </c>
    </row>
    <row r="75" spans="2:13" x14ac:dyDescent="0.35">
      <c r="B75" s="92">
        <v>42308</v>
      </c>
      <c r="C75" s="83">
        <v>236.003998</v>
      </c>
      <c r="D75" s="83">
        <v>334.16900600000002</v>
      </c>
      <c r="E75" s="83">
        <v>235.61599699999999</v>
      </c>
      <c r="F75" s="83">
        <v>314.16598499999998</v>
      </c>
      <c r="H75" s="92">
        <v>42308</v>
      </c>
      <c r="I75" s="83">
        <v>304.79000000000002</v>
      </c>
      <c r="J75" s="83">
        <v>14782475</v>
      </c>
      <c r="L75" s="92">
        <v>42308</v>
      </c>
      <c r="M75" s="123">
        <v>9.7861293859649106</v>
      </c>
    </row>
    <row r="76" spans="2:13" x14ac:dyDescent="0.35">
      <c r="B76" s="93">
        <v>42277</v>
      </c>
      <c r="C76" s="83">
        <v>230.25599700000001</v>
      </c>
      <c r="D76" s="83">
        <v>259.182007</v>
      </c>
      <c r="E76" s="83">
        <v>225.11700400000001</v>
      </c>
      <c r="F76" s="83">
        <v>236.05999800000001</v>
      </c>
      <c r="H76" s="93">
        <v>42277</v>
      </c>
      <c r="I76" s="83">
        <v>239.14</v>
      </c>
      <c r="J76" s="83">
        <v>14665900</v>
      </c>
      <c r="L76" s="93">
        <v>42277</v>
      </c>
      <c r="M76" s="123">
        <v>9.6683598120384797</v>
      </c>
    </row>
    <row r="77" spans="2:13" x14ac:dyDescent="0.35">
      <c r="B77" s="92">
        <v>42247</v>
      </c>
      <c r="C77" s="83">
        <v>284.68600500000002</v>
      </c>
      <c r="D77" s="83">
        <v>285.71499599999999</v>
      </c>
      <c r="E77" s="83">
        <v>199.567001</v>
      </c>
      <c r="F77" s="83">
        <v>230.05600000000001</v>
      </c>
      <c r="H77" s="92">
        <v>42247</v>
      </c>
      <c r="I77" s="83">
        <v>229.63</v>
      </c>
      <c r="J77" s="83">
        <v>14548725</v>
      </c>
      <c r="L77" s="92">
        <v>42247</v>
      </c>
      <c r="M77" s="123">
        <v>9.7171200580340908</v>
      </c>
    </row>
    <row r="78" spans="2:13" x14ac:dyDescent="0.35">
      <c r="B78" s="93">
        <v>42216</v>
      </c>
      <c r="C78" s="83">
        <v>263.34500100000002</v>
      </c>
      <c r="D78" s="83">
        <v>314.39401199999998</v>
      </c>
      <c r="E78" s="83">
        <v>253.50500500000001</v>
      </c>
      <c r="F78" s="83">
        <v>284.64999399999999</v>
      </c>
      <c r="H78" s="93">
        <v>42216</v>
      </c>
      <c r="I78" s="83">
        <v>288.45</v>
      </c>
      <c r="J78" s="83">
        <v>14432475</v>
      </c>
      <c r="L78" s="93">
        <v>42216</v>
      </c>
      <c r="M78" s="123">
        <v>9.7401156447741606</v>
      </c>
    </row>
    <row r="79" spans="2:13" x14ac:dyDescent="0.35">
      <c r="B79" s="92">
        <v>42185</v>
      </c>
      <c r="C79" s="83">
        <v>230.233002</v>
      </c>
      <c r="D79" s="83">
        <v>267.86700400000001</v>
      </c>
      <c r="E79" s="83">
        <v>221.29600500000001</v>
      </c>
      <c r="F79" s="83">
        <v>263.07199100000003</v>
      </c>
      <c r="H79" s="92">
        <v>42185</v>
      </c>
      <c r="I79" s="83">
        <v>251.21</v>
      </c>
      <c r="J79" s="83">
        <v>14327600</v>
      </c>
      <c r="L79" s="92">
        <v>42185</v>
      </c>
      <c r="M79" s="123">
        <v>9.8546135706678797</v>
      </c>
    </row>
    <row r="80" spans="2:13" x14ac:dyDescent="0.35">
      <c r="B80" s="93">
        <v>42155</v>
      </c>
      <c r="C80" s="83">
        <v>235.93899500000001</v>
      </c>
      <c r="D80" s="83">
        <v>247.804001</v>
      </c>
      <c r="E80" s="83">
        <v>228.57299800000001</v>
      </c>
      <c r="F80" s="83">
        <v>230.19000199999999</v>
      </c>
      <c r="H80" s="93">
        <v>42155</v>
      </c>
      <c r="I80" s="83">
        <v>236.44</v>
      </c>
      <c r="J80" s="83">
        <v>14210425</v>
      </c>
      <c r="L80" s="93">
        <v>42155</v>
      </c>
      <c r="M80" s="123">
        <v>9.9998021649869298</v>
      </c>
    </row>
    <row r="81" spans="2:13" x14ac:dyDescent="0.35">
      <c r="B81" s="92">
        <v>42124</v>
      </c>
      <c r="C81" s="83">
        <v>244.223007</v>
      </c>
      <c r="D81" s="83">
        <v>261.79800399999999</v>
      </c>
      <c r="E81" s="83">
        <v>214.87399300000001</v>
      </c>
      <c r="F81" s="83">
        <v>236.145004</v>
      </c>
      <c r="H81" s="92">
        <v>42124</v>
      </c>
      <c r="I81" s="83">
        <v>225.2</v>
      </c>
      <c r="J81" s="83">
        <v>14105050</v>
      </c>
      <c r="L81" s="92">
        <v>42124</v>
      </c>
      <c r="M81" s="123">
        <v>10.152805202946199</v>
      </c>
    </row>
    <row r="82" spans="2:13" x14ac:dyDescent="0.35">
      <c r="B82" s="93">
        <v>42094</v>
      </c>
      <c r="C82" s="83">
        <v>254.283005</v>
      </c>
      <c r="D82" s="83">
        <v>300.04400600000002</v>
      </c>
      <c r="E82" s="83">
        <v>236.51499899999999</v>
      </c>
      <c r="F82" s="83">
        <v>244.22399899999999</v>
      </c>
      <c r="H82" s="93">
        <v>42094</v>
      </c>
      <c r="I82" s="83">
        <v>242.34</v>
      </c>
      <c r="J82" s="83">
        <v>13999450</v>
      </c>
      <c r="L82" s="93">
        <v>42094</v>
      </c>
      <c r="M82" s="123">
        <v>9.8116860763202194</v>
      </c>
    </row>
    <row r="83" spans="2:13" x14ac:dyDescent="0.35">
      <c r="B83" s="92">
        <v>42063</v>
      </c>
      <c r="C83" s="84">
        <v>216.86700400000001</v>
      </c>
      <c r="D83" s="84">
        <v>265.61099200000001</v>
      </c>
      <c r="E83" s="84">
        <v>212.01499899999999</v>
      </c>
      <c r="F83" s="84">
        <v>254.26300000000001</v>
      </c>
      <c r="H83" s="92">
        <v>42063</v>
      </c>
      <c r="I83" s="84">
        <v>252.11</v>
      </c>
      <c r="J83" s="84">
        <v>13882125</v>
      </c>
      <c r="L83" s="92">
        <v>42063</v>
      </c>
      <c r="M83" s="124">
        <v>9.5554317768823491</v>
      </c>
    </row>
    <row r="84" spans="2:13" x14ac:dyDescent="0.35">
      <c r="B84" s="93">
        <v>42035</v>
      </c>
      <c r="C84" s="84">
        <v>320.43499800000001</v>
      </c>
      <c r="D84" s="84">
        <v>320.43499800000001</v>
      </c>
      <c r="E84" s="84">
        <v>171.509995</v>
      </c>
      <c r="F84" s="84">
        <v>217.46400499999999</v>
      </c>
      <c r="H84" s="93">
        <v>42035</v>
      </c>
      <c r="I84" s="84">
        <v>236.2</v>
      </c>
      <c r="J84" s="84">
        <v>13775550</v>
      </c>
      <c r="L84" s="93">
        <v>42035</v>
      </c>
      <c r="M84" s="124">
        <v>9.8510556904288897</v>
      </c>
    </row>
    <row r="85" spans="2:13" x14ac:dyDescent="0.35">
      <c r="B85" s="92">
        <v>42004</v>
      </c>
      <c r="C85" s="84">
        <v>378.24899299999998</v>
      </c>
      <c r="D85" s="84">
        <v>384.03799400000003</v>
      </c>
      <c r="E85" s="84">
        <v>304.23199499999998</v>
      </c>
      <c r="F85" s="84">
        <v>320.192993</v>
      </c>
      <c r="H85" s="92">
        <v>42004</v>
      </c>
      <c r="I85" s="84">
        <v>313.39999999999998</v>
      </c>
      <c r="J85" s="84">
        <v>13656300</v>
      </c>
      <c r="L85" s="92">
        <v>42004</v>
      </c>
      <c r="M85" s="124">
        <v>9.9248258485252698</v>
      </c>
    </row>
    <row r="86" spans="2:13" x14ac:dyDescent="0.35">
      <c r="B86" s="93">
        <v>41973</v>
      </c>
      <c r="C86" s="83">
        <v>338.64999399999999</v>
      </c>
      <c r="D86" s="83">
        <v>457.09298699999999</v>
      </c>
      <c r="E86" s="83">
        <v>320.62600700000002</v>
      </c>
      <c r="F86" s="83">
        <v>378.04699699999998</v>
      </c>
      <c r="H86" s="93">
        <v>41973</v>
      </c>
      <c r="I86" s="83">
        <v>375.59</v>
      </c>
      <c r="J86" s="83">
        <v>13549600</v>
      </c>
      <c r="L86" s="93">
        <v>41973</v>
      </c>
      <c r="M86" s="123">
        <v>9.7648734177215193</v>
      </c>
    </row>
    <row r="87" spans="2:13" ht="13.3" thickBot="1" x14ac:dyDescent="0.4">
      <c r="B87" s="94">
        <v>41943</v>
      </c>
      <c r="C87" s="87">
        <v>387.42700200000002</v>
      </c>
      <c r="D87" s="87">
        <v>411.69799799999998</v>
      </c>
      <c r="E87" s="87">
        <v>289.29599000000002</v>
      </c>
      <c r="F87" s="87">
        <v>338.32101399999999</v>
      </c>
      <c r="H87" s="92">
        <v>41943</v>
      </c>
      <c r="I87" s="83">
        <v>345.3</v>
      </c>
      <c r="J87" s="83">
        <v>13432250</v>
      </c>
      <c r="L87" s="92">
        <v>41943</v>
      </c>
      <c r="M87" s="123">
        <v>9.5608815132048495</v>
      </c>
    </row>
    <row r="88" spans="2:13" x14ac:dyDescent="0.35">
      <c r="B88" s="88" t="s">
        <v>112</v>
      </c>
      <c r="H88" s="93">
        <v>41912</v>
      </c>
      <c r="I88" s="83">
        <v>400.39</v>
      </c>
      <c r="J88" s="83">
        <v>13326275</v>
      </c>
      <c r="L88" s="93">
        <v>41912</v>
      </c>
      <c r="M88" s="123">
        <v>9.1172365273673801</v>
      </c>
    </row>
    <row r="89" spans="2:13" x14ac:dyDescent="0.35">
      <c r="H89" s="92">
        <v>41882</v>
      </c>
      <c r="I89" s="83">
        <v>506.61</v>
      </c>
      <c r="J89" s="83">
        <v>13205900</v>
      </c>
      <c r="L89" s="92">
        <v>41882</v>
      </c>
      <c r="M89" s="123">
        <v>8.7050256810350408</v>
      </c>
    </row>
    <row r="90" spans="2:13" x14ac:dyDescent="0.35">
      <c r="H90" s="93">
        <v>41851</v>
      </c>
      <c r="I90" s="83">
        <v>585.5</v>
      </c>
      <c r="J90" s="83">
        <v>13073125</v>
      </c>
      <c r="L90" s="93">
        <v>41851</v>
      </c>
      <c r="M90" s="123">
        <v>9.4373485488870106</v>
      </c>
    </row>
    <row r="91" spans="2:13" x14ac:dyDescent="0.35">
      <c r="H91" s="92">
        <v>41820</v>
      </c>
      <c r="I91" s="83">
        <v>599.99</v>
      </c>
      <c r="J91" s="83">
        <v>12954100</v>
      </c>
      <c r="L91" s="92">
        <v>41820</v>
      </c>
      <c r="M91" s="123">
        <v>8.4351236979166604</v>
      </c>
    </row>
    <row r="92" spans="2:13" x14ac:dyDescent="0.35">
      <c r="H92" s="93">
        <v>41790</v>
      </c>
      <c r="I92" s="83">
        <v>621.29999999999995</v>
      </c>
      <c r="J92" s="83">
        <v>12834325</v>
      </c>
      <c r="L92" s="93">
        <v>41790</v>
      </c>
      <c r="M92" s="123">
        <v>8.8582126083217503</v>
      </c>
    </row>
    <row r="93" spans="2:13" x14ac:dyDescent="0.35">
      <c r="H93" s="92">
        <v>41759</v>
      </c>
      <c r="I93" s="83">
        <v>438.8</v>
      </c>
      <c r="J93" s="83">
        <v>12700375</v>
      </c>
      <c r="L93" s="92">
        <v>41759</v>
      </c>
      <c r="M93" s="123">
        <v>8.5893770709078794</v>
      </c>
    </row>
    <row r="94" spans="2:13" x14ac:dyDescent="0.35">
      <c r="H94" s="93">
        <v>41729</v>
      </c>
      <c r="I94" s="83">
        <v>499.6</v>
      </c>
      <c r="J94" s="83">
        <v>12577350</v>
      </c>
      <c r="L94" s="93">
        <v>41729</v>
      </c>
      <c r="M94" s="123">
        <v>8.7309016233131196</v>
      </c>
    </row>
    <row r="95" spans="2:13" x14ac:dyDescent="0.35">
      <c r="H95" s="92">
        <v>41698</v>
      </c>
      <c r="I95" s="83">
        <v>585.21</v>
      </c>
      <c r="J95" s="83">
        <v>12443125</v>
      </c>
      <c r="L95" s="92">
        <v>41698</v>
      </c>
      <c r="M95" s="123">
        <v>8.2233510131918894</v>
      </c>
    </row>
    <row r="96" spans="2:13" x14ac:dyDescent="0.35">
      <c r="H96" s="93">
        <v>41670</v>
      </c>
      <c r="I96" s="83">
        <v>800</v>
      </c>
      <c r="J96" s="83">
        <v>12323350</v>
      </c>
      <c r="L96" s="93">
        <v>41670</v>
      </c>
      <c r="M96" s="123">
        <v>8.1604928118908298</v>
      </c>
    </row>
    <row r="97" spans="8:13" x14ac:dyDescent="0.35">
      <c r="H97" s="92">
        <v>41639</v>
      </c>
      <c r="I97" s="83">
        <v>715</v>
      </c>
      <c r="J97" s="83">
        <v>12193550</v>
      </c>
      <c r="L97" s="92">
        <v>41639</v>
      </c>
      <c r="M97" s="123">
        <v>7.9625415479582102</v>
      </c>
    </row>
    <row r="98" spans="8:13" x14ac:dyDescent="0.35">
      <c r="H98" s="93">
        <v>41608</v>
      </c>
      <c r="I98" s="83">
        <v>1014.1</v>
      </c>
      <c r="J98" s="83">
        <v>12052950</v>
      </c>
      <c r="L98" s="93">
        <v>41608</v>
      </c>
      <c r="M98" s="123">
        <v>8.30306561376476</v>
      </c>
    </row>
    <row r="99" spans="8:13" x14ac:dyDescent="0.35">
      <c r="H99" s="92">
        <v>41578</v>
      </c>
      <c r="I99" s="83">
        <v>216</v>
      </c>
      <c r="J99" s="83">
        <v>11914400</v>
      </c>
      <c r="L99" s="92">
        <v>41578</v>
      </c>
      <c r="M99" s="123">
        <v>7.20126902188525</v>
      </c>
    </row>
    <row r="100" spans="8:13" x14ac:dyDescent="0.35">
      <c r="H100" s="93">
        <v>41547</v>
      </c>
      <c r="I100" s="83">
        <v>127.01</v>
      </c>
      <c r="J100" s="83">
        <v>11764000</v>
      </c>
      <c r="L100" s="93">
        <v>41547</v>
      </c>
      <c r="M100" s="123">
        <v>7.6790030211480298</v>
      </c>
    </row>
    <row r="101" spans="8:13" x14ac:dyDescent="0.35">
      <c r="H101" s="92">
        <v>41517</v>
      </c>
      <c r="I101" s="83">
        <v>124.84</v>
      </c>
      <c r="J101" s="83">
        <v>11628025</v>
      </c>
      <c r="L101" s="92">
        <v>41517</v>
      </c>
      <c r="M101" s="123">
        <v>7.6495174461766799</v>
      </c>
    </row>
    <row r="102" spans="8:13" x14ac:dyDescent="0.35">
      <c r="H102" s="93">
        <v>41486</v>
      </c>
      <c r="I102" s="83">
        <v>98.7</v>
      </c>
      <c r="J102" s="83">
        <v>11481150</v>
      </c>
      <c r="L102" s="93">
        <v>41486</v>
      </c>
      <c r="M102" s="123">
        <v>8.3175582479030705</v>
      </c>
    </row>
    <row r="103" spans="8:13" x14ac:dyDescent="0.35">
      <c r="H103" s="92">
        <v>41455</v>
      </c>
      <c r="I103" s="83">
        <v>94.65</v>
      </c>
      <c r="J103" s="83">
        <v>11346375</v>
      </c>
      <c r="L103" s="92">
        <v>41455</v>
      </c>
      <c r="M103" s="123">
        <v>8.2945724526369595</v>
      </c>
    </row>
    <row r="104" spans="8:13" x14ac:dyDescent="0.35">
      <c r="H104" s="93">
        <v>41425</v>
      </c>
      <c r="I104" s="83">
        <v>132.30000000000001</v>
      </c>
      <c r="J104" s="83">
        <v>11211950</v>
      </c>
      <c r="L104" s="93">
        <v>41425</v>
      </c>
      <c r="M104" s="123">
        <v>8.9685218672560403</v>
      </c>
    </row>
    <row r="105" spans="8:13" x14ac:dyDescent="0.35">
      <c r="H105" s="92">
        <v>41394</v>
      </c>
      <c r="I105" s="83">
        <v>144.54</v>
      </c>
      <c r="J105" s="83">
        <v>11088975</v>
      </c>
      <c r="L105" s="92">
        <v>41394</v>
      </c>
      <c r="M105" s="123">
        <v>8.6978961143547409</v>
      </c>
    </row>
    <row r="106" spans="8:13" x14ac:dyDescent="0.35">
      <c r="H106" s="93">
        <v>41364</v>
      </c>
      <c r="I106" s="83">
        <v>92.5</v>
      </c>
      <c r="J106" s="83">
        <v>10965650</v>
      </c>
      <c r="L106" s="93">
        <v>41364</v>
      </c>
      <c r="M106" s="123">
        <v>8.3556990454800601</v>
      </c>
    </row>
    <row r="107" spans="8:13" x14ac:dyDescent="0.35">
      <c r="H107" s="92">
        <v>41333</v>
      </c>
      <c r="I107" s="83">
        <v>30.4</v>
      </c>
      <c r="J107" s="83">
        <v>10830000</v>
      </c>
      <c r="L107" s="92">
        <v>41333</v>
      </c>
      <c r="M107" s="123">
        <v>8.6544654358093602</v>
      </c>
    </row>
    <row r="108" spans="8:13" x14ac:dyDescent="0.35">
      <c r="H108" s="93">
        <v>41305</v>
      </c>
      <c r="I108" s="83">
        <v>19.78</v>
      </c>
      <c r="J108" s="83">
        <v>10714675</v>
      </c>
      <c r="L108" s="93">
        <v>41305</v>
      </c>
      <c r="M108" s="123">
        <v>10.046650915091501</v>
      </c>
    </row>
    <row r="109" spans="8:13" x14ac:dyDescent="0.35">
      <c r="H109" s="92">
        <v>41274</v>
      </c>
      <c r="I109" s="83">
        <v>13.57</v>
      </c>
      <c r="J109" s="83">
        <v>10599275</v>
      </c>
      <c r="L109" s="92">
        <v>41274</v>
      </c>
      <c r="M109" s="123">
        <v>10.6005973573858</v>
      </c>
    </row>
    <row r="110" spans="8:13" x14ac:dyDescent="0.35">
      <c r="H110" s="93">
        <v>41243</v>
      </c>
      <c r="I110" s="83">
        <v>12.5</v>
      </c>
      <c r="J110" s="83">
        <v>10504325</v>
      </c>
      <c r="L110" s="93">
        <v>41243</v>
      </c>
      <c r="M110" s="123">
        <v>9.7441172045437394</v>
      </c>
    </row>
    <row r="111" spans="8:13" x14ac:dyDescent="0.35">
      <c r="H111" s="92">
        <v>41213</v>
      </c>
      <c r="I111" s="83">
        <v>10.69</v>
      </c>
      <c r="J111" s="83">
        <v>10288500</v>
      </c>
      <c r="L111" s="92">
        <v>41213</v>
      </c>
      <c r="M111" s="123">
        <v>9.6897533275462902</v>
      </c>
    </row>
    <row r="112" spans="8:13" x14ac:dyDescent="0.35">
      <c r="H112" s="93">
        <v>41182</v>
      </c>
      <c r="I112" s="83">
        <v>12.46</v>
      </c>
      <c r="J112" s="83">
        <v>10041200</v>
      </c>
      <c r="L112" s="93">
        <v>41182</v>
      </c>
      <c r="M112" s="123">
        <v>9.19907703230386</v>
      </c>
    </row>
    <row r="113" spans="8:13" x14ac:dyDescent="0.35">
      <c r="H113" s="92">
        <v>41152</v>
      </c>
      <c r="I113" s="83">
        <v>11.14</v>
      </c>
      <c r="J113" s="83">
        <v>9821600</v>
      </c>
      <c r="L113" s="92">
        <v>41152</v>
      </c>
      <c r="M113" s="123">
        <v>9.1498736079797691</v>
      </c>
    </row>
    <row r="114" spans="8:13" x14ac:dyDescent="0.35">
      <c r="H114" s="93">
        <v>41121</v>
      </c>
      <c r="I114" s="83">
        <v>9.2200000000000006</v>
      </c>
      <c r="J114" s="83">
        <v>9558500</v>
      </c>
      <c r="L114" s="93">
        <v>41121</v>
      </c>
      <c r="M114" s="123">
        <v>9.3527131782945698</v>
      </c>
    </row>
    <row r="115" spans="8:13" x14ac:dyDescent="0.35">
      <c r="H115" s="92">
        <v>41090</v>
      </c>
      <c r="I115" s="83">
        <v>6.58</v>
      </c>
      <c r="J115" s="83">
        <v>9323050</v>
      </c>
      <c r="L115" s="92">
        <v>41090</v>
      </c>
      <c r="M115" s="123">
        <v>9.52748254318265</v>
      </c>
    </row>
    <row r="116" spans="8:13" x14ac:dyDescent="0.35">
      <c r="H116" s="93">
        <v>41060</v>
      </c>
      <c r="I116" s="83">
        <v>5.16</v>
      </c>
      <c r="J116" s="83">
        <v>9111850</v>
      </c>
      <c r="L116" s="93">
        <v>41060</v>
      </c>
      <c r="M116" s="123">
        <v>10.1112331974022</v>
      </c>
    </row>
    <row r="117" spans="8:13" x14ac:dyDescent="0.35">
      <c r="H117" s="92">
        <v>41029</v>
      </c>
      <c r="I117" s="83">
        <v>5.09</v>
      </c>
      <c r="J117" s="83">
        <v>8881750</v>
      </c>
      <c r="L117" s="92">
        <v>41029</v>
      </c>
      <c r="M117" s="123">
        <v>10.260479018210599</v>
      </c>
    </row>
    <row r="118" spans="8:13" x14ac:dyDescent="0.35">
      <c r="H118" s="93">
        <v>40999</v>
      </c>
      <c r="I118" s="83">
        <v>4.8499999999999996</v>
      </c>
      <c r="J118" s="83">
        <v>8669300</v>
      </c>
      <c r="L118" s="93">
        <v>40999</v>
      </c>
      <c r="M118" s="123">
        <v>9.5609695152423697</v>
      </c>
    </row>
    <row r="119" spans="8:13" x14ac:dyDescent="0.35">
      <c r="H119" s="92">
        <v>40968</v>
      </c>
      <c r="I119" s="83">
        <v>4.9800000000000004</v>
      </c>
      <c r="J119" s="83">
        <v>8434550</v>
      </c>
      <c r="L119" s="92">
        <v>40968</v>
      </c>
      <c r="M119" s="123">
        <v>9.5905128205128207</v>
      </c>
    </row>
    <row r="120" spans="8:13" x14ac:dyDescent="0.35">
      <c r="H120" s="93">
        <v>40939</v>
      </c>
      <c r="I120" s="83">
        <v>5.72</v>
      </c>
      <c r="J120" s="83">
        <v>8228700</v>
      </c>
      <c r="L120" s="93">
        <v>40939</v>
      </c>
      <c r="M120" s="123">
        <v>9.4085827712197805</v>
      </c>
    </row>
    <row r="121" spans="8:13" x14ac:dyDescent="0.35">
      <c r="H121" s="92">
        <v>40908</v>
      </c>
      <c r="I121" s="83">
        <v>4.47</v>
      </c>
      <c r="J121" s="83">
        <v>7993600</v>
      </c>
      <c r="L121" s="92">
        <v>40908</v>
      </c>
      <c r="M121" s="123">
        <v>9.7358306070519802</v>
      </c>
    </row>
    <row r="122" spans="8:13" x14ac:dyDescent="0.35">
      <c r="H122" s="93">
        <v>40877</v>
      </c>
      <c r="I122" s="83">
        <v>2.5099999999999998</v>
      </c>
      <c r="J122" s="83">
        <v>7758600</v>
      </c>
      <c r="L122" s="93">
        <v>40877</v>
      </c>
      <c r="M122" s="123">
        <v>10.4430223189106</v>
      </c>
    </row>
    <row r="123" spans="8:13" x14ac:dyDescent="0.35">
      <c r="H123" s="92">
        <v>40847</v>
      </c>
      <c r="I123" s="83">
        <v>3.39</v>
      </c>
      <c r="J123" s="83">
        <v>7554100</v>
      </c>
      <c r="L123" s="92">
        <v>40847</v>
      </c>
      <c r="M123" s="123">
        <v>11.911723126166899</v>
      </c>
    </row>
    <row r="124" spans="8:13" x14ac:dyDescent="0.35">
      <c r="H124" s="93">
        <v>40816</v>
      </c>
      <c r="I124" s="83">
        <v>4.95</v>
      </c>
      <c r="J124" s="83">
        <v>7352000</v>
      </c>
      <c r="L124" s="93">
        <v>40816</v>
      </c>
      <c r="M124" s="123">
        <v>10.390690401732</v>
      </c>
    </row>
    <row r="125" spans="8:13" x14ac:dyDescent="0.35">
      <c r="H125" s="92">
        <v>40786</v>
      </c>
      <c r="I125" s="83">
        <v>9.4</v>
      </c>
      <c r="J125" s="83">
        <v>7148800</v>
      </c>
      <c r="L125" s="92">
        <v>40786</v>
      </c>
      <c r="M125" s="123">
        <v>10.2049394008689</v>
      </c>
    </row>
    <row r="126" spans="8:13" x14ac:dyDescent="0.35">
      <c r="H126" s="93">
        <v>40755</v>
      </c>
      <c r="I126" s="83">
        <v>14.06</v>
      </c>
      <c r="J126" s="83">
        <v>6923450</v>
      </c>
      <c r="L126" s="93">
        <v>40755</v>
      </c>
      <c r="M126" s="123">
        <v>9.0866910866910793</v>
      </c>
    </row>
    <row r="127" spans="8:13" x14ac:dyDescent="0.35">
      <c r="H127" s="92">
        <v>40724</v>
      </c>
      <c r="I127" s="83">
        <v>17.89</v>
      </c>
      <c r="J127" s="83">
        <v>6680450</v>
      </c>
      <c r="L127" s="92">
        <v>40724</v>
      </c>
      <c r="M127" s="123">
        <v>6.9035672421142298</v>
      </c>
    </row>
    <row r="128" spans="8:13" x14ac:dyDescent="0.35">
      <c r="H128" s="93">
        <v>40694</v>
      </c>
      <c r="I128" s="83">
        <v>8.68</v>
      </c>
      <c r="J128" s="83">
        <v>6370900</v>
      </c>
      <c r="L128" s="93">
        <v>40694</v>
      </c>
      <c r="M128" s="123">
        <v>6.6241034772715999</v>
      </c>
    </row>
    <row r="129" spans="8:13" x14ac:dyDescent="0.35">
      <c r="H129" s="92">
        <v>40663</v>
      </c>
      <c r="I129" s="83">
        <v>2.66</v>
      </c>
      <c r="J129" s="83">
        <v>6038550</v>
      </c>
      <c r="L129" s="92">
        <v>40663</v>
      </c>
      <c r="M129" s="123">
        <v>8.4947851153039799</v>
      </c>
    </row>
    <row r="130" spans="8:13" x14ac:dyDescent="0.35">
      <c r="H130" s="93">
        <v>40633</v>
      </c>
      <c r="I130" s="83">
        <v>0.8</v>
      </c>
      <c r="J130" s="83">
        <v>5771200</v>
      </c>
      <c r="L130" s="93">
        <v>40633</v>
      </c>
      <c r="M130" s="123">
        <v>9.1065653474772201</v>
      </c>
    </row>
    <row r="131" spans="8:13" x14ac:dyDescent="0.35">
      <c r="H131" s="92">
        <v>40602</v>
      </c>
      <c r="I131" s="83">
        <v>0.96</v>
      </c>
      <c r="J131" s="83">
        <v>5549150</v>
      </c>
      <c r="L131" s="92">
        <v>40602</v>
      </c>
      <c r="M131" s="123">
        <v>7.24241525931249</v>
      </c>
    </row>
    <row r="132" spans="8:13" x14ac:dyDescent="0.35">
      <c r="H132" s="93">
        <v>40574</v>
      </c>
      <c r="I132" s="83">
        <v>0.45</v>
      </c>
      <c r="J132" s="83">
        <v>5260400</v>
      </c>
      <c r="L132" s="93">
        <v>40574</v>
      </c>
      <c r="M132" s="123">
        <v>8.6475489246270101</v>
      </c>
    </row>
    <row r="133" spans="8:13" x14ac:dyDescent="0.35">
      <c r="H133" s="92">
        <v>40543</v>
      </c>
      <c r="I133" s="83">
        <v>0.3</v>
      </c>
      <c r="J133" s="83">
        <v>4992800</v>
      </c>
      <c r="L133" s="92">
        <v>40543</v>
      </c>
      <c r="M133" s="123">
        <v>7.9627258678078903</v>
      </c>
    </row>
    <row r="134" spans="8:13" x14ac:dyDescent="0.35">
      <c r="H134" s="93">
        <v>40512</v>
      </c>
      <c r="I134" s="83">
        <v>0.28000000000000003</v>
      </c>
      <c r="J134" s="83">
        <v>4723350</v>
      </c>
      <c r="L134" s="93">
        <v>40512</v>
      </c>
      <c r="M134" s="123">
        <v>7.3097534833869204</v>
      </c>
    </row>
    <row r="135" spans="8:13" x14ac:dyDescent="0.35">
      <c r="H135" s="92">
        <v>40482</v>
      </c>
      <c r="I135" s="83">
        <v>0.19</v>
      </c>
      <c r="J135" s="83">
        <v>4432850</v>
      </c>
      <c r="L135" s="92">
        <v>40482</v>
      </c>
      <c r="M135" s="123">
        <v>7.5706785411365498</v>
      </c>
    </row>
    <row r="136" spans="8:13" x14ac:dyDescent="0.35">
      <c r="H136" s="93">
        <v>40451</v>
      </c>
      <c r="I136" s="83">
        <v>0.06</v>
      </c>
      <c r="J136" s="83">
        <v>4142500</v>
      </c>
      <c r="L136" s="93">
        <v>40451</v>
      </c>
      <c r="M136" s="123">
        <v>7.7908926961226301</v>
      </c>
    </row>
    <row r="137" spans="8:13" x14ac:dyDescent="0.35">
      <c r="H137" s="92">
        <v>40421</v>
      </c>
      <c r="I137" s="83">
        <v>0.06</v>
      </c>
      <c r="J137" s="83">
        <v>3853450</v>
      </c>
      <c r="L137" s="92">
        <v>40421</v>
      </c>
      <c r="M137" s="123">
        <v>7.4202099955673697</v>
      </c>
    </row>
    <row r="138" spans="8:13" x14ac:dyDescent="0.35">
      <c r="H138" s="93">
        <v>40390</v>
      </c>
      <c r="I138" s="83">
        <v>0</v>
      </c>
      <c r="J138" s="83">
        <v>3541700</v>
      </c>
      <c r="L138" s="93">
        <v>40390</v>
      </c>
      <c r="M138" s="123">
        <v>5.6702962962962902</v>
      </c>
    </row>
    <row r="139" spans="8:13" x14ac:dyDescent="0.35">
      <c r="H139" s="92">
        <v>40359</v>
      </c>
      <c r="I139" s="83">
        <v>0</v>
      </c>
      <c r="J139" s="83">
        <v>3168950</v>
      </c>
      <c r="L139" s="92">
        <v>40359</v>
      </c>
      <c r="M139" s="123">
        <v>9.0999016715830798</v>
      </c>
    </row>
    <row r="140" spans="8:13" x14ac:dyDescent="0.35">
      <c r="H140" s="93">
        <v>40329</v>
      </c>
      <c r="I140" s="83">
        <v>0</v>
      </c>
      <c r="J140" s="83">
        <v>2919650</v>
      </c>
      <c r="L140" s="93">
        <v>40329</v>
      </c>
      <c r="M140" s="123">
        <v>9.0399696356275303</v>
      </c>
    </row>
    <row r="141" spans="8:13" x14ac:dyDescent="0.35">
      <c r="H141" s="92">
        <v>40298</v>
      </c>
      <c r="I141" s="83">
        <v>0</v>
      </c>
      <c r="J141" s="83">
        <v>2670850</v>
      </c>
      <c r="L141" s="92">
        <v>40298</v>
      </c>
      <c r="M141" s="123">
        <v>7.7426078642285097</v>
      </c>
    </row>
    <row r="142" spans="8:13" x14ac:dyDescent="0.35">
      <c r="H142" s="93">
        <v>40268</v>
      </c>
      <c r="I142" s="83">
        <v>0</v>
      </c>
      <c r="J142" s="83">
        <v>2400500</v>
      </c>
      <c r="L142" s="93">
        <v>40268</v>
      </c>
      <c r="M142" s="123">
        <v>8.5847593411523402</v>
      </c>
    </row>
    <row r="143" spans="8:13" x14ac:dyDescent="0.35">
      <c r="H143" s="92">
        <v>40237</v>
      </c>
      <c r="I143" s="83">
        <v>0</v>
      </c>
      <c r="J143" s="83">
        <v>2132050</v>
      </c>
      <c r="L143" s="92">
        <v>40237</v>
      </c>
      <c r="M143" s="123">
        <v>7.1934856326967598</v>
      </c>
    </row>
    <row r="144" spans="8:13" x14ac:dyDescent="0.35">
      <c r="H144" s="93">
        <v>40209</v>
      </c>
      <c r="I144" s="83">
        <v>0</v>
      </c>
      <c r="J144" s="83">
        <v>1864400</v>
      </c>
      <c r="L144" s="93">
        <v>40209</v>
      </c>
      <c r="M144" s="123">
        <v>8.9229716227018301</v>
      </c>
    </row>
    <row r="145" spans="8:13" x14ac:dyDescent="0.35">
      <c r="H145" s="92">
        <v>40178</v>
      </c>
      <c r="I145" s="83">
        <v>0</v>
      </c>
      <c r="J145" s="83">
        <v>1617450</v>
      </c>
      <c r="L145" s="92">
        <v>40178</v>
      </c>
      <c r="M145" s="123">
        <v>11.024538866930101</v>
      </c>
    </row>
    <row r="146" spans="8:13" x14ac:dyDescent="0.35">
      <c r="H146" s="93">
        <v>40147</v>
      </c>
      <c r="I146" s="83">
        <v>0</v>
      </c>
      <c r="J146" s="83">
        <v>1417550</v>
      </c>
      <c r="L146" s="93">
        <v>40147</v>
      </c>
      <c r="M146" s="123">
        <v>19.488881371222298</v>
      </c>
    </row>
    <row r="147" spans="8:13" x14ac:dyDescent="0.35">
      <c r="H147" s="92">
        <v>40117</v>
      </c>
      <c r="I147" s="83">
        <v>0</v>
      </c>
      <c r="J147" s="83">
        <v>1307100</v>
      </c>
      <c r="L147" s="92">
        <v>40117</v>
      </c>
      <c r="M147" s="123">
        <v>21.000360614612699</v>
      </c>
    </row>
    <row r="148" spans="8:13" x14ac:dyDescent="0.35">
      <c r="H148" s="93">
        <v>40086</v>
      </c>
      <c r="I148" s="83">
        <v>0</v>
      </c>
      <c r="J148" s="83">
        <v>1192300</v>
      </c>
      <c r="L148" s="93">
        <v>40086</v>
      </c>
      <c r="M148" s="123">
        <v>20.004917400030799</v>
      </c>
    </row>
    <row r="149" spans="8:13" x14ac:dyDescent="0.35">
      <c r="H149" s="92">
        <v>40056</v>
      </c>
      <c r="I149" s="83">
        <v>0</v>
      </c>
      <c r="J149" s="83">
        <v>1077500</v>
      </c>
      <c r="L149" s="92">
        <v>40056</v>
      </c>
      <c r="M149" s="123">
        <v>28.554901960784299</v>
      </c>
    </row>
    <row r="150" spans="8:13" x14ac:dyDescent="0.35">
      <c r="H150" s="93">
        <v>40025</v>
      </c>
      <c r="I150" s="83">
        <v>0</v>
      </c>
      <c r="J150" s="83">
        <v>1009200</v>
      </c>
      <c r="L150" s="93">
        <v>40025</v>
      </c>
      <c r="M150" s="123">
        <v>23.180476190476099</v>
      </c>
    </row>
    <row r="151" spans="8:13" x14ac:dyDescent="0.35">
      <c r="H151" s="92">
        <v>39994</v>
      </c>
      <c r="I151" s="83">
        <v>0</v>
      </c>
      <c r="J151" s="83">
        <v>918100</v>
      </c>
      <c r="L151" s="92">
        <v>39994</v>
      </c>
      <c r="M151" s="123">
        <v>19.4377683363148</v>
      </c>
    </row>
    <row r="152" spans="8:13" x14ac:dyDescent="0.35">
      <c r="H152" s="92">
        <v>39964</v>
      </c>
      <c r="I152" s="83">
        <v>0</v>
      </c>
      <c r="J152" s="83">
        <v>804750</v>
      </c>
      <c r="L152" s="92">
        <v>39964</v>
      </c>
      <c r="M152" s="123">
        <v>13.1168095378855</v>
      </c>
    </row>
    <row r="153" spans="8:13" x14ac:dyDescent="0.35">
      <c r="H153" s="93">
        <v>39933</v>
      </c>
      <c r="I153" s="83">
        <v>0</v>
      </c>
      <c r="J153" s="83">
        <v>622800</v>
      </c>
      <c r="L153" s="93">
        <v>39933</v>
      </c>
      <c r="M153" s="123">
        <v>12.5540141390664</v>
      </c>
    </row>
    <row r="154" spans="8:13" x14ac:dyDescent="0.35">
      <c r="H154" s="92">
        <v>39903</v>
      </c>
      <c r="I154" s="83">
        <v>0</v>
      </c>
      <c r="J154" s="83">
        <v>442600</v>
      </c>
      <c r="L154" s="92">
        <v>39903</v>
      </c>
      <c r="M154" s="123">
        <v>12.8749519138295</v>
      </c>
    </row>
    <row r="155" spans="8:13" x14ac:dyDescent="0.35">
      <c r="H155" s="93">
        <v>39872</v>
      </c>
      <c r="I155" s="83">
        <v>0</v>
      </c>
      <c r="J155" s="83">
        <v>286850</v>
      </c>
      <c r="L155" s="93">
        <v>39872</v>
      </c>
      <c r="M155" s="123">
        <v>11.9285601577909</v>
      </c>
    </row>
    <row r="156" spans="8:13" ht="13.3" thickBot="1" x14ac:dyDescent="0.4">
      <c r="H156" s="94">
        <v>39844</v>
      </c>
      <c r="I156" s="87">
        <v>0</v>
      </c>
      <c r="J156" s="87">
        <v>110300</v>
      </c>
      <c r="L156" s="94">
        <v>39844</v>
      </c>
      <c r="M156" s="125">
        <v>12.960333071072601</v>
      </c>
    </row>
    <row r="157" spans="8:13" x14ac:dyDescent="0.35">
      <c r="H157" s="88" t="s">
        <v>123</v>
      </c>
      <c r="I157" s="88"/>
      <c r="J157" s="29"/>
      <c r="L157" s="88" t="s">
        <v>146</v>
      </c>
      <c r="M157" s="88"/>
    </row>
  </sheetData>
  <sortState xmlns:xlrd2="http://schemas.microsoft.com/office/spreadsheetml/2017/richdata2" ref="H10:M87">
    <sortCondition descending="1" ref="H9:H87"/>
  </sortState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D206-A46E-4320-AAEB-A810E3C7D244}">
  <dimension ref="A1:F1272"/>
  <sheetViews>
    <sheetView zoomScaleNormal="100" workbookViewId="0"/>
  </sheetViews>
  <sheetFormatPr defaultRowHeight="12.9" x14ac:dyDescent="0.4"/>
  <cols>
    <col min="1" max="1" width="11.53515625" style="233" bestFit="1" customWidth="1"/>
    <col min="2" max="2" width="47.3046875" style="233" bestFit="1" customWidth="1"/>
    <col min="3" max="4" width="9.23046875" style="233"/>
    <col min="5" max="5" width="11.3828125" style="236" customWidth="1"/>
    <col min="6" max="255" width="9.23046875" style="233"/>
    <col min="256" max="256" width="11.53515625" style="233" bestFit="1" customWidth="1"/>
    <col min="257" max="257" width="47.3046875" style="233" bestFit="1" customWidth="1"/>
    <col min="258" max="511" width="9.23046875" style="233"/>
    <col min="512" max="512" width="11.53515625" style="233" bestFit="1" customWidth="1"/>
    <col min="513" max="513" width="47.3046875" style="233" bestFit="1" customWidth="1"/>
    <col min="514" max="767" width="9.23046875" style="233"/>
    <col min="768" max="768" width="11.53515625" style="233" bestFit="1" customWidth="1"/>
    <col min="769" max="769" width="47.3046875" style="233" bestFit="1" customWidth="1"/>
    <col min="770" max="1023" width="9.23046875" style="233"/>
    <col min="1024" max="1024" width="11.53515625" style="233" bestFit="1" customWidth="1"/>
    <col min="1025" max="1025" width="47.3046875" style="233" bestFit="1" customWidth="1"/>
    <col min="1026" max="1279" width="9.23046875" style="233"/>
    <col min="1280" max="1280" width="11.53515625" style="233" bestFit="1" customWidth="1"/>
    <col min="1281" max="1281" width="47.3046875" style="233" bestFit="1" customWidth="1"/>
    <col min="1282" max="1535" width="9.23046875" style="233"/>
    <col min="1536" max="1536" width="11.53515625" style="233" bestFit="1" customWidth="1"/>
    <col min="1537" max="1537" width="47.3046875" style="233" bestFit="1" customWidth="1"/>
    <col min="1538" max="1791" width="9.23046875" style="233"/>
    <col min="1792" max="1792" width="11.53515625" style="233" bestFit="1" customWidth="1"/>
    <col min="1793" max="1793" width="47.3046875" style="233" bestFit="1" customWidth="1"/>
    <col min="1794" max="2047" width="9.23046875" style="233"/>
    <col min="2048" max="2048" width="11.53515625" style="233" bestFit="1" customWidth="1"/>
    <col min="2049" max="2049" width="47.3046875" style="233" bestFit="1" customWidth="1"/>
    <col min="2050" max="2303" width="9.23046875" style="233"/>
    <col min="2304" max="2304" width="11.53515625" style="233" bestFit="1" customWidth="1"/>
    <col min="2305" max="2305" width="47.3046875" style="233" bestFit="1" customWidth="1"/>
    <col min="2306" max="2559" width="9.23046875" style="233"/>
    <col min="2560" max="2560" width="11.53515625" style="233" bestFit="1" customWidth="1"/>
    <col min="2561" max="2561" width="47.3046875" style="233" bestFit="1" customWidth="1"/>
    <col min="2562" max="2815" width="9.23046875" style="233"/>
    <col min="2816" max="2816" width="11.53515625" style="233" bestFit="1" customWidth="1"/>
    <col min="2817" max="2817" width="47.3046875" style="233" bestFit="1" customWidth="1"/>
    <col min="2818" max="3071" width="9.23046875" style="233"/>
    <col min="3072" max="3072" width="11.53515625" style="233" bestFit="1" customWidth="1"/>
    <col min="3073" max="3073" width="47.3046875" style="233" bestFit="1" customWidth="1"/>
    <col min="3074" max="3327" width="9.23046875" style="233"/>
    <col min="3328" max="3328" width="11.53515625" style="233" bestFit="1" customWidth="1"/>
    <col min="3329" max="3329" width="47.3046875" style="233" bestFit="1" customWidth="1"/>
    <col min="3330" max="3583" width="9.23046875" style="233"/>
    <col min="3584" max="3584" width="11.53515625" style="233" bestFit="1" customWidth="1"/>
    <col min="3585" max="3585" width="47.3046875" style="233" bestFit="1" customWidth="1"/>
    <col min="3586" max="3839" width="9.23046875" style="233"/>
    <col min="3840" max="3840" width="11.53515625" style="233" bestFit="1" customWidth="1"/>
    <col min="3841" max="3841" width="47.3046875" style="233" bestFit="1" customWidth="1"/>
    <col min="3842" max="4095" width="9.23046875" style="233"/>
    <col min="4096" max="4096" width="11.53515625" style="233" bestFit="1" customWidth="1"/>
    <col min="4097" max="4097" width="47.3046875" style="233" bestFit="1" customWidth="1"/>
    <col min="4098" max="4351" width="9.23046875" style="233"/>
    <col min="4352" max="4352" width="11.53515625" style="233" bestFit="1" customWidth="1"/>
    <col min="4353" max="4353" width="47.3046875" style="233" bestFit="1" customWidth="1"/>
    <col min="4354" max="4607" width="9.23046875" style="233"/>
    <col min="4608" max="4608" width="11.53515625" style="233" bestFit="1" customWidth="1"/>
    <col min="4609" max="4609" width="47.3046875" style="233" bestFit="1" customWidth="1"/>
    <col min="4610" max="4863" width="9.23046875" style="233"/>
    <col min="4864" max="4864" width="11.53515625" style="233" bestFit="1" customWidth="1"/>
    <col min="4865" max="4865" width="47.3046875" style="233" bestFit="1" customWidth="1"/>
    <col min="4866" max="5119" width="9.23046875" style="233"/>
    <col min="5120" max="5120" width="11.53515625" style="233" bestFit="1" customWidth="1"/>
    <col min="5121" max="5121" width="47.3046875" style="233" bestFit="1" customWidth="1"/>
    <col min="5122" max="5375" width="9.23046875" style="233"/>
    <col min="5376" max="5376" width="11.53515625" style="233" bestFit="1" customWidth="1"/>
    <col min="5377" max="5377" width="47.3046875" style="233" bestFit="1" customWidth="1"/>
    <col min="5378" max="5631" width="9.23046875" style="233"/>
    <col min="5632" max="5632" width="11.53515625" style="233" bestFit="1" customWidth="1"/>
    <col min="5633" max="5633" width="47.3046875" style="233" bestFit="1" customWidth="1"/>
    <col min="5634" max="5887" width="9.23046875" style="233"/>
    <col min="5888" max="5888" width="11.53515625" style="233" bestFit="1" customWidth="1"/>
    <col min="5889" max="5889" width="47.3046875" style="233" bestFit="1" customWidth="1"/>
    <col min="5890" max="6143" width="9.23046875" style="233"/>
    <col min="6144" max="6144" width="11.53515625" style="233" bestFit="1" customWidth="1"/>
    <col min="6145" max="6145" width="47.3046875" style="233" bestFit="1" customWidth="1"/>
    <col min="6146" max="6399" width="9.23046875" style="233"/>
    <col min="6400" max="6400" width="11.53515625" style="233" bestFit="1" customWidth="1"/>
    <col min="6401" max="6401" width="47.3046875" style="233" bestFit="1" customWidth="1"/>
    <col min="6402" max="6655" width="9.23046875" style="233"/>
    <col min="6656" max="6656" width="11.53515625" style="233" bestFit="1" customWidth="1"/>
    <col min="6657" max="6657" width="47.3046875" style="233" bestFit="1" customWidth="1"/>
    <col min="6658" max="6911" width="9.23046875" style="233"/>
    <col min="6912" max="6912" width="11.53515625" style="233" bestFit="1" customWidth="1"/>
    <col min="6913" max="6913" width="47.3046875" style="233" bestFit="1" customWidth="1"/>
    <col min="6914" max="7167" width="9.23046875" style="233"/>
    <col min="7168" max="7168" width="11.53515625" style="233" bestFit="1" customWidth="1"/>
    <col min="7169" max="7169" width="47.3046875" style="233" bestFit="1" customWidth="1"/>
    <col min="7170" max="7423" width="9.23046875" style="233"/>
    <col min="7424" max="7424" width="11.53515625" style="233" bestFit="1" customWidth="1"/>
    <col min="7425" max="7425" width="47.3046875" style="233" bestFit="1" customWidth="1"/>
    <col min="7426" max="7679" width="9.23046875" style="233"/>
    <col min="7680" max="7680" width="11.53515625" style="233" bestFit="1" customWidth="1"/>
    <col min="7681" max="7681" width="47.3046875" style="233" bestFit="1" customWidth="1"/>
    <col min="7682" max="7935" width="9.23046875" style="233"/>
    <col min="7936" max="7936" width="11.53515625" style="233" bestFit="1" customWidth="1"/>
    <col min="7937" max="7937" width="47.3046875" style="233" bestFit="1" customWidth="1"/>
    <col min="7938" max="8191" width="9.23046875" style="233"/>
    <col min="8192" max="8192" width="11.53515625" style="233" bestFit="1" customWidth="1"/>
    <col min="8193" max="8193" width="47.3046875" style="233" bestFit="1" customWidth="1"/>
    <col min="8194" max="8447" width="9.23046875" style="233"/>
    <col min="8448" max="8448" width="11.53515625" style="233" bestFit="1" customWidth="1"/>
    <col min="8449" max="8449" width="47.3046875" style="233" bestFit="1" customWidth="1"/>
    <col min="8450" max="8703" width="9.23046875" style="233"/>
    <col min="8704" max="8704" width="11.53515625" style="233" bestFit="1" customWidth="1"/>
    <col min="8705" max="8705" width="47.3046875" style="233" bestFit="1" customWidth="1"/>
    <col min="8706" max="8959" width="9.23046875" style="233"/>
    <col min="8960" max="8960" width="11.53515625" style="233" bestFit="1" customWidth="1"/>
    <col min="8961" max="8961" width="47.3046875" style="233" bestFit="1" customWidth="1"/>
    <col min="8962" max="9215" width="9.23046875" style="233"/>
    <col min="9216" max="9216" width="11.53515625" style="233" bestFit="1" customWidth="1"/>
    <col min="9217" max="9217" width="47.3046875" style="233" bestFit="1" customWidth="1"/>
    <col min="9218" max="9471" width="9.23046875" style="233"/>
    <col min="9472" max="9472" width="11.53515625" style="233" bestFit="1" customWidth="1"/>
    <col min="9473" max="9473" width="47.3046875" style="233" bestFit="1" customWidth="1"/>
    <col min="9474" max="9727" width="9.23046875" style="233"/>
    <col min="9728" max="9728" width="11.53515625" style="233" bestFit="1" customWidth="1"/>
    <col min="9729" max="9729" width="47.3046875" style="233" bestFit="1" customWidth="1"/>
    <col min="9730" max="9983" width="9.23046875" style="233"/>
    <col min="9984" max="9984" width="11.53515625" style="233" bestFit="1" customWidth="1"/>
    <col min="9985" max="9985" width="47.3046875" style="233" bestFit="1" customWidth="1"/>
    <col min="9986" max="10239" width="9.23046875" style="233"/>
    <col min="10240" max="10240" width="11.53515625" style="233" bestFit="1" customWidth="1"/>
    <col min="10241" max="10241" width="47.3046875" style="233" bestFit="1" customWidth="1"/>
    <col min="10242" max="10495" width="9.23046875" style="233"/>
    <col min="10496" max="10496" width="11.53515625" style="233" bestFit="1" customWidth="1"/>
    <col min="10497" max="10497" width="47.3046875" style="233" bestFit="1" customWidth="1"/>
    <col min="10498" max="10751" width="9.23046875" style="233"/>
    <col min="10752" max="10752" width="11.53515625" style="233" bestFit="1" customWidth="1"/>
    <col min="10753" max="10753" width="47.3046875" style="233" bestFit="1" customWidth="1"/>
    <col min="10754" max="11007" width="9.23046875" style="233"/>
    <col min="11008" max="11008" width="11.53515625" style="233" bestFit="1" customWidth="1"/>
    <col min="11009" max="11009" width="47.3046875" style="233" bestFit="1" customWidth="1"/>
    <col min="11010" max="11263" width="9.23046875" style="233"/>
    <col min="11264" max="11264" width="11.53515625" style="233" bestFit="1" customWidth="1"/>
    <col min="11265" max="11265" width="47.3046875" style="233" bestFit="1" customWidth="1"/>
    <col min="11266" max="11519" width="9.23046875" style="233"/>
    <col min="11520" max="11520" width="11.53515625" style="233" bestFit="1" customWidth="1"/>
    <col min="11521" max="11521" width="47.3046875" style="233" bestFit="1" customWidth="1"/>
    <col min="11522" max="11775" width="9.23046875" style="233"/>
    <col min="11776" max="11776" width="11.53515625" style="233" bestFit="1" customWidth="1"/>
    <col min="11777" max="11777" width="47.3046875" style="233" bestFit="1" customWidth="1"/>
    <col min="11778" max="12031" width="9.23046875" style="233"/>
    <col min="12032" max="12032" width="11.53515625" style="233" bestFit="1" customWidth="1"/>
    <col min="12033" max="12033" width="47.3046875" style="233" bestFit="1" customWidth="1"/>
    <col min="12034" max="12287" width="9.23046875" style="233"/>
    <col min="12288" max="12288" width="11.53515625" style="233" bestFit="1" customWidth="1"/>
    <col min="12289" max="12289" width="47.3046875" style="233" bestFit="1" customWidth="1"/>
    <col min="12290" max="12543" width="9.23046875" style="233"/>
    <col min="12544" max="12544" width="11.53515625" style="233" bestFit="1" customWidth="1"/>
    <col min="12545" max="12545" width="47.3046875" style="233" bestFit="1" customWidth="1"/>
    <col min="12546" max="12799" width="9.23046875" style="233"/>
    <col min="12800" max="12800" width="11.53515625" style="233" bestFit="1" customWidth="1"/>
    <col min="12801" max="12801" width="47.3046875" style="233" bestFit="1" customWidth="1"/>
    <col min="12802" max="13055" width="9.23046875" style="233"/>
    <col min="13056" max="13056" width="11.53515625" style="233" bestFit="1" customWidth="1"/>
    <col min="13057" max="13057" width="47.3046875" style="233" bestFit="1" customWidth="1"/>
    <col min="13058" max="13311" width="9.23046875" style="233"/>
    <col min="13312" max="13312" width="11.53515625" style="233" bestFit="1" customWidth="1"/>
    <col min="13313" max="13313" width="47.3046875" style="233" bestFit="1" customWidth="1"/>
    <col min="13314" max="13567" width="9.23046875" style="233"/>
    <col min="13568" max="13568" width="11.53515625" style="233" bestFit="1" customWidth="1"/>
    <col min="13569" max="13569" width="47.3046875" style="233" bestFit="1" customWidth="1"/>
    <col min="13570" max="13823" width="9.23046875" style="233"/>
    <col min="13824" max="13824" width="11.53515625" style="233" bestFit="1" customWidth="1"/>
    <col min="13825" max="13825" width="47.3046875" style="233" bestFit="1" customWidth="1"/>
    <col min="13826" max="14079" width="9.23046875" style="233"/>
    <col min="14080" max="14080" width="11.53515625" style="233" bestFit="1" customWidth="1"/>
    <col min="14081" max="14081" width="47.3046875" style="233" bestFit="1" customWidth="1"/>
    <col min="14082" max="14335" width="9.23046875" style="233"/>
    <col min="14336" max="14336" width="11.53515625" style="233" bestFit="1" customWidth="1"/>
    <col min="14337" max="14337" width="47.3046875" style="233" bestFit="1" customWidth="1"/>
    <col min="14338" max="14591" width="9.23046875" style="233"/>
    <col min="14592" max="14592" width="11.53515625" style="233" bestFit="1" customWidth="1"/>
    <col min="14593" max="14593" width="47.3046875" style="233" bestFit="1" customWidth="1"/>
    <col min="14594" max="14847" width="9.23046875" style="233"/>
    <col min="14848" max="14848" width="11.53515625" style="233" bestFit="1" customWidth="1"/>
    <col min="14849" max="14849" width="47.3046875" style="233" bestFit="1" customWidth="1"/>
    <col min="14850" max="15103" width="9.23046875" style="233"/>
    <col min="15104" max="15104" width="11.53515625" style="233" bestFit="1" customWidth="1"/>
    <col min="15105" max="15105" width="47.3046875" style="233" bestFit="1" customWidth="1"/>
    <col min="15106" max="15359" width="9.23046875" style="233"/>
    <col min="15360" max="15360" width="11.53515625" style="233" bestFit="1" customWidth="1"/>
    <col min="15361" max="15361" width="47.3046875" style="233" bestFit="1" customWidth="1"/>
    <col min="15362" max="15615" width="9.23046875" style="233"/>
    <col min="15616" max="15616" width="11.53515625" style="233" bestFit="1" customWidth="1"/>
    <col min="15617" max="15617" width="47.3046875" style="233" bestFit="1" customWidth="1"/>
    <col min="15618" max="15871" width="9.23046875" style="233"/>
    <col min="15872" max="15872" width="11.53515625" style="233" bestFit="1" customWidth="1"/>
    <col min="15873" max="15873" width="47.3046875" style="233" bestFit="1" customWidth="1"/>
    <col min="15874" max="16127" width="9.23046875" style="233"/>
    <col min="16128" max="16128" width="11.53515625" style="233" bestFit="1" customWidth="1"/>
    <col min="16129" max="16129" width="47.3046875" style="233" bestFit="1" customWidth="1"/>
    <col min="16130" max="16384" width="9.23046875" style="233"/>
  </cols>
  <sheetData>
    <row r="1" spans="1:6" x14ac:dyDescent="0.4">
      <c r="A1" s="233" t="s">
        <v>366</v>
      </c>
    </row>
    <row r="3" spans="1:6" ht="14.6" x14ac:dyDescent="0.4">
      <c r="A3" s="233" t="s">
        <v>367</v>
      </c>
      <c r="B3" s="233" t="s">
        <v>368</v>
      </c>
      <c r="E3" s="237" t="s">
        <v>369</v>
      </c>
      <c r="F3" s="238" t="s">
        <v>370</v>
      </c>
    </row>
    <row r="4" spans="1:6" x14ac:dyDescent="0.35">
      <c r="A4" s="234">
        <v>42460</v>
      </c>
      <c r="B4" s="235">
        <v>205.52</v>
      </c>
      <c r="E4" s="239">
        <v>44286</v>
      </c>
      <c r="F4" s="238">
        <v>396.33</v>
      </c>
    </row>
    <row r="5" spans="1:6" x14ac:dyDescent="0.35">
      <c r="A5" s="234">
        <v>42461</v>
      </c>
      <c r="B5" s="235">
        <v>206.92</v>
      </c>
      <c r="E5" s="239">
        <v>44255</v>
      </c>
      <c r="F5" s="238">
        <v>380.36</v>
      </c>
    </row>
    <row r="6" spans="1:6" x14ac:dyDescent="0.35">
      <c r="A6" s="234">
        <v>42464</v>
      </c>
      <c r="B6" s="235">
        <v>206.25</v>
      </c>
      <c r="E6" s="239">
        <v>44227</v>
      </c>
      <c r="F6" s="238">
        <v>370.07</v>
      </c>
    </row>
    <row r="7" spans="1:6" x14ac:dyDescent="0.35">
      <c r="A7" s="234">
        <v>42465</v>
      </c>
      <c r="B7" s="235">
        <v>204.1892</v>
      </c>
      <c r="E7" s="239">
        <v>44196</v>
      </c>
      <c r="F7" s="238">
        <v>373.88</v>
      </c>
    </row>
    <row r="8" spans="1:6" x14ac:dyDescent="0.35">
      <c r="A8" s="234">
        <v>42466</v>
      </c>
      <c r="B8" s="235">
        <v>206.42</v>
      </c>
      <c r="E8" s="239">
        <v>44165</v>
      </c>
      <c r="F8" s="238">
        <v>362.06</v>
      </c>
    </row>
    <row r="9" spans="1:6" x14ac:dyDescent="0.35">
      <c r="A9" s="234">
        <v>42467</v>
      </c>
      <c r="B9" s="235">
        <v>203.95</v>
      </c>
      <c r="E9" s="239">
        <v>44135</v>
      </c>
      <c r="F9" s="238">
        <v>326.54000000000002</v>
      </c>
    </row>
    <row r="10" spans="1:6" x14ac:dyDescent="0.35">
      <c r="A10" s="234">
        <v>42468</v>
      </c>
      <c r="B10" s="235">
        <v>204.4992</v>
      </c>
      <c r="E10" s="239">
        <v>44104</v>
      </c>
      <c r="F10" s="238">
        <v>334.89</v>
      </c>
    </row>
    <row r="11" spans="1:6" x14ac:dyDescent="0.35">
      <c r="A11" s="234">
        <v>42471</v>
      </c>
      <c r="B11" s="235">
        <v>204.02010000000001</v>
      </c>
      <c r="E11" s="239">
        <v>44074</v>
      </c>
      <c r="F11" s="238">
        <v>349.31</v>
      </c>
    </row>
    <row r="12" spans="1:6" x14ac:dyDescent="0.35">
      <c r="A12" s="234">
        <v>42472</v>
      </c>
      <c r="B12" s="235">
        <v>205.92</v>
      </c>
      <c r="E12" s="239">
        <v>44043</v>
      </c>
      <c r="F12" s="238">
        <v>326.52</v>
      </c>
    </row>
    <row r="13" spans="1:6" x14ac:dyDescent="0.35">
      <c r="A13" s="234">
        <v>42473</v>
      </c>
      <c r="B13" s="235">
        <v>208.0008</v>
      </c>
      <c r="E13" s="239">
        <v>44012</v>
      </c>
      <c r="F13" s="238">
        <v>308.36</v>
      </c>
    </row>
    <row r="14" spans="1:6" x14ac:dyDescent="0.35">
      <c r="A14" s="234">
        <v>42474</v>
      </c>
      <c r="B14" s="235">
        <v>208.01</v>
      </c>
      <c r="E14" s="239">
        <v>43982</v>
      </c>
      <c r="F14" s="238">
        <v>304.32</v>
      </c>
    </row>
    <row r="15" spans="1:6" x14ac:dyDescent="0.35">
      <c r="A15" s="234">
        <v>42475</v>
      </c>
      <c r="B15" s="235">
        <v>207.78</v>
      </c>
      <c r="E15" s="239">
        <v>43951</v>
      </c>
      <c r="F15" s="238">
        <v>290.48</v>
      </c>
    </row>
    <row r="16" spans="1:6" x14ac:dyDescent="0.35">
      <c r="A16" s="234">
        <v>42478</v>
      </c>
      <c r="B16" s="235">
        <v>209.23920000000001</v>
      </c>
      <c r="E16" s="239">
        <v>43921</v>
      </c>
      <c r="F16" s="238">
        <v>257.75</v>
      </c>
    </row>
    <row r="17" spans="1:6" x14ac:dyDescent="0.35">
      <c r="A17" s="234">
        <v>42479</v>
      </c>
      <c r="B17" s="235">
        <v>209.9</v>
      </c>
      <c r="E17" s="239">
        <v>43890</v>
      </c>
      <c r="F17" s="238">
        <v>296.26</v>
      </c>
    </row>
    <row r="18" spans="1:6" x14ac:dyDescent="0.35">
      <c r="A18" s="234">
        <v>42480</v>
      </c>
      <c r="B18" s="235">
        <v>210.1</v>
      </c>
      <c r="E18" s="239">
        <v>43861</v>
      </c>
      <c r="F18" s="238">
        <v>321.73</v>
      </c>
    </row>
    <row r="19" spans="1:6" x14ac:dyDescent="0.35">
      <c r="A19" s="234">
        <v>42481</v>
      </c>
      <c r="B19" s="235">
        <v>208.97</v>
      </c>
      <c r="E19" s="239">
        <v>43830</v>
      </c>
      <c r="F19" s="238">
        <v>321.86</v>
      </c>
    </row>
    <row r="20" spans="1:6" x14ac:dyDescent="0.35">
      <c r="A20" s="234">
        <v>42482</v>
      </c>
      <c r="B20" s="235">
        <v>208.97</v>
      </c>
      <c r="E20" s="239">
        <v>43799</v>
      </c>
      <c r="F20" s="238">
        <v>314.31</v>
      </c>
    </row>
    <row r="21" spans="1:6" x14ac:dyDescent="0.35">
      <c r="A21" s="234">
        <v>42485</v>
      </c>
      <c r="B21" s="235">
        <v>208.61</v>
      </c>
      <c r="E21" s="239">
        <v>43769</v>
      </c>
      <c r="F21" s="238">
        <v>303.33</v>
      </c>
    </row>
    <row r="22" spans="1:6" x14ac:dyDescent="0.35">
      <c r="A22" s="234">
        <v>42486</v>
      </c>
      <c r="B22" s="235">
        <v>208.91919999999999</v>
      </c>
      <c r="E22" s="239">
        <v>43738</v>
      </c>
      <c r="F22" s="238">
        <v>296.77</v>
      </c>
    </row>
    <row r="23" spans="1:6" x14ac:dyDescent="0.35">
      <c r="A23" s="234">
        <v>42487</v>
      </c>
      <c r="B23" s="235">
        <v>209.35</v>
      </c>
      <c r="E23" s="239">
        <v>43708</v>
      </c>
      <c r="F23" s="238">
        <v>292.45</v>
      </c>
    </row>
    <row r="24" spans="1:6" x14ac:dyDescent="0.35">
      <c r="A24" s="234">
        <v>42488</v>
      </c>
      <c r="B24" s="235">
        <v>207.44749999999999</v>
      </c>
      <c r="E24" s="239">
        <v>43677</v>
      </c>
      <c r="F24" s="238">
        <v>297.43</v>
      </c>
    </row>
    <row r="25" spans="1:6" x14ac:dyDescent="0.35">
      <c r="A25" s="234">
        <v>42489</v>
      </c>
      <c r="B25" s="235">
        <v>206.33080000000001</v>
      </c>
      <c r="E25" s="239">
        <v>43646</v>
      </c>
      <c r="F25" s="238">
        <v>293</v>
      </c>
    </row>
    <row r="26" spans="1:6" x14ac:dyDescent="0.35">
      <c r="A26" s="234">
        <v>42492</v>
      </c>
      <c r="B26" s="235">
        <v>207.97</v>
      </c>
      <c r="E26" s="239">
        <v>43616</v>
      </c>
      <c r="F26" s="238">
        <v>275.27</v>
      </c>
    </row>
    <row r="27" spans="1:6" x14ac:dyDescent="0.35">
      <c r="A27" s="234">
        <v>42493</v>
      </c>
      <c r="B27" s="235">
        <v>206.1592</v>
      </c>
      <c r="E27" s="239">
        <v>43585</v>
      </c>
      <c r="F27" s="238">
        <v>294.02</v>
      </c>
    </row>
    <row r="28" spans="1:6" x14ac:dyDescent="0.35">
      <c r="A28" s="234">
        <v>42494</v>
      </c>
      <c r="B28" s="235">
        <v>205.01</v>
      </c>
      <c r="E28" s="239">
        <v>43555</v>
      </c>
      <c r="F28" s="238">
        <v>282.48</v>
      </c>
    </row>
    <row r="29" spans="1:6" x14ac:dyDescent="0.35">
      <c r="A29" s="234">
        <v>42495</v>
      </c>
      <c r="B29" s="235">
        <v>204.97</v>
      </c>
      <c r="E29" s="239">
        <v>43524</v>
      </c>
      <c r="F29" s="238">
        <v>278.68</v>
      </c>
    </row>
    <row r="30" spans="1:6" x14ac:dyDescent="0.35">
      <c r="A30" s="234">
        <v>42496</v>
      </c>
      <c r="B30" s="235">
        <v>205.72</v>
      </c>
      <c r="E30" s="239">
        <v>43496</v>
      </c>
      <c r="F30" s="238">
        <v>269.93</v>
      </c>
    </row>
    <row r="31" spans="1:6" x14ac:dyDescent="0.35">
      <c r="A31" s="234">
        <v>42499</v>
      </c>
      <c r="B31" s="235">
        <v>205.88919999999999</v>
      </c>
      <c r="E31" s="239">
        <v>43465</v>
      </c>
      <c r="F31" s="238">
        <v>249.92</v>
      </c>
    </row>
    <row r="32" spans="1:6" x14ac:dyDescent="0.35">
      <c r="A32" s="234">
        <v>42500</v>
      </c>
      <c r="B32" s="235">
        <v>208.45</v>
      </c>
      <c r="E32" s="239">
        <v>43434</v>
      </c>
      <c r="F32" s="238">
        <v>275.64999999999998</v>
      </c>
    </row>
    <row r="33" spans="1:6" x14ac:dyDescent="0.35">
      <c r="A33" s="234">
        <v>42501</v>
      </c>
      <c r="B33" s="235">
        <v>206.5</v>
      </c>
      <c r="E33" s="239">
        <v>43404</v>
      </c>
      <c r="F33" s="238">
        <v>270.63</v>
      </c>
    </row>
    <row r="34" spans="1:6" x14ac:dyDescent="0.35">
      <c r="A34" s="234">
        <v>42502</v>
      </c>
      <c r="B34" s="235">
        <v>206.56</v>
      </c>
      <c r="E34" s="239">
        <v>43373</v>
      </c>
      <c r="F34" s="238">
        <v>290.72000000000003</v>
      </c>
    </row>
    <row r="35" spans="1:6" x14ac:dyDescent="0.35">
      <c r="A35" s="234">
        <v>42503</v>
      </c>
      <c r="B35" s="235">
        <v>204.76</v>
      </c>
      <c r="E35" s="239">
        <v>43343</v>
      </c>
      <c r="F35" s="238">
        <v>290.31</v>
      </c>
    </row>
    <row r="36" spans="1:6" x14ac:dyDescent="0.35">
      <c r="A36" s="234">
        <v>42506</v>
      </c>
      <c r="B36" s="235">
        <v>206.78</v>
      </c>
      <c r="E36" s="239">
        <v>43312</v>
      </c>
      <c r="F36" s="238">
        <v>281.33</v>
      </c>
    </row>
    <row r="37" spans="1:6" x14ac:dyDescent="0.35">
      <c r="A37" s="234">
        <v>42507</v>
      </c>
      <c r="B37" s="235">
        <v>204.85079999999999</v>
      </c>
      <c r="E37" s="239">
        <v>43281</v>
      </c>
      <c r="F37" s="238">
        <v>271.27999999999997</v>
      </c>
    </row>
    <row r="38" spans="1:6" x14ac:dyDescent="0.35">
      <c r="A38" s="234">
        <v>42508</v>
      </c>
      <c r="B38" s="235">
        <v>204.91</v>
      </c>
      <c r="E38" s="239">
        <v>43251</v>
      </c>
      <c r="F38" s="238">
        <v>270.94</v>
      </c>
    </row>
    <row r="39" spans="1:6" x14ac:dyDescent="0.35">
      <c r="A39" s="234">
        <v>42509</v>
      </c>
      <c r="B39" s="235">
        <v>204.2</v>
      </c>
      <c r="E39" s="239">
        <v>43220</v>
      </c>
      <c r="F39" s="238">
        <v>264.51</v>
      </c>
    </row>
    <row r="40" spans="1:6" x14ac:dyDescent="0.35">
      <c r="A40" s="234">
        <v>42510</v>
      </c>
      <c r="B40" s="235">
        <v>205.49</v>
      </c>
      <c r="E40" s="239">
        <v>43190</v>
      </c>
      <c r="F40" s="238">
        <v>263.14999999999998</v>
      </c>
    </row>
    <row r="41" spans="1:6" x14ac:dyDescent="0.35">
      <c r="A41" s="234">
        <v>42513</v>
      </c>
      <c r="B41" s="235">
        <v>205.21</v>
      </c>
      <c r="E41" s="239">
        <v>43159</v>
      </c>
      <c r="F41" s="238">
        <v>271.64999999999998</v>
      </c>
    </row>
    <row r="42" spans="1:6" x14ac:dyDescent="0.35">
      <c r="A42" s="234">
        <v>42514</v>
      </c>
      <c r="B42" s="235">
        <v>207.87</v>
      </c>
      <c r="E42" s="239">
        <v>43131</v>
      </c>
      <c r="F42" s="238">
        <v>281.89999999999998</v>
      </c>
    </row>
    <row r="43" spans="1:6" x14ac:dyDescent="0.35">
      <c r="A43" s="234">
        <v>42515</v>
      </c>
      <c r="B43" s="235">
        <v>209.28</v>
      </c>
      <c r="E43" s="239">
        <v>43100</v>
      </c>
      <c r="F43" s="238">
        <v>266.86</v>
      </c>
    </row>
    <row r="44" spans="1:6" x14ac:dyDescent="0.35">
      <c r="A44" s="234">
        <v>42516</v>
      </c>
      <c r="B44" s="235">
        <v>209.34</v>
      </c>
      <c r="E44" s="239">
        <v>43069</v>
      </c>
      <c r="F44" s="238">
        <v>265.01</v>
      </c>
    </row>
    <row r="45" spans="1:6" x14ac:dyDescent="0.35">
      <c r="A45" s="234">
        <v>42517</v>
      </c>
      <c r="B45" s="235">
        <v>210.24</v>
      </c>
      <c r="E45" s="239">
        <v>43039</v>
      </c>
      <c r="F45" s="238">
        <v>257.14999999999998</v>
      </c>
    </row>
    <row r="46" spans="1:6" x14ac:dyDescent="0.35">
      <c r="A46" s="234">
        <v>42521</v>
      </c>
      <c r="B46" s="235">
        <v>209.84</v>
      </c>
      <c r="E46" s="239">
        <v>43008</v>
      </c>
      <c r="F46" s="238">
        <v>251.23</v>
      </c>
    </row>
    <row r="47" spans="1:6" x14ac:dyDescent="0.35">
      <c r="A47" s="234">
        <v>42522</v>
      </c>
      <c r="B47" s="235">
        <v>210.27</v>
      </c>
      <c r="E47" s="239">
        <v>42978</v>
      </c>
      <c r="F47" s="238">
        <v>247.49</v>
      </c>
    </row>
    <row r="48" spans="1:6" x14ac:dyDescent="0.35">
      <c r="A48" s="234">
        <v>42523</v>
      </c>
      <c r="B48" s="235">
        <v>210.91</v>
      </c>
      <c r="E48" s="239">
        <v>42947</v>
      </c>
      <c r="F48" s="238">
        <v>246.77</v>
      </c>
    </row>
    <row r="49" spans="1:6" x14ac:dyDescent="0.35">
      <c r="A49" s="234">
        <v>42524</v>
      </c>
      <c r="B49" s="235">
        <v>210.28</v>
      </c>
      <c r="E49" s="239">
        <v>42916</v>
      </c>
      <c r="F49" s="238">
        <v>241.8</v>
      </c>
    </row>
    <row r="50" spans="1:6" x14ac:dyDescent="0.35">
      <c r="A50" s="234">
        <v>42527</v>
      </c>
      <c r="B50" s="235">
        <v>211.35</v>
      </c>
      <c r="E50" s="239">
        <v>42886</v>
      </c>
      <c r="F50" s="238">
        <v>241.44</v>
      </c>
    </row>
    <row r="51" spans="1:6" x14ac:dyDescent="0.35">
      <c r="A51" s="234">
        <v>42528</v>
      </c>
      <c r="B51" s="235">
        <v>211.68</v>
      </c>
      <c r="E51" s="239">
        <v>42855</v>
      </c>
      <c r="F51" s="238">
        <v>238.08</v>
      </c>
    </row>
    <row r="52" spans="1:6" x14ac:dyDescent="0.35">
      <c r="A52" s="234">
        <v>42529</v>
      </c>
      <c r="B52" s="235">
        <v>212.37</v>
      </c>
      <c r="E52" s="239">
        <v>42825</v>
      </c>
      <c r="F52" s="238">
        <v>235.74</v>
      </c>
    </row>
    <row r="53" spans="1:6" x14ac:dyDescent="0.35">
      <c r="A53" s="234">
        <v>42530</v>
      </c>
      <c r="B53" s="235">
        <v>212.08</v>
      </c>
      <c r="E53" s="239">
        <v>42794</v>
      </c>
      <c r="F53" s="238">
        <v>236.47</v>
      </c>
    </row>
    <row r="54" spans="1:6" x14ac:dyDescent="0.35">
      <c r="A54" s="234">
        <v>42531</v>
      </c>
      <c r="B54" s="235">
        <v>210.07</v>
      </c>
      <c r="E54" s="239">
        <v>42766</v>
      </c>
      <c r="F54" s="238">
        <v>227.53</v>
      </c>
    </row>
    <row r="55" spans="1:6" x14ac:dyDescent="0.35">
      <c r="A55" s="234">
        <v>42534</v>
      </c>
      <c r="B55" s="235">
        <v>208.44919999999999</v>
      </c>
      <c r="E55" s="239">
        <v>42735</v>
      </c>
      <c r="F55" s="238">
        <v>223.53</v>
      </c>
    </row>
    <row r="56" spans="1:6" x14ac:dyDescent="0.35">
      <c r="A56" s="234">
        <v>42535</v>
      </c>
      <c r="B56" s="235">
        <v>208.04</v>
      </c>
      <c r="E56" s="239">
        <v>42704</v>
      </c>
      <c r="F56" s="238">
        <v>220.38</v>
      </c>
    </row>
    <row r="57" spans="1:6" x14ac:dyDescent="0.35">
      <c r="A57" s="234">
        <v>42536</v>
      </c>
      <c r="B57" s="235">
        <v>207.75</v>
      </c>
      <c r="E57" s="239">
        <v>42674</v>
      </c>
      <c r="F57" s="238">
        <v>212.55</v>
      </c>
    </row>
    <row r="58" spans="1:6" x14ac:dyDescent="0.35">
      <c r="A58" s="234">
        <v>42537</v>
      </c>
      <c r="B58" s="235">
        <v>208.37</v>
      </c>
      <c r="E58" s="239">
        <v>42643</v>
      </c>
      <c r="F58" s="238">
        <v>216.3</v>
      </c>
    </row>
    <row r="59" spans="1:6" x14ac:dyDescent="0.35">
      <c r="A59" s="234">
        <v>42538</v>
      </c>
      <c r="B59" s="235">
        <v>206.52</v>
      </c>
      <c r="E59" s="239">
        <v>42613</v>
      </c>
      <c r="F59" s="238">
        <v>217.38</v>
      </c>
    </row>
    <row r="60" spans="1:6" x14ac:dyDescent="0.35">
      <c r="A60" s="234">
        <v>42541</v>
      </c>
      <c r="B60" s="235">
        <v>207.85</v>
      </c>
      <c r="E60" s="239">
        <v>42582</v>
      </c>
      <c r="F60" s="238">
        <v>217.12</v>
      </c>
    </row>
    <row r="61" spans="1:6" x14ac:dyDescent="0.35">
      <c r="A61" s="234">
        <v>42542</v>
      </c>
      <c r="B61" s="235">
        <v>208.44</v>
      </c>
      <c r="E61" s="239">
        <v>42551</v>
      </c>
      <c r="F61" s="238">
        <v>209.47499999999999</v>
      </c>
    </row>
    <row r="62" spans="1:6" x14ac:dyDescent="0.35">
      <c r="A62" s="234">
        <v>42543</v>
      </c>
      <c r="B62" s="235">
        <v>208.1</v>
      </c>
      <c r="E62" s="239">
        <v>42521</v>
      </c>
      <c r="F62" s="238">
        <v>209.84</v>
      </c>
    </row>
    <row r="63" spans="1:6" x14ac:dyDescent="0.35">
      <c r="A63" s="234">
        <v>42544</v>
      </c>
      <c r="B63" s="235">
        <v>210.81</v>
      </c>
      <c r="E63" s="239">
        <v>42490</v>
      </c>
      <c r="F63" s="238">
        <v>206.33080000000001</v>
      </c>
    </row>
    <row r="64" spans="1:6" x14ac:dyDescent="0.4">
      <c r="A64" s="234">
        <v>42545</v>
      </c>
      <c r="B64" s="235">
        <v>203.13</v>
      </c>
    </row>
    <row r="65" spans="1:2" x14ac:dyDescent="0.4">
      <c r="A65" s="234">
        <v>42548</v>
      </c>
      <c r="B65" s="235">
        <v>199.6</v>
      </c>
    </row>
    <row r="66" spans="1:2" x14ac:dyDescent="0.4">
      <c r="A66" s="234">
        <v>42549</v>
      </c>
      <c r="B66" s="235">
        <v>203.19970000000001</v>
      </c>
    </row>
    <row r="67" spans="1:2" x14ac:dyDescent="0.4">
      <c r="A67" s="234">
        <v>42550</v>
      </c>
      <c r="B67" s="235">
        <v>206.66</v>
      </c>
    </row>
    <row r="68" spans="1:2" x14ac:dyDescent="0.4">
      <c r="A68" s="234">
        <v>42551</v>
      </c>
      <c r="B68" s="235">
        <v>209.47499999999999</v>
      </c>
    </row>
    <row r="69" spans="1:2" x14ac:dyDescent="0.4">
      <c r="A69" s="234">
        <v>42552</v>
      </c>
      <c r="B69" s="235">
        <v>209.92080000000001</v>
      </c>
    </row>
    <row r="70" spans="1:2" x14ac:dyDescent="0.4">
      <c r="A70" s="234">
        <v>42556</v>
      </c>
      <c r="B70" s="235">
        <v>208.41</v>
      </c>
    </row>
    <row r="71" spans="1:2" x14ac:dyDescent="0.4">
      <c r="A71" s="234">
        <v>42557</v>
      </c>
      <c r="B71" s="235">
        <v>209.66</v>
      </c>
    </row>
    <row r="72" spans="1:2" x14ac:dyDescent="0.4">
      <c r="A72" s="234">
        <v>42558</v>
      </c>
      <c r="B72" s="235">
        <v>209.52600000000001</v>
      </c>
    </row>
    <row r="73" spans="1:2" x14ac:dyDescent="0.4">
      <c r="A73" s="234">
        <v>42559</v>
      </c>
      <c r="B73" s="235">
        <v>212.65</v>
      </c>
    </row>
    <row r="74" spans="1:2" x14ac:dyDescent="0.4">
      <c r="A74" s="234">
        <v>42562</v>
      </c>
      <c r="B74" s="235">
        <v>213.4</v>
      </c>
    </row>
    <row r="75" spans="1:2" x14ac:dyDescent="0.4">
      <c r="A75" s="234">
        <v>42563</v>
      </c>
      <c r="B75" s="235">
        <v>214.95</v>
      </c>
    </row>
    <row r="76" spans="1:2" x14ac:dyDescent="0.4">
      <c r="A76" s="234">
        <v>42564</v>
      </c>
      <c r="B76" s="235">
        <v>214.92</v>
      </c>
    </row>
    <row r="77" spans="1:2" x14ac:dyDescent="0.4">
      <c r="A77" s="234">
        <v>42565</v>
      </c>
      <c r="B77" s="235">
        <v>216.12</v>
      </c>
    </row>
    <row r="78" spans="1:2" x14ac:dyDescent="0.4">
      <c r="A78" s="234">
        <v>42566</v>
      </c>
      <c r="B78" s="235">
        <v>215.83</v>
      </c>
    </row>
    <row r="79" spans="1:2" x14ac:dyDescent="0.4">
      <c r="A79" s="234">
        <v>42569</v>
      </c>
      <c r="B79" s="235">
        <v>216.4092</v>
      </c>
    </row>
    <row r="80" spans="1:2" x14ac:dyDescent="0.4">
      <c r="A80" s="234">
        <v>42570</v>
      </c>
      <c r="B80" s="235">
        <v>216.19</v>
      </c>
    </row>
    <row r="81" spans="1:2" x14ac:dyDescent="0.4">
      <c r="A81" s="234">
        <v>42571</v>
      </c>
      <c r="B81" s="235">
        <v>217.08500000000001</v>
      </c>
    </row>
    <row r="82" spans="1:2" x14ac:dyDescent="0.4">
      <c r="A82" s="234">
        <v>42572</v>
      </c>
      <c r="B82" s="235">
        <v>216.26499999999999</v>
      </c>
    </row>
    <row r="83" spans="1:2" x14ac:dyDescent="0.4">
      <c r="A83" s="234">
        <v>42573</v>
      </c>
      <c r="B83" s="235">
        <v>217.24</v>
      </c>
    </row>
    <row r="84" spans="1:2" x14ac:dyDescent="0.4">
      <c r="A84" s="234">
        <v>42576</v>
      </c>
      <c r="B84" s="235">
        <v>216.65</v>
      </c>
    </row>
    <row r="85" spans="1:2" x14ac:dyDescent="0.4">
      <c r="A85" s="234">
        <v>42577</v>
      </c>
      <c r="B85" s="235">
        <v>216.75</v>
      </c>
    </row>
    <row r="86" spans="1:2" x14ac:dyDescent="0.4">
      <c r="A86" s="234">
        <v>42578</v>
      </c>
      <c r="B86" s="235">
        <v>216.52</v>
      </c>
    </row>
    <row r="87" spans="1:2" x14ac:dyDescent="0.4">
      <c r="A87" s="234">
        <v>42579</v>
      </c>
      <c r="B87" s="235">
        <v>216.77</v>
      </c>
    </row>
    <row r="88" spans="1:2" x14ac:dyDescent="0.4">
      <c r="A88" s="234">
        <v>42580</v>
      </c>
      <c r="B88" s="235">
        <v>217.12</v>
      </c>
    </row>
    <row r="89" spans="1:2" x14ac:dyDescent="0.4">
      <c r="A89" s="234">
        <v>42583</v>
      </c>
      <c r="B89" s="235">
        <v>216.94</v>
      </c>
    </row>
    <row r="90" spans="1:2" x14ac:dyDescent="0.4">
      <c r="A90" s="234">
        <v>42584</v>
      </c>
      <c r="B90" s="235">
        <v>215.54920000000001</v>
      </c>
    </row>
    <row r="91" spans="1:2" x14ac:dyDescent="0.4">
      <c r="A91" s="234">
        <v>42585</v>
      </c>
      <c r="B91" s="235">
        <v>216.18</v>
      </c>
    </row>
    <row r="92" spans="1:2" x14ac:dyDescent="0.4">
      <c r="A92" s="234">
        <v>42586</v>
      </c>
      <c r="B92" s="235">
        <v>216.40969999999999</v>
      </c>
    </row>
    <row r="93" spans="1:2" x14ac:dyDescent="0.4">
      <c r="A93" s="234">
        <v>42587</v>
      </c>
      <c r="B93" s="235">
        <v>218.18</v>
      </c>
    </row>
    <row r="94" spans="1:2" x14ac:dyDescent="0.4">
      <c r="A94" s="234">
        <v>42590</v>
      </c>
      <c r="B94" s="235">
        <v>218.05</v>
      </c>
    </row>
    <row r="95" spans="1:2" x14ac:dyDescent="0.4">
      <c r="A95" s="234">
        <v>42591</v>
      </c>
      <c r="B95" s="235">
        <v>218.18</v>
      </c>
    </row>
    <row r="96" spans="1:2" x14ac:dyDescent="0.4">
      <c r="A96" s="234">
        <v>42592</v>
      </c>
      <c r="B96" s="235">
        <v>217.64</v>
      </c>
    </row>
    <row r="97" spans="1:2" x14ac:dyDescent="0.4">
      <c r="A97" s="234">
        <v>42593</v>
      </c>
      <c r="B97" s="235">
        <v>218.65</v>
      </c>
    </row>
    <row r="98" spans="1:2" x14ac:dyDescent="0.4">
      <c r="A98" s="234">
        <v>42594</v>
      </c>
      <c r="B98" s="235">
        <v>218.46</v>
      </c>
    </row>
    <row r="99" spans="1:2" x14ac:dyDescent="0.4">
      <c r="A99" s="234">
        <v>42597</v>
      </c>
      <c r="B99" s="235">
        <v>219.09</v>
      </c>
    </row>
    <row r="100" spans="1:2" x14ac:dyDescent="0.4">
      <c r="A100" s="234">
        <v>42598</v>
      </c>
      <c r="B100" s="235">
        <v>217.96</v>
      </c>
    </row>
    <row r="101" spans="1:2" x14ac:dyDescent="0.4">
      <c r="A101" s="234">
        <v>42599</v>
      </c>
      <c r="B101" s="235">
        <v>218.37</v>
      </c>
    </row>
    <row r="102" spans="1:2" x14ac:dyDescent="0.4">
      <c r="A102" s="234">
        <v>42600</v>
      </c>
      <c r="B102" s="235">
        <v>218.86</v>
      </c>
    </row>
    <row r="103" spans="1:2" x14ac:dyDescent="0.4">
      <c r="A103" s="234">
        <v>42601</v>
      </c>
      <c r="B103" s="235">
        <v>218.54</v>
      </c>
    </row>
    <row r="104" spans="1:2" x14ac:dyDescent="0.4">
      <c r="A104" s="234">
        <v>42604</v>
      </c>
      <c r="B104" s="235">
        <v>218.53</v>
      </c>
    </row>
    <row r="105" spans="1:2" x14ac:dyDescent="0.4">
      <c r="A105" s="234">
        <v>42605</v>
      </c>
      <c r="B105" s="235">
        <v>218.97</v>
      </c>
    </row>
    <row r="106" spans="1:2" x14ac:dyDescent="0.4">
      <c r="A106" s="234">
        <v>42606</v>
      </c>
      <c r="B106" s="235">
        <v>217.85</v>
      </c>
    </row>
    <row r="107" spans="1:2" x14ac:dyDescent="0.4">
      <c r="A107" s="234">
        <v>42607</v>
      </c>
      <c r="B107" s="235">
        <v>217.7</v>
      </c>
    </row>
    <row r="108" spans="1:2" x14ac:dyDescent="0.4">
      <c r="A108" s="234">
        <v>42608</v>
      </c>
      <c r="B108" s="235">
        <v>217.29</v>
      </c>
    </row>
    <row r="109" spans="1:2" x14ac:dyDescent="0.4">
      <c r="A109" s="234">
        <v>42611</v>
      </c>
      <c r="B109" s="235">
        <v>218.36080000000001</v>
      </c>
    </row>
    <row r="110" spans="1:2" x14ac:dyDescent="0.4">
      <c r="A110" s="234">
        <v>42612</v>
      </c>
      <c r="B110" s="235">
        <v>218</v>
      </c>
    </row>
    <row r="111" spans="1:2" x14ac:dyDescent="0.4">
      <c r="A111" s="234">
        <v>42613</v>
      </c>
      <c r="B111" s="235">
        <v>217.38</v>
      </c>
    </row>
    <row r="112" spans="1:2" x14ac:dyDescent="0.4">
      <c r="A112" s="234">
        <v>42614</v>
      </c>
      <c r="B112" s="235">
        <v>217.39</v>
      </c>
    </row>
    <row r="113" spans="1:2" x14ac:dyDescent="0.4">
      <c r="A113" s="234">
        <v>42615</v>
      </c>
      <c r="B113" s="235">
        <v>218.37</v>
      </c>
    </row>
    <row r="114" spans="1:2" x14ac:dyDescent="0.4">
      <c r="A114" s="234">
        <v>42619</v>
      </c>
      <c r="B114" s="235">
        <v>219.0308</v>
      </c>
    </row>
    <row r="115" spans="1:2" x14ac:dyDescent="0.4">
      <c r="A115" s="234">
        <v>42620</v>
      </c>
      <c r="B115" s="235">
        <v>219.01</v>
      </c>
    </row>
    <row r="116" spans="1:2" x14ac:dyDescent="0.4">
      <c r="A116" s="234">
        <v>42621</v>
      </c>
      <c r="B116" s="235">
        <v>218.51</v>
      </c>
    </row>
    <row r="117" spans="1:2" x14ac:dyDescent="0.4">
      <c r="A117" s="234">
        <v>42622</v>
      </c>
      <c r="B117" s="235">
        <v>213.28</v>
      </c>
    </row>
    <row r="118" spans="1:2" x14ac:dyDescent="0.4">
      <c r="A118" s="234">
        <v>42625</v>
      </c>
      <c r="B118" s="235">
        <v>216.34</v>
      </c>
    </row>
    <row r="119" spans="1:2" x14ac:dyDescent="0.4">
      <c r="A119" s="234">
        <v>42626</v>
      </c>
      <c r="B119" s="235">
        <v>213.23</v>
      </c>
    </row>
    <row r="120" spans="1:2" x14ac:dyDescent="0.4">
      <c r="A120" s="234">
        <v>42627</v>
      </c>
      <c r="B120" s="235">
        <v>213.15</v>
      </c>
    </row>
    <row r="121" spans="1:2" x14ac:dyDescent="0.4">
      <c r="A121" s="234">
        <v>42628</v>
      </c>
      <c r="B121" s="235">
        <v>215.28</v>
      </c>
    </row>
    <row r="122" spans="1:2" x14ac:dyDescent="0.4">
      <c r="A122" s="234">
        <v>42629</v>
      </c>
      <c r="B122" s="235">
        <v>213.37</v>
      </c>
    </row>
    <row r="123" spans="1:2" x14ac:dyDescent="0.4">
      <c r="A123" s="234">
        <v>42632</v>
      </c>
      <c r="B123" s="235">
        <v>213.41</v>
      </c>
    </row>
    <row r="124" spans="1:2" x14ac:dyDescent="0.4">
      <c r="A124" s="234">
        <v>42633</v>
      </c>
      <c r="B124" s="235">
        <v>213.42</v>
      </c>
    </row>
    <row r="125" spans="1:2" x14ac:dyDescent="0.4">
      <c r="A125" s="234">
        <v>42634</v>
      </c>
      <c r="B125" s="235">
        <v>215.82</v>
      </c>
    </row>
    <row r="126" spans="1:2" x14ac:dyDescent="0.4">
      <c r="A126" s="234">
        <v>42635</v>
      </c>
      <c r="B126" s="235">
        <v>217.18</v>
      </c>
    </row>
    <row r="127" spans="1:2" x14ac:dyDescent="0.4">
      <c r="A127" s="234">
        <v>42636</v>
      </c>
      <c r="B127" s="235">
        <v>215.99</v>
      </c>
    </row>
    <row r="128" spans="1:2" x14ac:dyDescent="0.4">
      <c r="A128" s="234">
        <v>42639</v>
      </c>
      <c r="B128" s="235">
        <v>214.24</v>
      </c>
    </row>
    <row r="129" spans="1:2" x14ac:dyDescent="0.4">
      <c r="A129" s="234">
        <v>42640</v>
      </c>
      <c r="B129" s="235">
        <v>215.57</v>
      </c>
    </row>
    <row r="130" spans="1:2" x14ac:dyDescent="0.4">
      <c r="A130" s="234">
        <v>42641</v>
      </c>
      <c r="B130" s="235">
        <v>216.64</v>
      </c>
    </row>
    <row r="131" spans="1:2" x14ac:dyDescent="0.4">
      <c r="A131" s="234">
        <v>42642</v>
      </c>
      <c r="B131" s="235">
        <v>214.68</v>
      </c>
    </row>
    <row r="132" spans="1:2" x14ac:dyDescent="0.4">
      <c r="A132" s="234">
        <v>42643</v>
      </c>
      <c r="B132" s="235">
        <v>216.3</v>
      </c>
    </row>
    <row r="133" spans="1:2" x14ac:dyDescent="0.4">
      <c r="A133" s="234">
        <v>42646</v>
      </c>
      <c r="B133" s="235">
        <v>215.78</v>
      </c>
    </row>
    <row r="134" spans="1:2" x14ac:dyDescent="0.4">
      <c r="A134" s="234">
        <v>42647</v>
      </c>
      <c r="B134" s="235">
        <v>214.68</v>
      </c>
    </row>
    <row r="135" spans="1:2" x14ac:dyDescent="0.4">
      <c r="A135" s="234">
        <v>42648</v>
      </c>
      <c r="B135" s="235">
        <v>215.63</v>
      </c>
    </row>
    <row r="136" spans="1:2" x14ac:dyDescent="0.4">
      <c r="A136" s="234">
        <v>42649</v>
      </c>
      <c r="B136" s="235">
        <v>215.78</v>
      </c>
    </row>
    <row r="137" spans="1:2" x14ac:dyDescent="0.4">
      <c r="A137" s="234">
        <v>42650</v>
      </c>
      <c r="B137" s="235">
        <v>215.04</v>
      </c>
    </row>
    <row r="138" spans="1:2" x14ac:dyDescent="0.4">
      <c r="A138" s="234">
        <v>42653</v>
      </c>
      <c r="B138" s="235">
        <v>216.16</v>
      </c>
    </row>
    <row r="139" spans="1:2" x14ac:dyDescent="0.4">
      <c r="A139" s="234">
        <v>42654</v>
      </c>
      <c r="B139" s="235">
        <v>213.43</v>
      </c>
    </row>
    <row r="140" spans="1:2" x14ac:dyDescent="0.4">
      <c r="A140" s="234">
        <v>42655</v>
      </c>
      <c r="B140" s="235">
        <v>213.71</v>
      </c>
    </row>
    <row r="141" spans="1:2" x14ac:dyDescent="0.4">
      <c r="A141" s="234">
        <v>42656</v>
      </c>
      <c r="B141" s="235">
        <v>213.01</v>
      </c>
    </row>
    <row r="142" spans="1:2" x14ac:dyDescent="0.4">
      <c r="A142" s="234">
        <v>42657</v>
      </c>
      <c r="B142" s="235">
        <v>213.12</v>
      </c>
    </row>
    <row r="143" spans="1:2" x14ac:dyDescent="0.4">
      <c r="A143" s="234">
        <v>42660</v>
      </c>
      <c r="B143" s="235">
        <v>212.38</v>
      </c>
    </row>
    <row r="144" spans="1:2" x14ac:dyDescent="0.4">
      <c r="A144" s="234">
        <v>42661</v>
      </c>
      <c r="B144" s="235">
        <v>213.71</v>
      </c>
    </row>
    <row r="145" spans="1:2" x14ac:dyDescent="0.4">
      <c r="A145" s="234">
        <v>42662</v>
      </c>
      <c r="B145" s="235">
        <v>214.28</v>
      </c>
    </row>
    <row r="146" spans="1:2" x14ac:dyDescent="0.4">
      <c r="A146" s="234">
        <v>42663</v>
      </c>
      <c r="B146" s="235">
        <v>213.88</v>
      </c>
    </row>
    <row r="147" spans="1:2" x14ac:dyDescent="0.4">
      <c r="A147" s="234">
        <v>42664</v>
      </c>
      <c r="B147" s="235">
        <v>213.98</v>
      </c>
    </row>
    <row r="148" spans="1:2" x14ac:dyDescent="0.4">
      <c r="A148" s="234">
        <v>42667</v>
      </c>
      <c r="B148" s="235">
        <v>214.89</v>
      </c>
    </row>
    <row r="149" spans="1:2" x14ac:dyDescent="0.4">
      <c r="A149" s="234">
        <v>42668</v>
      </c>
      <c r="B149" s="235">
        <v>214.17</v>
      </c>
    </row>
    <row r="150" spans="1:2" x14ac:dyDescent="0.4">
      <c r="A150" s="234">
        <v>42669</v>
      </c>
      <c r="B150" s="235">
        <v>213.74</v>
      </c>
    </row>
    <row r="151" spans="1:2" x14ac:dyDescent="0.4">
      <c r="A151" s="234">
        <v>42670</v>
      </c>
      <c r="B151" s="235">
        <v>213.17</v>
      </c>
    </row>
    <row r="152" spans="1:2" x14ac:dyDescent="0.4">
      <c r="A152" s="234">
        <v>42671</v>
      </c>
      <c r="B152" s="235">
        <v>212.54</v>
      </c>
    </row>
    <row r="153" spans="1:2" x14ac:dyDescent="0.4">
      <c r="A153" s="234">
        <v>42674</v>
      </c>
      <c r="B153" s="235">
        <v>212.55</v>
      </c>
    </row>
    <row r="154" spans="1:2" x14ac:dyDescent="0.4">
      <c r="A154" s="234">
        <v>42675</v>
      </c>
      <c r="B154" s="235">
        <v>211.01</v>
      </c>
    </row>
    <row r="155" spans="1:2" x14ac:dyDescent="0.4">
      <c r="A155" s="234">
        <v>42676</v>
      </c>
      <c r="B155" s="235">
        <v>209.74</v>
      </c>
    </row>
    <row r="156" spans="1:2" x14ac:dyDescent="0.4">
      <c r="A156" s="234">
        <v>42677</v>
      </c>
      <c r="B156" s="235">
        <v>208.78</v>
      </c>
    </row>
    <row r="157" spans="1:2" x14ac:dyDescent="0.4">
      <c r="A157" s="234">
        <v>42678</v>
      </c>
      <c r="B157" s="235">
        <v>208.55</v>
      </c>
    </row>
    <row r="158" spans="1:2" x14ac:dyDescent="0.4">
      <c r="A158" s="234">
        <v>42681</v>
      </c>
      <c r="B158" s="235">
        <v>213.15</v>
      </c>
    </row>
    <row r="159" spans="1:2" x14ac:dyDescent="0.4">
      <c r="A159" s="234">
        <v>42682</v>
      </c>
      <c r="B159" s="235">
        <v>214.11</v>
      </c>
    </row>
    <row r="160" spans="1:2" x14ac:dyDescent="0.4">
      <c r="A160" s="234">
        <v>42683</v>
      </c>
      <c r="B160" s="235">
        <v>216.3792</v>
      </c>
    </row>
    <row r="161" spans="1:2" x14ac:dyDescent="0.4">
      <c r="A161" s="234">
        <v>42684</v>
      </c>
      <c r="B161" s="235">
        <v>216.92</v>
      </c>
    </row>
    <row r="162" spans="1:2" x14ac:dyDescent="0.4">
      <c r="A162" s="234">
        <v>42685</v>
      </c>
      <c r="B162" s="235">
        <v>216.42</v>
      </c>
    </row>
    <row r="163" spans="1:2" x14ac:dyDescent="0.4">
      <c r="A163" s="234">
        <v>42688</v>
      </c>
      <c r="B163" s="235">
        <v>216.59</v>
      </c>
    </row>
    <row r="164" spans="1:2" x14ac:dyDescent="0.4">
      <c r="A164" s="234">
        <v>42689</v>
      </c>
      <c r="B164" s="235">
        <v>218.28</v>
      </c>
    </row>
    <row r="165" spans="1:2" x14ac:dyDescent="0.4">
      <c r="A165" s="234">
        <v>42690</v>
      </c>
      <c r="B165" s="235">
        <v>217.87</v>
      </c>
    </row>
    <row r="166" spans="1:2" x14ac:dyDescent="0.4">
      <c r="A166" s="234">
        <v>42691</v>
      </c>
      <c r="B166" s="235">
        <v>218.99</v>
      </c>
    </row>
    <row r="167" spans="1:2" x14ac:dyDescent="0.4">
      <c r="A167" s="234">
        <v>42692</v>
      </c>
      <c r="B167" s="235">
        <v>218.5</v>
      </c>
    </row>
    <row r="168" spans="1:2" x14ac:dyDescent="0.4">
      <c r="A168" s="234">
        <v>42695</v>
      </c>
      <c r="B168" s="235">
        <v>220.15</v>
      </c>
    </row>
    <row r="169" spans="1:2" x14ac:dyDescent="0.4">
      <c r="A169" s="234">
        <v>42696</v>
      </c>
      <c r="B169" s="235">
        <v>220.58</v>
      </c>
    </row>
    <row r="170" spans="1:2" x14ac:dyDescent="0.4">
      <c r="A170" s="234">
        <v>42697</v>
      </c>
      <c r="B170" s="235">
        <v>220.7</v>
      </c>
    </row>
    <row r="171" spans="1:2" x14ac:dyDescent="0.4">
      <c r="A171" s="234">
        <v>42699</v>
      </c>
      <c r="B171" s="235">
        <v>221.52</v>
      </c>
    </row>
    <row r="172" spans="1:2" x14ac:dyDescent="0.4">
      <c r="A172" s="234">
        <v>42702</v>
      </c>
      <c r="B172" s="235">
        <v>220.48</v>
      </c>
    </row>
    <row r="173" spans="1:2" x14ac:dyDescent="0.4">
      <c r="A173" s="234">
        <v>42703</v>
      </c>
      <c r="B173" s="235">
        <v>220.91</v>
      </c>
    </row>
    <row r="174" spans="1:2" x14ac:dyDescent="0.4">
      <c r="A174" s="234">
        <v>42704</v>
      </c>
      <c r="B174" s="235">
        <v>220.38</v>
      </c>
    </row>
    <row r="175" spans="1:2" x14ac:dyDescent="0.4">
      <c r="A175" s="234">
        <v>42705</v>
      </c>
      <c r="B175" s="235">
        <v>219.57</v>
      </c>
    </row>
    <row r="176" spans="1:2" x14ac:dyDescent="0.4">
      <c r="A176" s="234">
        <v>42706</v>
      </c>
      <c r="B176" s="235">
        <v>219.68</v>
      </c>
    </row>
    <row r="177" spans="1:2" x14ac:dyDescent="0.4">
      <c r="A177" s="234">
        <v>42709</v>
      </c>
      <c r="B177" s="235">
        <v>221</v>
      </c>
    </row>
    <row r="178" spans="1:2" x14ac:dyDescent="0.4">
      <c r="A178" s="234">
        <v>42710</v>
      </c>
      <c r="B178" s="235">
        <v>221.7</v>
      </c>
    </row>
    <row r="179" spans="1:2" x14ac:dyDescent="0.4">
      <c r="A179" s="234">
        <v>42711</v>
      </c>
      <c r="B179" s="235">
        <v>224.6</v>
      </c>
    </row>
    <row r="180" spans="1:2" x14ac:dyDescent="0.4">
      <c r="A180" s="234">
        <v>42712</v>
      </c>
      <c r="B180" s="235">
        <v>225.15</v>
      </c>
    </row>
    <row r="181" spans="1:2" x14ac:dyDescent="0.4">
      <c r="A181" s="234">
        <v>42713</v>
      </c>
      <c r="B181" s="235">
        <v>226.51</v>
      </c>
    </row>
    <row r="182" spans="1:2" x14ac:dyDescent="0.4">
      <c r="A182" s="234">
        <v>42716</v>
      </c>
      <c r="B182" s="235">
        <v>226.25</v>
      </c>
    </row>
    <row r="183" spans="1:2" x14ac:dyDescent="0.4">
      <c r="A183" s="234">
        <v>42717</v>
      </c>
      <c r="B183" s="235">
        <v>227.76</v>
      </c>
    </row>
    <row r="184" spans="1:2" x14ac:dyDescent="0.4">
      <c r="A184" s="234">
        <v>42718</v>
      </c>
      <c r="B184" s="235">
        <v>225.88</v>
      </c>
    </row>
    <row r="185" spans="1:2" x14ac:dyDescent="0.4">
      <c r="A185" s="234">
        <v>42719</v>
      </c>
      <c r="B185" s="235">
        <v>226.81</v>
      </c>
    </row>
    <row r="186" spans="1:2" x14ac:dyDescent="0.4">
      <c r="A186" s="234">
        <v>42720</v>
      </c>
      <c r="B186" s="235">
        <v>225.04</v>
      </c>
    </row>
    <row r="187" spans="1:2" x14ac:dyDescent="0.4">
      <c r="A187" s="234">
        <v>42723</v>
      </c>
      <c r="B187" s="235">
        <v>225.53</v>
      </c>
    </row>
    <row r="188" spans="1:2" x14ac:dyDescent="0.4">
      <c r="A188" s="234">
        <v>42724</v>
      </c>
      <c r="B188" s="235">
        <v>226.4</v>
      </c>
    </row>
    <row r="189" spans="1:2" x14ac:dyDescent="0.4">
      <c r="A189" s="234">
        <v>42725</v>
      </c>
      <c r="B189" s="235">
        <v>225.77</v>
      </c>
    </row>
    <row r="190" spans="1:2" x14ac:dyDescent="0.4">
      <c r="A190" s="234">
        <v>42726</v>
      </c>
      <c r="B190" s="235">
        <v>225.38</v>
      </c>
    </row>
    <row r="191" spans="1:2" x14ac:dyDescent="0.4">
      <c r="A191" s="234">
        <v>42727</v>
      </c>
      <c r="B191" s="235">
        <v>225.71</v>
      </c>
    </row>
    <row r="192" spans="1:2" x14ac:dyDescent="0.4">
      <c r="A192" s="234">
        <v>42731</v>
      </c>
      <c r="B192" s="235">
        <v>226.27</v>
      </c>
    </row>
    <row r="193" spans="1:2" x14ac:dyDescent="0.4">
      <c r="A193" s="234">
        <v>42732</v>
      </c>
      <c r="B193" s="235">
        <v>224.4</v>
      </c>
    </row>
    <row r="194" spans="1:2" x14ac:dyDescent="0.4">
      <c r="A194" s="234">
        <v>42733</v>
      </c>
      <c r="B194" s="235">
        <v>224.35</v>
      </c>
    </row>
    <row r="195" spans="1:2" x14ac:dyDescent="0.4">
      <c r="A195" s="234">
        <v>42734</v>
      </c>
      <c r="B195" s="235">
        <v>223.53</v>
      </c>
    </row>
    <row r="196" spans="1:2" x14ac:dyDescent="0.4">
      <c r="A196" s="234">
        <v>42738</v>
      </c>
      <c r="B196" s="235">
        <v>225.24</v>
      </c>
    </row>
    <row r="197" spans="1:2" x14ac:dyDescent="0.4">
      <c r="A197" s="234">
        <v>42739</v>
      </c>
      <c r="B197" s="235">
        <v>226.58</v>
      </c>
    </row>
    <row r="198" spans="1:2" x14ac:dyDescent="0.4">
      <c r="A198" s="234">
        <v>42740</v>
      </c>
      <c r="B198" s="235">
        <v>226.4</v>
      </c>
    </row>
    <row r="199" spans="1:2" x14ac:dyDescent="0.4">
      <c r="A199" s="234">
        <v>42741</v>
      </c>
      <c r="B199" s="235">
        <v>227.21</v>
      </c>
    </row>
    <row r="200" spans="1:2" x14ac:dyDescent="0.4">
      <c r="A200" s="234">
        <v>42744</v>
      </c>
      <c r="B200" s="235">
        <v>226.46</v>
      </c>
    </row>
    <row r="201" spans="1:2" x14ac:dyDescent="0.4">
      <c r="A201" s="234">
        <v>42745</v>
      </c>
      <c r="B201" s="235">
        <v>226.46</v>
      </c>
    </row>
    <row r="202" spans="1:2" x14ac:dyDescent="0.4">
      <c r="A202" s="234">
        <v>42746</v>
      </c>
      <c r="B202" s="235">
        <v>227.1</v>
      </c>
    </row>
    <row r="203" spans="1:2" x14ac:dyDescent="0.4">
      <c r="A203" s="234">
        <v>42747</v>
      </c>
      <c r="B203" s="235">
        <v>226.53</v>
      </c>
    </row>
    <row r="204" spans="1:2" x14ac:dyDescent="0.4">
      <c r="A204" s="234">
        <v>42748</v>
      </c>
      <c r="B204" s="235">
        <v>227.05</v>
      </c>
    </row>
    <row r="205" spans="1:2" x14ac:dyDescent="0.4">
      <c r="A205" s="234">
        <v>42752</v>
      </c>
      <c r="B205" s="235">
        <v>226.25</v>
      </c>
    </row>
    <row r="206" spans="1:2" x14ac:dyDescent="0.4">
      <c r="A206" s="234">
        <v>42753</v>
      </c>
      <c r="B206" s="235">
        <v>226.75</v>
      </c>
    </row>
    <row r="207" spans="1:2" x14ac:dyDescent="0.4">
      <c r="A207" s="234">
        <v>42754</v>
      </c>
      <c r="B207" s="235">
        <v>225.91</v>
      </c>
    </row>
    <row r="208" spans="1:2" x14ac:dyDescent="0.4">
      <c r="A208" s="234">
        <v>42755</v>
      </c>
      <c r="B208" s="235">
        <v>226.74</v>
      </c>
    </row>
    <row r="209" spans="1:2" x14ac:dyDescent="0.4">
      <c r="A209" s="234">
        <v>42758</v>
      </c>
      <c r="B209" s="235">
        <v>226.15</v>
      </c>
    </row>
    <row r="210" spans="1:2" x14ac:dyDescent="0.4">
      <c r="A210" s="234">
        <v>42759</v>
      </c>
      <c r="B210" s="235">
        <v>227.6</v>
      </c>
    </row>
    <row r="211" spans="1:2" x14ac:dyDescent="0.4">
      <c r="A211" s="234">
        <v>42760</v>
      </c>
      <c r="B211" s="235">
        <v>229.57</v>
      </c>
    </row>
    <row r="212" spans="1:2" x14ac:dyDescent="0.4">
      <c r="A212" s="234">
        <v>42761</v>
      </c>
      <c r="B212" s="235">
        <v>229.33</v>
      </c>
    </row>
    <row r="213" spans="1:2" x14ac:dyDescent="0.4">
      <c r="A213" s="234">
        <v>42762</v>
      </c>
      <c r="B213" s="235">
        <v>228.97</v>
      </c>
    </row>
    <row r="214" spans="1:2" x14ac:dyDescent="0.4">
      <c r="A214" s="234">
        <v>42765</v>
      </c>
      <c r="B214" s="235">
        <v>227.55</v>
      </c>
    </row>
    <row r="215" spans="1:2" x14ac:dyDescent="0.4">
      <c r="A215" s="234">
        <v>42766</v>
      </c>
      <c r="B215" s="235">
        <v>227.53</v>
      </c>
    </row>
    <row r="216" spans="1:2" x14ac:dyDescent="0.4">
      <c r="A216" s="234">
        <v>42767</v>
      </c>
      <c r="B216" s="235">
        <v>227.62</v>
      </c>
    </row>
    <row r="217" spans="1:2" x14ac:dyDescent="0.4">
      <c r="A217" s="234">
        <v>42768</v>
      </c>
      <c r="B217" s="235">
        <v>227.77</v>
      </c>
    </row>
    <row r="218" spans="1:2" x14ac:dyDescent="0.4">
      <c r="A218" s="234">
        <v>42769</v>
      </c>
      <c r="B218" s="235">
        <v>229.34</v>
      </c>
    </row>
    <row r="219" spans="1:2" x14ac:dyDescent="0.4">
      <c r="A219" s="234">
        <v>42772</v>
      </c>
      <c r="B219" s="235">
        <v>228.93</v>
      </c>
    </row>
    <row r="220" spans="1:2" x14ac:dyDescent="0.4">
      <c r="A220" s="234">
        <v>42773</v>
      </c>
      <c r="B220" s="235">
        <v>228.94</v>
      </c>
    </row>
    <row r="221" spans="1:2" x14ac:dyDescent="0.4">
      <c r="A221" s="234">
        <v>42774</v>
      </c>
      <c r="B221" s="235">
        <v>229.24</v>
      </c>
    </row>
    <row r="222" spans="1:2" x14ac:dyDescent="0.4">
      <c r="A222" s="234">
        <v>42775</v>
      </c>
      <c r="B222" s="235">
        <v>230.6</v>
      </c>
    </row>
    <row r="223" spans="1:2" x14ac:dyDescent="0.4">
      <c r="A223" s="234">
        <v>42776</v>
      </c>
      <c r="B223" s="235">
        <v>231.51</v>
      </c>
    </row>
    <row r="224" spans="1:2" x14ac:dyDescent="0.4">
      <c r="A224" s="234">
        <v>42779</v>
      </c>
      <c r="B224" s="235">
        <v>232.77</v>
      </c>
    </row>
    <row r="225" spans="1:2" x14ac:dyDescent="0.4">
      <c r="A225" s="234">
        <v>42780</v>
      </c>
      <c r="B225" s="235">
        <v>233.7</v>
      </c>
    </row>
    <row r="226" spans="1:2" x14ac:dyDescent="0.4">
      <c r="A226" s="234">
        <v>42781</v>
      </c>
      <c r="B226" s="235">
        <v>234.92</v>
      </c>
    </row>
    <row r="227" spans="1:2" x14ac:dyDescent="0.4">
      <c r="A227" s="234">
        <v>42782</v>
      </c>
      <c r="B227" s="235">
        <v>234.72</v>
      </c>
    </row>
    <row r="228" spans="1:2" x14ac:dyDescent="0.4">
      <c r="A228" s="234">
        <v>42783</v>
      </c>
      <c r="B228" s="235">
        <v>235.09</v>
      </c>
    </row>
    <row r="229" spans="1:2" x14ac:dyDescent="0.4">
      <c r="A229" s="234">
        <v>42787</v>
      </c>
      <c r="B229" s="235">
        <v>236.49</v>
      </c>
    </row>
    <row r="230" spans="1:2" x14ac:dyDescent="0.4">
      <c r="A230" s="234">
        <v>42788</v>
      </c>
      <c r="B230" s="235">
        <v>236.28</v>
      </c>
    </row>
    <row r="231" spans="1:2" x14ac:dyDescent="0.4">
      <c r="A231" s="234">
        <v>42789</v>
      </c>
      <c r="B231" s="235">
        <v>236.44</v>
      </c>
    </row>
    <row r="232" spans="1:2" x14ac:dyDescent="0.4">
      <c r="A232" s="234">
        <v>42790</v>
      </c>
      <c r="B232" s="235">
        <v>236.74</v>
      </c>
    </row>
    <row r="233" spans="1:2" x14ac:dyDescent="0.4">
      <c r="A233" s="234">
        <v>42793</v>
      </c>
      <c r="B233" s="235">
        <v>237.11</v>
      </c>
    </row>
    <row r="234" spans="1:2" x14ac:dyDescent="0.4">
      <c r="A234" s="234">
        <v>42794</v>
      </c>
      <c r="B234" s="235">
        <v>236.47</v>
      </c>
    </row>
    <row r="235" spans="1:2" x14ac:dyDescent="0.4">
      <c r="A235" s="234">
        <v>42795</v>
      </c>
      <c r="B235" s="235">
        <v>239.78</v>
      </c>
    </row>
    <row r="236" spans="1:2" x14ac:dyDescent="0.4">
      <c r="A236" s="234">
        <v>42796</v>
      </c>
      <c r="B236" s="235">
        <v>238.27</v>
      </c>
    </row>
    <row r="237" spans="1:2" x14ac:dyDescent="0.4">
      <c r="A237" s="234">
        <v>42797</v>
      </c>
      <c r="B237" s="235">
        <v>238.42</v>
      </c>
    </row>
    <row r="238" spans="1:2" x14ac:dyDescent="0.4">
      <c r="A238" s="234">
        <v>42800</v>
      </c>
      <c r="B238" s="235">
        <v>237.71</v>
      </c>
    </row>
    <row r="239" spans="1:2" x14ac:dyDescent="0.4">
      <c r="A239" s="234">
        <v>42801</v>
      </c>
      <c r="B239" s="235">
        <v>237</v>
      </c>
    </row>
    <row r="240" spans="1:2" x14ac:dyDescent="0.4">
      <c r="A240" s="234">
        <v>42802</v>
      </c>
      <c r="B240" s="235">
        <v>236.56</v>
      </c>
    </row>
    <row r="241" spans="1:2" x14ac:dyDescent="0.4">
      <c r="A241" s="234">
        <v>42803</v>
      </c>
      <c r="B241" s="235">
        <v>236.86</v>
      </c>
    </row>
    <row r="242" spans="1:2" x14ac:dyDescent="0.4">
      <c r="A242" s="234">
        <v>42804</v>
      </c>
      <c r="B242" s="235">
        <v>237.69</v>
      </c>
    </row>
    <row r="243" spans="1:2" x14ac:dyDescent="0.4">
      <c r="A243" s="234">
        <v>42807</v>
      </c>
      <c r="B243" s="235">
        <v>237.81</v>
      </c>
    </row>
    <row r="244" spans="1:2" x14ac:dyDescent="0.4">
      <c r="A244" s="234">
        <v>42808</v>
      </c>
      <c r="B244" s="235">
        <v>236.9</v>
      </c>
    </row>
    <row r="245" spans="1:2" x14ac:dyDescent="0.4">
      <c r="A245" s="234">
        <v>42809</v>
      </c>
      <c r="B245" s="235">
        <v>238.95</v>
      </c>
    </row>
    <row r="246" spans="1:2" x14ac:dyDescent="0.4">
      <c r="A246" s="234">
        <v>42810</v>
      </c>
      <c r="B246" s="235">
        <v>238.48</v>
      </c>
    </row>
    <row r="247" spans="1:2" x14ac:dyDescent="0.4">
      <c r="A247" s="234">
        <v>42811</v>
      </c>
      <c r="B247" s="235">
        <v>237.03</v>
      </c>
    </row>
    <row r="248" spans="1:2" x14ac:dyDescent="0.4">
      <c r="A248" s="234">
        <v>42814</v>
      </c>
      <c r="B248" s="235">
        <v>236.77</v>
      </c>
    </row>
    <row r="249" spans="1:2" x14ac:dyDescent="0.4">
      <c r="A249" s="234">
        <v>42815</v>
      </c>
      <c r="B249" s="235">
        <v>233.73</v>
      </c>
    </row>
    <row r="250" spans="1:2" x14ac:dyDescent="0.4">
      <c r="A250" s="234">
        <v>42816</v>
      </c>
      <c r="B250" s="235">
        <v>234.28</v>
      </c>
    </row>
    <row r="251" spans="1:2" x14ac:dyDescent="0.4">
      <c r="A251" s="234">
        <v>42817</v>
      </c>
      <c r="B251" s="235">
        <v>234.03</v>
      </c>
    </row>
    <row r="252" spans="1:2" x14ac:dyDescent="0.4">
      <c r="A252" s="234">
        <v>42818</v>
      </c>
      <c r="B252" s="235">
        <v>233.86</v>
      </c>
    </row>
    <row r="253" spans="1:2" x14ac:dyDescent="0.4">
      <c r="A253" s="234">
        <v>42821</v>
      </c>
      <c r="B253" s="235">
        <v>233.62</v>
      </c>
    </row>
    <row r="254" spans="1:2" x14ac:dyDescent="0.4">
      <c r="A254" s="234">
        <v>42822</v>
      </c>
      <c r="B254" s="235">
        <v>235.32</v>
      </c>
    </row>
    <row r="255" spans="1:2" x14ac:dyDescent="0.4">
      <c r="A255" s="234">
        <v>42823</v>
      </c>
      <c r="B255" s="235">
        <v>235.54</v>
      </c>
    </row>
    <row r="256" spans="1:2" x14ac:dyDescent="0.4">
      <c r="A256" s="234">
        <v>42824</v>
      </c>
      <c r="B256" s="235">
        <v>236.29</v>
      </c>
    </row>
    <row r="257" spans="1:2" x14ac:dyDescent="0.4">
      <c r="A257" s="234">
        <v>42825</v>
      </c>
      <c r="B257" s="235">
        <v>235.74</v>
      </c>
    </row>
    <row r="258" spans="1:2" x14ac:dyDescent="0.4">
      <c r="A258" s="234">
        <v>42828</v>
      </c>
      <c r="B258" s="235">
        <v>235.33</v>
      </c>
    </row>
    <row r="259" spans="1:2" x14ac:dyDescent="0.4">
      <c r="A259" s="234">
        <v>42829</v>
      </c>
      <c r="B259" s="235">
        <v>235.48</v>
      </c>
    </row>
    <row r="260" spans="1:2" x14ac:dyDescent="0.4">
      <c r="A260" s="234">
        <v>42830</v>
      </c>
      <c r="B260" s="235">
        <v>234.78</v>
      </c>
    </row>
    <row r="261" spans="1:2" x14ac:dyDescent="0.4">
      <c r="A261" s="234">
        <v>42831</v>
      </c>
      <c r="B261" s="235">
        <v>235.44</v>
      </c>
    </row>
    <row r="262" spans="1:2" x14ac:dyDescent="0.4">
      <c r="A262" s="234">
        <v>42832</v>
      </c>
      <c r="B262" s="235">
        <v>235.2</v>
      </c>
    </row>
    <row r="263" spans="1:2" x14ac:dyDescent="0.4">
      <c r="A263" s="234">
        <v>42835</v>
      </c>
      <c r="B263" s="235">
        <v>235.34</v>
      </c>
    </row>
    <row r="264" spans="1:2" x14ac:dyDescent="0.4">
      <c r="A264" s="234">
        <v>42836</v>
      </c>
      <c r="B264" s="235">
        <v>235.06</v>
      </c>
    </row>
    <row r="265" spans="1:2" x14ac:dyDescent="0.4">
      <c r="A265" s="234">
        <v>42837</v>
      </c>
      <c r="B265" s="235">
        <v>234.03</v>
      </c>
    </row>
    <row r="266" spans="1:2" x14ac:dyDescent="0.4">
      <c r="A266" s="234">
        <v>42838</v>
      </c>
      <c r="B266" s="235">
        <v>232.51</v>
      </c>
    </row>
    <row r="267" spans="1:2" x14ac:dyDescent="0.4">
      <c r="A267" s="234">
        <v>42842</v>
      </c>
      <c r="B267" s="235">
        <v>234.57</v>
      </c>
    </row>
    <row r="268" spans="1:2" x14ac:dyDescent="0.4">
      <c r="A268" s="234">
        <v>42843</v>
      </c>
      <c r="B268" s="235">
        <v>233.87</v>
      </c>
    </row>
    <row r="269" spans="1:2" x14ac:dyDescent="0.4">
      <c r="A269" s="234">
        <v>42844</v>
      </c>
      <c r="B269" s="235">
        <v>233.44</v>
      </c>
    </row>
    <row r="270" spans="1:2" x14ac:dyDescent="0.4">
      <c r="A270" s="234">
        <v>42845</v>
      </c>
      <c r="B270" s="235">
        <v>235.34</v>
      </c>
    </row>
    <row r="271" spans="1:2" x14ac:dyDescent="0.4">
      <c r="A271" s="234">
        <v>42846</v>
      </c>
      <c r="B271" s="235">
        <v>234.59</v>
      </c>
    </row>
    <row r="272" spans="1:2" x14ac:dyDescent="0.4">
      <c r="A272" s="234">
        <v>42849</v>
      </c>
      <c r="B272" s="235">
        <v>237.17</v>
      </c>
    </row>
    <row r="273" spans="1:2" x14ac:dyDescent="0.4">
      <c r="A273" s="234">
        <v>42850</v>
      </c>
      <c r="B273" s="235">
        <v>238.55</v>
      </c>
    </row>
    <row r="274" spans="1:2" x14ac:dyDescent="0.4">
      <c r="A274" s="234">
        <v>42851</v>
      </c>
      <c r="B274" s="235">
        <v>238.4</v>
      </c>
    </row>
    <row r="275" spans="1:2" x14ac:dyDescent="0.4">
      <c r="A275" s="234">
        <v>42852</v>
      </c>
      <c r="B275" s="235">
        <v>238.6</v>
      </c>
    </row>
    <row r="276" spans="1:2" x14ac:dyDescent="0.4">
      <c r="A276" s="234">
        <v>42853</v>
      </c>
      <c r="B276" s="235">
        <v>238.08</v>
      </c>
    </row>
    <row r="277" spans="1:2" x14ac:dyDescent="0.4">
      <c r="A277" s="234">
        <v>42856</v>
      </c>
      <c r="B277" s="235">
        <v>238.68</v>
      </c>
    </row>
    <row r="278" spans="1:2" x14ac:dyDescent="0.4">
      <c r="A278" s="234">
        <v>42857</v>
      </c>
      <c r="B278" s="235">
        <v>238.77</v>
      </c>
    </row>
    <row r="279" spans="1:2" x14ac:dyDescent="0.4">
      <c r="A279" s="234">
        <v>42858</v>
      </c>
      <c r="B279" s="235">
        <v>238.48</v>
      </c>
    </row>
    <row r="280" spans="1:2" x14ac:dyDescent="0.4">
      <c r="A280" s="234">
        <v>42859</v>
      </c>
      <c r="B280" s="235">
        <v>238.76</v>
      </c>
    </row>
    <row r="281" spans="1:2" x14ac:dyDescent="0.4">
      <c r="A281" s="234">
        <v>42860</v>
      </c>
      <c r="B281" s="235">
        <v>239.7</v>
      </c>
    </row>
    <row r="282" spans="1:2" x14ac:dyDescent="0.4">
      <c r="A282" s="234">
        <v>42863</v>
      </c>
      <c r="B282" s="235">
        <v>239.66</v>
      </c>
    </row>
    <row r="283" spans="1:2" x14ac:dyDescent="0.4">
      <c r="A283" s="234">
        <v>42864</v>
      </c>
      <c r="B283" s="235">
        <v>239.44</v>
      </c>
    </row>
    <row r="284" spans="1:2" x14ac:dyDescent="0.4">
      <c r="A284" s="234">
        <v>42865</v>
      </c>
      <c r="B284" s="235">
        <v>239.87</v>
      </c>
    </row>
    <row r="285" spans="1:2" x14ac:dyDescent="0.4">
      <c r="A285" s="234">
        <v>42866</v>
      </c>
      <c r="B285" s="235">
        <v>239.38</v>
      </c>
    </row>
    <row r="286" spans="1:2" x14ac:dyDescent="0.4">
      <c r="A286" s="234">
        <v>42867</v>
      </c>
      <c r="B286" s="235">
        <v>238.98</v>
      </c>
    </row>
    <row r="287" spans="1:2" x14ac:dyDescent="0.4">
      <c r="A287" s="234">
        <v>42870</v>
      </c>
      <c r="B287" s="235">
        <v>240.3</v>
      </c>
    </row>
    <row r="288" spans="1:2" x14ac:dyDescent="0.4">
      <c r="A288" s="234">
        <v>42871</v>
      </c>
      <c r="B288" s="235">
        <v>240.08</v>
      </c>
    </row>
    <row r="289" spans="1:2" x14ac:dyDescent="0.4">
      <c r="A289" s="234">
        <v>42872</v>
      </c>
      <c r="B289" s="235">
        <v>235.82</v>
      </c>
    </row>
    <row r="290" spans="1:2" x14ac:dyDescent="0.4">
      <c r="A290" s="234">
        <v>42873</v>
      </c>
      <c r="B290" s="235">
        <v>236.77</v>
      </c>
    </row>
    <row r="291" spans="1:2" x14ac:dyDescent="0.4">
      <c r="A291" s="234">
        <v>42874</v>
      </c>
      <c r="B291" s="235">
        <v>238.31</v>
      </c>
    </row>
    <row r="292" spans="1:2" x14ac:dyDescent="0.4">
      <c r="A292" s="234">
        <v>42877</v>
      </c>
      <c r="B292" s="235">
        <v>239.52</v>
      </c>
    </row>
    <row r="293" spans="1:2" x14ac:dyDescent="0.4">
      <c r="A293" s="234">
        <v>42878</v>
      </c>
      <c r="B293" s="235">
        <v>240.05</v>
      </c>
    </row>
    <row r="294" spans="1:2" x14ac:dyDescent="0.4">
      <c r="A294" s="234">
        <v>42879</v>
      </c>
      <c r="B294" s="235">
        <v>240.61</v>
      </c>
    </row>
    <row r="295" spans="1:2" x14ac:dyDescent="0.4">
      <c r="A295" s="234">
        <v>42880</v>
      </c>
      <c r="B295" s="235">
        <v>241.76</v>
      </c>
    </row>
    <row r="296" spans="1:2" x14ac:dyDescent="0.4">
      <c r="A296" s="234">
        <v>42881</v>
      </c>
      <c r="B296" s="235">
        <v>241.71</v>
      </c>
    </row>
    <row r="297" spans="1:2" x14ac:dyDescent="0.4">
      <c r="A297" s="234">
        <v>42885</v>
      </c>
      <c r="B297" s="235">
        <v>241.5</v>
      </c>
    </row>
    <row r="298" spans="1:2" x14ac:dyDescent="0.4">
      <c r="A298" s="234">
        <v>42886</v>
      </c>
      <c r="B298" s="235">
        <v>241.44</v>
      </c>
    </row>
    <row r="299" spans="1:2" x14ac:dyDescent="0.4">
      <c r="A299" s="234">
        <v>42887</v>
      </c>
      <c r="B299" s="235">
        <v>243.36</v>
      </c>
    </row>
    <row r="300" spans="1:2" x14ac:dyDescent="0.4">
      <c r="A300" s="234">
        <v>42888</v>
      </c>
      <c r="B300" s="235">
        <v>244.17</v>
      </c>
    </row>
    <row r="301" spans="1:2" x14ac:dyDescent="0.4">
      <c r="A301" s="234">
        <v>42891</v>
      </c>
      <c r="B301" s="235">
        <v>243.99</v>
      </c>
    </row>
    <row r="302" spans="1:2" x14ac:dyDescent="0.4">
      <c r="A302" s="234">
        <v>42892</v>
      </c>
      <c r="B302" s="235">
        <v>243.21</v>
      </c>
    </row>
    <row r="303" spans="1:2" x14ac:dyDescent="0.4">
      <c r="A303" s="234">
        <v>42893</v>
      </c>
      <c r="B303" s="235">
        <v>243.66</v>
      </c>
    </row>
    <row r="304" spans="1:2" x14ac:dyDescent="0.4">
      <c r="A304" s="234">
        <v>42894</v>
      </c>
      <c r="B304" s="235">
        <v>243.78</v>
      </c>
    </row>
    <row r="305" spans="1:2" x14ac:dyDescent="0.4">
      <c r="A305" s="234">
        <v>42895</v>
      </c>
      <c r="B305" s="235">
        <v>243.41</v>
      </c>
    </row>
    <row r="306" spans="1:2" x14ac:dyDescent="0.4">
      <c r="A306" s="234">
        <v>42898</v>
      </c>
      <c r="B306" s="235">
        <v>243.36</v>
      </c>
    </row>
    <row r="307" spans="1:2" x14ac:dyDescent="0.4">
      <c r="A307" s="234">
        <v>42899</v>
      </c>
      <c r="B307" s="235">
        <v>244.55</v>
      </c>
    </row>
    <row r="308" spans="1:2" x14ac:dyDescent="0.4">
      <c r="A308" s="234">
        <v>42900</v>
      </c>
      <c r="B308" s="235">
        <v>244.24</v>
      </c>
    </row>
    <row r="309" spans="1:2" x14ac:dyDescent="0.4">
      <c r="A309" s="234">
        <v>42901</v>
      </c>
      <c r="B309" s="235">
        <v>243.77</v>
      </c>
    </row>
    <row r="310" spans="1:2" x14ac:dyDescent="0.4">
      <c r="A310" s="234">
        <v>42902</v>
      </c>
      <c r="B310" s="235">
        <v>242.64</v>
      </c>
    </row>
    <row r="311" spans="1:2" x14ac:dyDescent="0.4">
      <c r="A311" s="234">
        <v>42905</v>
      </c>
      <c r="B311" s="235">
        <v>244.66</v>
      </c>
    </row>
    <row r="312" spans="1:2" x14ac:dyDescent="0.4">
      <c r="A312" s="234">
        <v>42906</v>
      </c>
      <c r="B312" s="235">
        <v>243.01</v>
      </c>
    </row>
    <row r="313" spans="1:2" x14ac:dyDescent="0.4">
      <c r="A313" s="234">
        <v>42907</v>
      </c>
      <c r="B313" s="235">
        <v>242.95</v>
      </c>
    </row>
    <row r="314" spans="1:2" x14ac:dyDescent="0.4">
      <c r="A314" s="234">
        <v>42908</v>
      </c>
      <c r="B314" s="235">
        <v>242.84</v>
      </c>
    </row>
    <row r="315" spans="1:2" x14ac:dyDescent="0.4">
      <c r="A315" s="234">
        <v>42909</v>
      </c>
      <c r="B315" s="235">
        <v>243.13</v>
      </c>
    </row>
    <row r="316" spans="1:2" x14ac:dyDescent="0.4">
      <c r="A316" s="234">
        <v>42912</v>
      </c>
      <c r="B316" s="235">
        <v>243.29</v>
      </c>
    </row>
    <row r="317" spans="1:2" x14ac:dyDescent="0.4">
      <c r="A317" s="234">
        <v>42913</v>
      </c>
      <c r="B317" s="235">
        <v>241.33</v>
      </c>
    </row>
    <row r="318" spans="1:2" x14ac:dyDescent="0.4">
      <c r="A318" s="234">
        <v>42914</v>
      </c>
      <c r="B318" s="235">
        <v>243.49</v>
      </c>
    </row>
    <row r="319" spans="1:2" x14ac:dyDescent="0.4">
      <c r="A319" s="234">
        <v>42915</v>
      </c>
      <c r="B319" s="235">
        <v>241.35</v>
      </c>
    </row>
    <row r="320" spans="1:2" x14ac:dyDescent="0.4">
      <c r="A320" s="234">
        <v>42916</v>
      </c>
      <c r="B320" s="235">
        <v>241.8</v>
      </c>
    </row>
    <row r="321" spans="1:2" x14ac:dyDescent="0.4">
      <c r="A321" s="234">
        <v>42919</v>
      </c>
      <c r="B321" s="235">
        <v>242.21</v>
      </c>
    </row>
    <row r="322" spans="1:2" x14ac:dyDescent="0.4">
      <c r="A322" s="234">
        <v>42921</v>
      </c>
      <c r="B322" s="235">
        <v>242.77</v>
      </c>
    </row>
    <row r="323" spans="1:2" x14ac:dyDescent="0.4">
      <c r="A323" s="234">
        <v>42922</v>
      </c>
      <c r="B323" s="235">
        <v>240.55</v>
      </c>
    </row>
    <row r="324" spans="1:2" x14ac:dyDescent="0.4">
      <c r="A324" s="234">
        <v>42923</v>
      </c>
      <c r="B324" s="235">
        <v>242.11</v>
      </c>
    </row>
    <row r="325" spans="1:2" x14ac:dyDescent="0.4">
      <c r="A325" s="234">
        <v>42926</v>
      </c>
      <c r="B325" s="235">
        <v>242.37</v>
      </c>
    </row>
    <row r="326" spans="1:2" x14ac:dyDescent="0.4">
      <c r="A326" s="234">
        <v>42927</v>
      </c>
      <c r="B326" s="235">
        <v>242.19</v>
      </c>
    </row>
    <row r="327" spans="1:2" x14ac:dyDescent="0.4">
      <c r="A327" s="234">
        <v>42928</v>
      </c>
      <c r="B327" s="235">
        <v>244.01</v>
      </c>
    </row>
    <row r="328" spans="1:2" x14ac:dyDescent="0.4">
      <c r="A328" s="234">
        <v>42929</v>
      </c>
      <c r="B328" s="235">
        <v>244.42</v>
      </c>
    </row>
    <row r="329" spans="1:2" x14ac:dyDescent="0.4">
      <c r="A329" s="234">
        <v>42930</v>
      </c>
      <c r="B329" s="235">
        <v>245.56</v>
      </c>
    </row>
    <row r="330" spans="1:2" x14ac:dyDescent="0.4">
      <c r="A330" s="234">
        <v>42933</v>
      </c>
      <c r="B330" s="235">
        <v>245.53</v>
      </c>
    </row>
    <row r="331" spans="1:2" x14ac:dyDescent="0.4">
      <c r="A331" s="234">
        <v>42934</v>
      </c>
      <c r="B331" s="235">
        <v>245.66</v>
      </c>
    </row>
    <row r="332" spans="1:2" x14ac:dyDescent="0.4">
      <c r="A332" s="234">
        <v>42935</v>
      </c>
      <c r="B332" s="235">
        <v>246.99</v>
      </c>
    </row>
    <row r="333" spans="1:2" x14ac:dyDescent="0.4">
      <c r="A333" s="234">
        <v>42936</v>
      </c>
      <c r="B333" s="235">
        <v>247.1</v>
      </c>
    </row>
    <row r="334" spans="1:2" x14ac:dyDescent="0.4">
      <c r="A334" s="234">
        <v>42937</v>
      </c>
      <c r="B334" s="235">
        <v>246.88</v>
      </c>
    </row>
    <row r="335" spans="1:2" x14ac:dyDescent="0.4">
      <c r="A335" s="234">
        <v>42940</v>
      </c>
      <c r="B335" s="235">
        <v>246.82</v>
      </c>
    </row>
    <row r="336" spans="1:2" x14ac:dyDescent="0.4">
      <c r="A336" s="234">
        <v>42941</v>
      </c>
      <c r="B336" s="235">
        <v>247.42</v>
      </c>
    </row>
    <row r="337" spans="1:2" x14ac:dyDescent="0.4">
      <c r="A337" s="234">
        <v>42942</v>
      </c>
      <c r="B337" s="235">
        <v>247.43</v>
      </c>
    </row>
    <row r="338" spans="1:2" x14ac:dyDescent="0.4">
      <c r="A338" s="234">
        <v>42943</v>
      </c>
      <c r="B338" s="235">
        <v>247.2</v>
      </c>
    </row>
    <row r="339" spans="1:2" x14ac:dyDescent="0.4">
      <c r="A339" s="234">
        <v>42944</v>
      </c>
      <c r="B339" s="235">
        <v>246.91</v>
      </c>
    </row>
    <row r="340" spans="1:2" x14ac:dyDescent="0.4">
      <c r="A340" s="234">
        <v>42947</v>
      </c>
      <c r="B340" s="235">
        <v>246.77</v>
      </c>
    </row>
    <row r="341" spans="1:2" x14ac:dyDescent="0.4">
      <c r="A341" s="234">
        <v>42948</v>
      </c>
      <c r="B341" s="235">
        <v>247.32</v>
      </c>
    </row>
    <row r="342" spans="1:2" x14ac:dyDescent="0.4">
      <c r="A342" s="234">
        <v>42949</v>
      </c>
      <c r="B342" s="235">
        <v>247.44</v>
      </c>
    </row>
    <row r="343" spans="1:2" x14ac:dyDescent="0.4">
      <c r="A343" s="234">
        <v>42950</v>
      </c>
      <c r="B343" s="235">
        <v>246.96</v>
      </c>
    </row>
    <row r="344" spans="1:2" x14ac:dyDescent="0.4">
      <c r="A344" s="234">
        <v>42951</v>
      </c>
      <c r="B344" s="235">
        <v>247.41</v>
      </c>
    </row>
    <row r="345" spans="1:2" x14ac:dyDescent="0.4">
      <c r="A345" s="234">
        <v>42954</v>
      </c>
      <c r="B345" s="235">
        <v>247.87</v>
      </c>
    </row>
    <row r="346" spans="1:2" x14ac:dyDescent="0.4">
      <c r="A346" s="234">
        <v>42955</v>
      </c>
      <c r="B346" s="235">
        <v>247.26</v>
      </c>
    </row>
    <row r="347" spans="1:2" x14ac:dyDescent="0.4">
      <c r="A347" s="234">
        <v>42956</v>
      </c>
      <c r="B347" s="235">
        <v>247.25</v>
      </c>
    </row>
    <row r="348" spans="1:2" x14ac:dyDescent="0.4">
      <c r="A348" s="234">
        <v>42957</v>
      </c>
      <c r="B348" s="235">
        <v>243.76</v>
      </c>
    </row>
    <row r="349" spans="1:2" x14ac:dyDescent="0.4">
      <c r="A349" s="234">
        <v>42958</v>
      </c>
      <c r="B349" s="235">
        <v>244.12</v>
      </c>
    </row>
    <row r="350" spans="1:2" x14ac:dyDescent="0.4">
      <c r="A350" s="234">
        <v>42961</v>
      </c>
      <c r="B350" s="235">
        <v>246.54</v>
      </c>
    </row>
    <row r="351" spans="1:2" x14ac:dyDescent="0.4">
      <c r="A351" s="234">
        <v>42962</v>
      </c>
      <c r="B351" s="235">
        <v>246.51</v>
      </c>
    </row>
    <row r="352" spans="1:2" x14ac:dyDescent="0.4">
      <c r="A352" s="234">
        <v>42963</v>
      </c>
      <c r="B352" s="235">
        <v>246.94</v>
      </c>
    </row>
    <row r="353" spans="1:2" x14ac:dyDescent="0.4">
      <c r="A353" s="234">
        <v>42964</v>
      </c>
      <c r="B353" s="235">
        <v>243.09</v>
      </c>
    </row>
    <row r="354" spans="1:2" x14ac:dyDescent="0.4">
      <c r="A354" s="234">
        <v>42965</v>
      </c>
      <c r="B354" s="235">
        <v>242.71</v>
      </c>
    </row>
    <row r="355" spans="1:2" x14ac:dyDescent="0.4">
      <c r="A355" s="234">
        <v>42968</v>
      </c>
      <c r="B355" s="235">
        <v>242.9</v>
      </c>
    </row>
    <row r="356" spans="1:2" x14ac:dyDescent="0.4">
      <c r="A356" s="234">
        <v>42969</v>
      </c>
      <c r="B356" s="235">
        <v>245.44</v>
      </c>
    </row>
    <row r="357" spans="1:2" x14ac:dyDescent="0.4">
      <c r="A357" s="234">
        <v>42970</v>
      </c>
      <c r="B357" s="235">
        <v>244.56</v>
      </c>
    </row>
    <row r="358" spans="1:2" x14ac:dyDescent="0.4">
      <c r="A358" s="234">
        <v>42971</v>
      </c>
      <c r="B358" s="235">
        <v>243.99</v>
      </c>
    </row>
    <row r="359" spans="1:2" x14ac:dyDescent="0.4">
      <c r="A359" s="234">
        <v>42972</v>
      </c>
      <c r="B359" s="235">
        <v>244.56</v>
      </c>
    </row>
    <row r="360" spans="1:2" x14ac:dyDescent="0.4">
      <c r="A360" s="234">
        <v>42975</v>
      </c>
      <c r="B360" s="235">
        <v>244.57</v>
      </c>
    </row>
    <row r="361" spans="1:2" x14ac:dyDescent="0.4">
      <c r="A361" s="234">
        <v>42976</v>
      </c>
      <c r="B361" s="235">
        <v>244.85</v>
      </c>
    </row>
    <row r="362" spans="1:2" x14ac:dyDescent="0.4">
      <c r="A362" s="234">
        <v>42977</v>
      </c>
      <c r="B362" s="235">
        <v>246.01</v>
      </c>
    </row>
    <row r="363" spans="1:2" x14ac:dyDescent="0.4">
      <c r="A363" s="234">
        <v>42978</v>
      </c>
      <c r="B363" s="235">
        <v>247.49</v>
      </c>
    </row>
    <row r="364" spans="1:2" x14ac:dyDescent="0.4">
      <c r="A364" s="234">
        <v>42979</v>
      </c>
      <c r="B364" s="235">
        <v>247.84</v>
      </c>
    </row>
    <row r="365" spans="1:2" x14ac:dyDescent="0.4">
      <c r="A365" s="234">
        <v>42983</v>
      </c>
      <c r="B365" s="235">
        <v>246.06</v>
      </c>
    </row>
    <row r="366" spans="1:2" x14ac:dyDescent="0.4">
      <c r="A366" s="234">
        <v>42984</v>
      </c>
      <c r="B366" s="235">
        <v>246.9</v>
      </c>
    </row>
    <row r="367" spans="1:2" x14ac:dyDescent="0.4">
      <c r="A367" s="234">
        <v>42985</v>
      </c>
      <c r="B367" s="235">
        <v>246.87</v>
      </c>
    </row>
    <row r="368" spans="1:2" x14ac:dyDescent="0.4">
      <c r="A368" s="234">
        <v>42986</v>
      </c>
      <c r="B368" s="235">
        <v>246.58</v>
      </c>
    </row>
    <row r="369" spans="1:2" x14ac:dyDescent="0.4">
      <c r="A369" s="234">
        <v>42989</v>
      </c>
      <c r="B369" s="235">
        <v>249.21</v>
      </c>
    </row>
    <row r="370" spans="1:2" x14ac:dyDescent="0.4">
      <c r="A370" s="234">
        <v>42990</v>
      </c>
      <c r="B370" s="235">
        <v>250.05</v>
      </c>
    </row>
    <row r="371" spans="1:2" x14ac:dyDescent="0.4">
      <c r="A371" s="234">
        <v>42991</v>
      </c>
      <c r="B371" s="235">
        <v>250.17</v>
      </c>
    </row>
    <row r="372" spans="1:2" x14ac:dyDescent="0.4">
      <c r="A372" s="234">
        <v>42992</v>
      </c>
      <c r="B372" s="235">
        <v>250.09</v>
      </c>
    </row>
    <row r="373" spans="1:2" x14ac:dyDescent="0.4">
      <c r="A373" s="234">
        <v>42993</v>
      </c>
      <c r="B373" s="235">
        <v>249.19</v>
      </c>
    </row>
    <row r="374" spans="1:2" x14ac:dyDescent="0.4">
      <c r="A374" s="234">
        <v>42996</v>
      </c>
      <c r="B374" s="235">
        <v>249.72</v>
      </c>
    </row>
    <row r="375" spans="1:2" x14ac:dyDescent="0.4">
      <c r="A375" s="234">
        <v>42997</v>
      </c>
      <c r="B375" s="235">
        <v>249.97</v>
      </c>
    </row>
    <row r="376" spans="1:2" x14ac:dyDescent="0.4">
      <c r="A376" s="234">
        <v>42998</v>
      </c>
      <c r="B376" s="235">
        <v>250.06</v>
      </c>
    </row>
    <row r="377" spans="1:2" x14ac:dyDescent="0.4">
      <c r="A377" s="234">
        <v>42999</v>
      </c>
      <c r="B377" s="235">
        <v>249.39</v>
      </c>
    </row>
    <row r="378" spans="1:2" x14ac:dyDescent="0.4">
      <c r="A378" s="234">
        <v>43000</v>
      </c>
      <c r="B378" s="235">
        <v>249.44</v>
      </c>
    </row>
    <row r="379" spans="1:2" x14ac:dyDescent="0.4">
      <c r="A379" s="234">
        <v>43003</v>
      </c>
      <c r="B379" s="235">
        <v>248.93</v>
      </c>
    </row>
    <row r="380" spans="1:2" x14ac:dyDescent="0.4">
      <c r="A380" s="234">
        <v>43004</v>
      </c>
      <c r="B380" s="235">
        <v>249.08</v>
      </c>
    </row>
    <row r="381" spans="1:2" x14ac:dyDescent="0.4">
      <c r="A381" s="234">
        <v>43005</v>
      </c>
      <c r="B381" s="235">
        <v>250.05</v>
      </c>
    </row>
    <row r="382" spans="1:2" x14ac:dyDescent="0.4">
      <c r="A382" s="234">
        <v>43006</v>
      </c>
      <c r="B382" s="235">
        <v>250.35</v>
      </c>
    </row>
    <row r="383" spans="1:2" x14ac:dyDescent="0.4">
      <c r="A383" s="234">
        <v>43007</v>
      </c>
      <c r="B383" s="235">
        <v>251.23</v>
      </c>
    </row>
    <row r="384" spans="1:2" x14ac:dyDescent="0.4">
      <c r="A384" s="234">
        <v>43010</v>
      </c>
      <c r="B384" s="235">
        <v>252.32</v>
      </c>
    </row>
    <row r="385" spans="1:2" x14ac:dyDescent="0.4">
      <c r="A385" s="234">
        <v>43011</v>
      </c>
      <c r="B385" s="235">
        <v>252.86</v>
      </c>
    </row>
    <row r="386" spans="1:2" x14ac:dyDescent="0.4">
      <c r="A386" s="234">
        <v>43012</v>
      </c>
      <c r="B386" s="235">
        <v>253.16</v>
      </c>
    </row>
    <row r="387" spans="1:2" x14ac:dyDescent="0.4">
      <c r="A387" s="234">
        <v>43013</v>
      </c>
      <c r="B387" s="235">
        <v>254.66</v>
      </c>
    </row>
    <row r="388" spans="1:2" x14ac:dyDescent="0.4">
      <c r="A388" s="234">
        <v>43014</v>
      </c>
      <c r="B388" s="235">
        <v>254.37</v>
      </c>
    </row>
    <row r="389" spans="1:2" x14ac:dyDescent="0.4">
      <c r="A389" s="234">
        <v>43017</v>
      </c>
      <c r="B389" s="235">
        <v>253.95</v>
      </c>
    </row>
    <row r="390" spans="1:2" x14ac:dyDescent="0.4">
      <c r="A390" s="234">
        <v>43018</v>
      </c>
      <c r="B390" s="235">
        <v>254.62</v>
      </c>
    </row>
    <row r="391" spans="1:2" x14ac:dyDescent="0.4">
      <c r="A391" s="234">
        <v>43019</v>
      </c>
      <c r="B391" s="235">
        <v>255.02</v>
      </c>
    </row>
    <row r="392" spans="1:2" x14ac:dyDescent="0.4">
      <c r="A392" s="234">
        <v>43020</v>
      </c>
      <c r="B392" s="235">
        <v>254.64</v>
      </c>
    </row>
    <row r="393" spans="1:2" x14ac:dyDescent="0.4">
      <c r="A393" s="234">
        <v>43021</v>
      </c>
      <c r="B393" s="235">
        <v>254.95</v>
      </c>
    </row>
    <row r="394" spans="1:2" x14ac:dyDescent="0.4">
      <c r="A394" s="234">
        <v>43024</v>
      </c>
      <c r="B394" s="235">
        <v>255.29</v>
      </c>
    </row>
    <row r="395" spans="1:2" x14ac:dyDescent="0.4">
      <c r="A395" s="234">
        <v>43025</v>
      </c>
      <c r="B395" s="235">
        <v>255.47</v>
      </c>
    </row>
    <row r="396" spans="1:2" x14ac:dyDescent="0.4">
      <c r="A396" s="234">
        <v>43026</v>
      </c>
      <c r="B396" s="235">
        <v>255.72</v>
      </c>
    </row>
    <row r="397" spans="1:2" x14ac:dyDescent="0.4">
      <c r="A397" s="234">
        <v>43027</v>
      </c>
      <c r="B397" s="235">
        <v>255.79</v>
      </c>
    </row>
    <row r="398" spans="1:2" x14ac:dyDescent="0.4">
      <c r="A398" s="234">
        <v>43028</v>
      </c>
      <c r="B398" s="235">
        <v>257.11</v>
      </c>
    </row>
    <row r="399" spans="1:2" x14ac:dyDescent="0.4">
      <c r="A399" s="234">
        <v>43031</v>
      </c>
      <c r="B399" s="235">
        <v>256.11</v>
      </c>
    </row>
    <row r="400" spans="1:2" x14ac:dyDescent="0.4">
      <c r="A400" s="234">
        <v>43032</v>
      </c>
      <c r="B400" s="235">
        <v>256.56</v>
      </c>
    </row>
    <row r="401" spans="1:2" x14ac:dyDescent="0.4">
      <c r="A401" s="234">
        <v>43033</v>
      </c>
      <c r="B401" s="235">
        <v>255.29</v>
      </c>
    </row>
    <row r="402" spans="1:2" x14ac:dyDescent="0.4">
      <c r="A402" s="234">
        <v>43034</v>
      </c>
      <c r="B402" s="235">
        <v>255.62</v>
      </c>
    </row>
    <row r="403" spans="1:2" x14ac:dyDescent="0.4">
      <c r="A403" s="234">
        <v>43035</v>
      </c>
      <c r="B403" s="235">
        <v>257.70999999999998</v>
      </c>
    </row>
    <row r="404" spans="1:2" x14ac:dyDescent="0.4">
      <c r="A404" s="234">
        <v>43038</v>
      </c>
      <c r="B404" s="235">
        <v>256.75</v>
      </c>
    </row>
    <row r="405" spans="1:2" x14ac:dyDescent="0.4">
      <c r="A405" s="234">
        <v>43039</v>
      </c>
      <c r="B405" s="235">
        <v>257.14999999999998</v>
      </c>
    </row>
    <row r="406" spans="1:2" x14ac:dyDescent="0.4">
      <c r="A406" s="234">
        <v>43040</v>
      </c>
      <c r="B406" s="235">
        <v>257.49</v>
      </c>
    </row>
    <row r="407" spans="1:2" x14ac:dyDescent="0.4">
      <c r="A407" s="234">
        <v>43041</v>
      </c>
      <c r="B407" s="235">
        <v>257.58999999999997</v>
      </c>
    </row>
    <row r="408" spans="1:2" x14ac:dyDescent="0.4">
      <c r="A408" s="234">
        <v>43042</v>
      </c>
      <c r="B408" s="235">
        <v>258.45</v>
      </c>
    </row>
    <row r="409" spans="1:2" x14ac:dyDescent="0.4">
      <c r="A409" s="234">
        <v>43045</v>
      </c>
      <c r="B409" s="235">
        <v>258.85000000000002</v>
      </c>
    </row>
    <row r="410" spans="1:2" x14ac:dyDescent="0.4">
      <c r="A410" s="234">
        <v>43046</v>
      </c>
      <c r="B410" s="235">
        <v>258.67</v>
      </c>
    </row>
    <row r="411" spans="1:2" x14ac:dyDescent="0.4">
      <c r="A411" s="234">
        <v>43047</v>
      </c>
      <c r="B411" s="235">
        <v>259.11</v>
      </c>
    </row>
    <row r="412" spans="1:2" x14ac:dyDescent="0.4">
      <c r="A412" s="234">
        <v>43048</v>
      </c>
      <c r="B412" s="235">
        <v>258.17</v>
      </c>
    </row>
    <row r="413" spans="1:2" x14ac:dyDescent="0.4">
      <c r="A413" s="234">
        <v>43049</v>
      </c>
      <c r="B413" s="235">
        <v>258.08999999999997</v>
      </c>
    </row>
    <row r="414" spans="1:2" x14ac:dyDescent="0.4">
      <c r="A414" s="234">
        <v>43052</v>
      </c>
      <c r="B414" s="235">
        <v>258.33</v>
      </c>
    </row>
    <row r="415" spans="1:2" x14ac:dyDescent="0.4">
      <c r="A415" s="234">
        <v>43053</v>
      </c>
      <c r="B415" s="235">
        <v>257.73</v>
      </c>
    </row>
    <row r="416" spans="1:2" x14ac:dyDescent="0.4">
      <c r="A416" s="234">
        <v>43054</v>
      </c>
      <c r="B416" s="235">
        <v>256.44</v>
      </c>
    </row>
    <row r="417" spans="1:2" x14ac:dyDescent="0.4">
      <c r="A417" s="234">
        <v>43055</v>
      </c>
      <c r="B417" s="235">
        <v>258.62</v>
      </c>
    </row>
    <row r="418" spans="1:2" x14ac:dyDescent="0.4">
      <c r="A418" s="234">
        <v>43056</v>
      </c>
      <c r="B418" s="235">
        <v>257.86</v>
      </c>
    </row>
    <row r="419" spans="1:2" x14ac:dyDescent="0.4">
      <c r="A419" s="234">
        <v>43059</v>
      </c>
      <c r="B419" s="235">
        <v>258.3</v>
      </c>
    </row>
    <row r="420" spans="1:2" x14ac:dyDescent="0.4">
      <c r="A420" s="234">
        <v>43060</v>
      </c>
      <c r="B420" s="235">
        <v>259.99</v>
      </c>
    </row>
    <row r="421" spans="1:2" x14ac:dyDescent="0.4">
      <c r="A421" s="234">
        <v>43061</v>
      </c>
      <c r="B421" s="235">
        <v>259.76</v>
      </c>
    </row>
    <row r="422" spans="1:2" x14ac:dyDescent="0.4">
      <c r="A422" s="234">
        <v>43063</v>
      </c>
      <c r="B422" s="235">
        <v>260.36</v>
      </c>
    </row>
    <row r="423" spans="1:2" x14ac:dyDescent="0.4">
      <c r="A423" s="234">
        <v>43066</v>
      </c>
      <c r="B423" s="235">
        <v>260.23</v>
      </c>
    </row>
    <row r="424" spans="1:2" x14ac:dyDescent="0.4">
      <c r="A424" s="234">
        <v>43067</v>
      </c>
      <c r="B424" s="235">
        <v>262.87</v>
      </c>
    </row>
    <row r="425" spans="1:2" x14ac:dyDescent="0.4">
      <c r="A425" s="234">
        <v>43068</v>
      </c>
      <c r="B425" s="235">
        <v>262.70999999999998</v>
      </c>
    </row>
    <row r="426" spans="1:2" x14ac:dyDescent="0.4">
      <c r="A426" s="234">
        <v>43069</v>
      </c>
      <c r="B426" s="235">
        <v>265.01</v>
      </c>
    </row>
    <row r="427" spans="1:2" x14ac:dyDescent="0.4">
      <c r="A427" s="234">
        <v>43070</v>
      </c>
      <c r="B427" s="235">
        <v>264.45999999999998</v>
      </c>
    </row>
    <row r="428" spans="1:2" x14ac:dyDescent="0.4">
      <c r="A428" s="234">
        <v>43073</v>
      </c>
      <c r="B428" s="235">
        <v>264.14</v>
      </c>
    </row>
    <row r="429" spans="1:2" x14ac:dyDescent="0.4">
      <c r="A429" s="234">
        <v>43074</v>
      </c>
      <c r="B429" s="235">
        <v>263.19</v>
      </c>
    </row>
    <row r="430" spans="1:2" x14ac:dyDescent="0.4">
      <c r="A430" s="234">
        <v>43075</v>
      </c>
      <c r="B430" s="235">
        <v>263.24</v>
      </c>
    </row>
    <row r="431" spans="1:2" x14ac:dyDescent="0.4">
      <c r="A431" s="234">
        <v>43076</v>
      </c>
      <c r="B431" s="235">
        <v>264.07</v>
      </c>
    </row>
    <row r="432" spans="1:2" x14ac:dyDescent="0.4">
      <c r="A432" s="234">
        <v>43077</v>
      </c>
      <c r="B432" s="235">
        <v>265.51</v>
      </c>
    </row>
    <row r="433" spans="1:2" x14ac:dyDescent="0.4">
      <c r="A433" s="234">
        <v>43080</v>
      </c>
      <c r="B433" s="235">
        <v>266.31</v>
      </c>
    </row>
    <row r="434" spans="1:2" x14ac:dyDescent="0.4">
      <c r="A434" s="234">
        <v>43081</v>
      </c>
      <c r="B434" s="235">
        <v>266.77999999999997</v>
      </c>
    </row>
    <row r="435" spans="1:2" x14ac:dyDescent="0.4">
      <c r="A435" s="234">
        <v>43082</v>
      </c>
      <c r="B435" s="235">
        <v>266.75</v>
      </c>
    </row>
    <row r="436" spans="1:2" x14ac:dyDescent="0.4">
      <c r="A436" s="234">
        <v>43083</v>
      </c>
      <c r="B436" s="235">
        <v>265.66000000000003</v>
      </c>
    </row>
    <row r="437" spans="1:2" x14ac:dyDescent="0.4">
      <c r="A437" s="234">
        <v>43084</v>
      </c>
      <c r="B437" s="235">
        <v>266.51</v>
      </c>
    </row>
    <row r="438" spans="1:2" x14ac:dyDescent="0.4">
      <c r="A438" s="234">
        <v>43087</v>
      </c>
      <c r="B438" s="235">
        <v>268.2</v>
      </c>
    </row>
    <row r="439" spans="1:2" x14ac:dyDescent="0.4">
      <c r="A439" s="234">
        <v>43088</v>
      </c>
      <c r="B439" s="235">
        <v>267.17</v>
      </c>
    </row>
    <row r="440" spans="1:2" x14ac:dyDescent="0.4">
      <c r="A440" s="234">
        <v>43089</v>
      </c>
      <c r="B440" s="235">
        <v>267.02999999999997</v>
      </c>
    </row>
    <row r="441" spans="1:2" x14ac:dyDescent="0.4">
      <c r="A441" s="234">
        <v>43090</v>
      </c>
      <c r="B441" s="235">
        <v>267.58</v>
      </c>
    </row>
    <row r="442" spans="1:2" x14ac:dyDescent="0.4">
      <c r="A442" s="234">
        <v>43091</v>
      </c>
      <c r="B442" s="235">
        <v>267.51</v>
      </c>
    </row>
    <row r="443" spans="1:2" x14ac:dyDescent="0.4">
      <c r="A443" s="234">
        <v>43095</v>
      </c>
      <c r="B443" s="235">
        <v>267.19</v>
      </c>
    </row>
    <row r="444" spans="1:2" x14ac:dyDescent="0.4">
      <c r="A444" s="234">
        <v>43096</v>
      </c>
      <c r="B444" s="235">
        <v>267.32</v>
      </c>
    </row>
    <row r="445" spans="1:2" x14ac:dyDescent="0.4">
      <c r="A445" s="234">
        <v>43097</v>
      </c>
      <c r="B445" s="235">
        <v>267.87</v>
      </c>
    </row>
    <row r="446" spans="1:2" x14ac:dyDescent="0.4">
      <c r="A446" s="234">
        <v>43098</v>
      </c>
      <c r="B446" s="235">
        <v>266.86</v>
      </c>
    </row>
    <row r="447" spans="1:2" x14ac:dyDescent="0.4">
      <c r="A447" s="234">
        <v>43102</v>
      </c>
      <c r="B447" s="235">
        <v>268.77</v>
      </c>
    </row>
    <row r="448" spans="1:2" x14ac:dyDescent="0.4">
      <c r="A448" s="234">
        <v>43103</v>
      </c>
      <c r="B448" s="235">
        <v>270.47000000000003</v>
      </c>
    </row>
    <row r="449" spans="1:2" x14ac:dyDescent="0.4">
      <c r="A449" s="234">
        <v>43104</v>
      </c>
      <c r="B449" s="235">
        <v>271.61</v>
      </c>
    </row>
    <row r="450" spans="1:2" x14ac:dyDescent="0.4">
      <c r="A450" s="234">
        <v>43105</v>
      </c>
      <c r="B450" s="235">
        <v>273.42</v>
      </c>
    </row>
    <row r="451" spans="1:2" x14ac:dyDescent="0.4">
      <c r="A451" s="234">
        <v>43108</v>
      </c>
      <c r="B451" s="235">
        <v>273.92</v>
      </c>
    </row>
    <row r="452" spans="1:2" x14ac:dyDescent="0.4">
      <c r="A452" s="234">
        <v>43109</v>
      </c>
      <c r="B452" s="235">
        <v>274.54000000000002</v>
      </c>
    </row>
    <row r="453" spans="1:2" x14ac:dyDescent="0.4">
      <c r="A453" s="234">
        <v>43110</v>
      </c>
      <c r="B453" s="235">
        <v>274.12</v>
      </c>
    </row>
    <row r="454" spans="1:2" x14ac:dyDescent="0.4">
      <c r="A454" s="234">
        <v>43111</v>
      </c>
      <c r="B454" s="235">
        <v>276.12</v>
      </c>
    </row>
    <row r="455" spans="1:2" x14ac:dyDescent="0.4">
      <c r="A455" s="234">
        <v>43112</v>
      </c>
      <c r="B455" s="235">
        <v>277.92</v>
      </c>
    </row>
    <row r="456" spans="1:2" x14ac:dyDescent="0.4">
      <c r="A456" s="234">
        <v>43116</v>
      </c>
      <c r="B456" s="235">
        <v>276.97000000000003</v>
      </c>
    </row>
    <row r="457" spans="1:2" x14ac:dyDescent="0.4">
      <c r="A457" s="234">
        <v>43117</v>
      </c>
      <c r="B457" s="235">
        <v>279.61</v>
      </c>
    </row>
    <row r="458" spans="1:2" x14ac:dyDescent="0.4">
      <c r="A458" s="234">
        <v>43118</v>
      </c>
      <c r="B458" s="235">
        <v>279.14</v>
      </c>
    </row>
    <row r="459" spans="1:2" x14ac:dyDescent="0.4">
      <c r="A459" s="234">
        <v>43119</v>
      </c>
      <c r="B459" s="235">
        <v>280.41000000000003</v>
      </c>
    </row>
    <row r="460" spans="1:2" x14ac:dyDescent="0.4">
      <c r="A460" s="234">
        <v>43122</v>
      </c>
      <c r="B460" s="235">
        <v>282.69</v>
      </c>
    </row>
    <row r="461" spans="1:2" x14ac:dyDescent="0.4">
      <c r="A461" s="234">
        <v>43123</v>
      </c>
      <c r="B461" s="235">
        <v>283.29000000000002</v>
      </c>
    </row>
    <row r="462" spans="1:2" x14ac:dyDescent="0.4">
      <c r="A462" s="234">
        <v>43124</v>
      </c>
      <c r="B462" s="235">
        <v>283.18</v>
      </c>
    </row>
    <row r="463" spans="1:2" x14ac:dyDescent="0.4">
      <c r="A463" s="234">
        <v>43125</v>
      </c>
      <c r="B463" s="235">
        <v>283.3</v>
      </c>
    </row>
    <row r="464" spans="1:2" x14ac:dyDescent="0.4">
      <c r="A464" s="234">
        <v>43126</v>
      </c>
      <c r="B464" s="235">
        <v>286.58</v>
      </c>
    </row>
    <row r="465" spans="1:2" x14ac:dyDescent="0.4">
      <c r="A465" s="234">
        <v>43129</v>
      </c>
      <c r="B465" s="235">
        <v>284.68</v>
      </c>
    </row>
    <row r="466" spans="1:2" x14ac:dyDescent="0.4">
      <c r="A466" s="234">
        <v>43130</v>
      </c>
      <c r="B466" s="235">
        <v>281.76</v>
      </c>
    </row>
    <row r="467" spans="1:2" x14ac:dyDescent="0.4">
      <c r="A467" s="234">
        <v>43131</v>
      </c>
      <c r="B467" s="235">
        <v>281.89999999999998</v>
      </c>
    </row>
    <row r="468" spans="1:2" x14ac:dyDescent="0.4">
      <c r="A468" s="234">
        <v>43132</v>
      </c>
      <c r="B468" s="235">
        <v>281.58</v>
      </c>
    </row>
    <row r="469" spans="1:2" x14ac:dyDescent="0.4">
      <c r="A469" s="234">
        <v>43133</v>
      </c>
      <c r="B469" s="235">
        <v>275.45</v>
      </c>
    </row>
    <row r="470" spans="1:2" x14ac:dyDescent="0.4">
      <c r="A470" s="234">
        <v>43136</v>
      </c>
      <c r="B470" s="235">
        <v>263.93</v>
      </c>
    </row>
    <row r="471" spans="1:2" x14ac:dyDescent="0.4">
      <c r="A471" s="234">
        <v>43137</v>
      </c>
      <c r="B471" s="235">
        <v>269.13</v>
      </c>
    </row>
    <row r="472" spans="1:2" x14ac:dyDescent="0.4">
      <c r="A472" s="234">
        <v>43138</v>
      </c>
      <c r="B472" s="235">
        <v>267.67</v>
      </c>
    </row>
    <row r="473" spans="1:2" x14ac:dyDescent="0.4">
      <c r="A473" s="234">
        <v>43139</v>
      </c>
      <c r="B473" s="235">
        <v>257.63</v>
      </c>
    </row>
    <row r="474" spans="1:2" x14ac:dyDescent="0.4">
      <c r="A474" s="234">
        <v>43140</v>
      </c>
      <c r="B474" s="235">
        <v>261.5</v>
      </c>
    </row>
    <row r="475" spans="1:2" x14ac:dyDescent="0.4">
      <c r="A475" s="234">
        <v>43143</v>
      </c>
      <c r="B475" s="235">
        <v>265.33999999999997</v>
      </c>
    </row>
    <row r="476" spans="1:2" x14ac:dyDescent="0.4">
      <c r="A476" s="234">
        <v>43144</v>
      </c>
      <c r="B476" s="235">
        <v>266</v>
      </c>
    </row>
    <row r="477" spans="1:2" x14ac:dyDescent="0.4">
      <c r="A477" s="234">
        <v>43145</v>
      </c>
      <c r="B477" s="235">
        <v>269.58999999999997</v>
      </c>
    </row>
    <row r="478" spans="1:2" x14ac:dyDescent="0.4">
      <c r="A478" s="234">
        <v>43146</v>
      </c>
      <c r="B478" s="235">
        <v>273.02999999999997</v>
      </c>
    </row>
    <row r="479" spans="1:2" x14ac:dyDescent="0.4">
      <c r="A479" s="234">
        <v>43147</v>
      </c>
      <c r="B479" s="235">
        <v>273.11</v>
      </c>
    </row>
    <row r="480" spans="1:2" x14ac:dyDescent="0.4">
      <c r="A480" s="234">
        <v>43151</v>
      </c>
      <c r="B480" s="235">
        <v>271.39999999999998</v>
      </c>
    </row>
    <row r="481" spans="1:2" x14ac:dyDescent="0.4">
      <c r="A481" s="234">
        <v>43152</v>
      </c>
      <c r="B481" s="235">
        <v>270.05</v>
      </c>
    </row>
    <row r="482" spans="1:2" x14ac:dyDescent="0.4">
      <c r="A482" s="234">
        <v>43153</v>
      </c>
      <c r="B482" s="235">
        <v>270.39999999999998</v>
      </c>
    </row>
    <row r="483" spans="1:2" x14ac:dyDescent="0.4">
      <c r="A483" s="234">
        <v>43154</v>
      </c>
      <c r="B483" s="235">
        <v>274.70999999999998</v>
      </c>
    </row>
    <row r="484" spans="1:2" x14ac:dyDescent="0.4">
      <c r="A484" s="234">
        <v>43157</v>
      </c>
      <c r="B484" s="235">
        <v>277.89999999999998</v>
      </c>
    </row>
    <row r="485" spans="1:2" x14ac:dyDescent="0.4">
      <c r="A485" s="234">
        <v>43158</v>
      </c>
      <c r="B485" s="235">
        <v>274.43</v>
      </c>
    </row>
    <row r="486" spans="1:2" x14ac:dyDescent="0.4">
      <c r="A486" s="234">
        <v>43159</v>
      </c>
      <c r="B486" s="235">
        <v>271.64999999999998</v>
      </c>
    </row>
    <row r="487" spans="1:2" x14ac:dyDescent="0.4">
      <c r="A487" s="234">
        <v>43160</v>
      </c>
      <c r="B487" s="235">
        <v>267.7</v>
      </c>
    </row>
    <row r="488" spans="1:2" x14ac:dyDescent="0.4">
      <c r="A488" s="234">
        <v>43161</v>
      </c>
      <c r="B488" s="235">
        <v>269.08</v>
      </c>
    </row>
    <row r="489" spans="1:2" x14ac:dyDescent="0.4">
      <c r="A489" s="234">
        <v>43164</v>
      </c>
      <c r="B489" s="235">
        <v>272.19</v>
      </c>
    </row>
    <row r="490" spans="1:2" x14ac:dyDescent="0.4">
      <c r="A490" s="234">
        <v>43165</v>
      </c>
      <c r="B490" s="235">
        <v>272.88</v>
      </c>
    </row>
    <row r="491" spans="1:2" x14ac:dyDescent="0.4">
      <c r="A491" s="234">
        <v>43166</v>
      </c>
      <c r="B491" s="235">
        <v>272.77999999999997</v>
      </c>
    </row>
    <row r="492" spans="1:2" x14ac:dyDescent="0.4">
      <c r="A492" s="234">
        <v>43167</v>
      </c>
      <c r="B492" s="235">
        <v>274.10000000000002</v>
      </c>
    </row>
    <row r="493" spans="1:2" x14ac:dyDescent="0.4">
      <c r="A493" s="234">
        <v>43168</v>
      </c>
      <c r="B493" s="235">
        <v>278.87</v>
      </c>
    </row>
    <row r="494" spans="1:2" x14ac:dyDescent="0.4">
      <c r="A494" s="234">
        <v>43171</v>
      </c>
      <c r="B494" s="235">
        <v>278.52</v>
      </c>
    </row>
    <row r="495" spans="1:2" x14ac:dyDescent="0.4">
      <c r="A495" s="234">
        <v>43172</v>
      </c>
      <c r="B495" s="235">
        <v>276.72000000000003</v>
      </c>
    </row>
    <row r="496" spans="1:2" x14ac:dyDescent="0.4">
      <c r="A496" s="234">
        <v>43173</v>
      </c>
      <c r="B496" s="235">
        <v>275.3</v>
      </c>
    </row>
    <row r="497" spans="1:2" x14ac:dyDescent="0.4">
      <c r="A497" s="234">
        <v>43174</v>
      </c>
      <c r="B497" s="235">
        <v>275</v>
      </c>
    </row>
    <row r="498" spans="1:2" x14ac:dyDescent="0.4">
      <c r="A498" s="234">
        <v>43175</v>
      </c>
      <c r="B498" s="235">
        <v>274.2</v>
      </c>
    </row>
    <row r="499" spans="1:2" x14ac:dyDescent="0.4">
      <c r="A499" s="234">
        <v>43178</v>
      </c>
      <c r="B499" s="235">
        <v>270.49</v>
      </c>
    </row>
    <row r="500" spans="1:2" x14ac:dyDescent="0.4">
      <c r="A500" s="234">
        <v>43179</v>
      </c>
      <c r="B500" s="235">
        <v>270.95</v>
      </c>
    </row>
    <row r="501" spans="1:2" x14ac:dyDescent="0.4">
      <c r="A501" s="234">
        <v>43180</v>
      </c>
      <c r="B501" s="235">
        <v>270.43</v>
      </c>
    </row>
    <row r="502" spans="1:2" x14ac:dyDescent="0.4">
      <c r="A502" s="234">
        <v>43181</v>
      </c>
      <c r="B502" s="235">
        <v>263.67</v>
      </c>
    </row>
    <row r="503" spans="1:2" x14ac:dyDescent="0.4">
      <c r="A503" s="234">
        <v>43182</v>
      </c>
      <c r="B503" s="235">
        <v>258.05</v>
      </c>
    </row>
    <row r="504" spans="1:2" x14ac:dyDescent="0.4">
      <c r="A504" s="234">
        <v>43185</v>
      </c>
      <c r="B504" s="235">
        <v>265.11</v>
      </c>
    </row>
    <row r="505" spans="1:2" x14ac:dyDescent="0.4">
      <c r="A505" s="234">
        <v>43186</v>
      </c>
      <c r="B505" s="235">
        <v>260.60000000000002</v>
      </c>
    </row>
    <row r="506" spans="1:2" x14ac:dyDescent="0.4">
      <c r="A506" s="234">
        <v>43187</v>
      </c>
      <c r="B506" s="235">
        <v>259.83</v>
      </c>
    </row>
    <row r="507" spans="1:2" x14ac:dyDescent="0.4">
      <c r="A507" s="234">
        <v>43188</v>
      </c>
      <c r="B507" s="235">
        <v>263.14999999999998</v>
      </c>
    </row>
    <row r="508" spans="1:2" x14ac:dyDescent="0.4">
      <c r="A508" s="234">
        <v>43192</v>
      </c>
      <c r="B508" s="235">
        <v>257.47000000000003</v>
      </c>
    </row>
    <row r="509" spans="1:2" x14ac:dyDescent="0.4">
      <c r="A509" s="234">
        <v>43193</v>
      </c>
      <c r="B509" s="235">
        <v>260.77</v>
      </c>
    </row>
    <row r="510" spans="1:2" x14ac:dyDescent="0.4">
      <c r="A510" s="234">
        <v>43194</v>
      </c>
      <c r="B510" s="235">
        <v>263.56</v>
      </c>
    </row>
    <row r="511" spans="1:2" x14ac:dyDescent="0.4">
      <c r="A511" s="234">
        <v>43195</v>
      </c>
      <c r="B511" s="235">
        <v>265.64</v>
      </c>
    </row>
    <row r="512" spans="1:2" x14ac:dyDescent="0.4">
      <c r="A512" s="234">
        <v>43196</v>
      </c>
      <c r="B512" s="235">
        <v>259.72000000000003</v>
      </c>
    </row>
    <row r="513" spans="1:2" x14ac:dyDescent="0.4">
      <c r="A513" s="234">
        <v>43199</v>
      </c>
      <c r="B513" s="235">
        <v>261</v>
      </c>
    </row>
    <row r="514" spans="1:2" x14ac:dyDescent="0.4">
      <c r="A514" s="234">
        <v>43200</v>
      </c>
      <c r="B514" s="235">
        <v>265.14999999999998</v>
      </c>
    </row>
    <row r="515" spans="1:2" x14ac:dyDescent="0.4">
      <c r="A515" s="234">
        <v>43201</v>
      </c>
      <c r="B515" s="235">
        <v>263.76</v>
      </c>
    </row>
    <row r="516" spans="1:2" x14ac:dyDescent="0.4">
      <c r="A516" s="234">
        <v>43202</v>
      </c>
      <c r="B516" s="235">
        <v>265.93</v>
      </c>
    </row>
    <row r="517" spans="1:2" x14ac:dyDescent="0.4">
      <c r="A517" s="234">
        <v>43203</v>
      </c>
      <c r="B517" s="235">
        <v>265.14999999999998</v>
      </c>
    </row>
    <row r="518" spans="1:2" x14ac:dyDescent="0.4">
      <c r="A518" s="234">
        <v>43206</v>
      </c>
      <c r="B518" s="235">
        <v>267.33</v>
      </c>
    </row>
    <row r="519" spans="1:2" x14ac:dyDescent="0.4">
      <c r="A519" s="234">
        <v>43207</v>
      </c>
      <c r="B519" s="235">
        <v>270.19</v>
      </c>
    </row>
    <row r="520" spans="1:2" x14ac:dyDescent="0.4">
      <c r="A520" s="234">
        <v>43208</v>
      </c>
      <c r="B520" s="235">
        <v>270.39</v>
      </c>
    </row>
    <row r="521" spans="1:2" x14ac:dyDescent="0.4">
      <c r="A521" s="234">
        <v>43209</v>
      </c>
      <c r="B521" s="235">
        <v>268.89</v>
      </c>
    </row>
    <row r="522" spans="1:2" x14ac:dyDescent="0.4">
      <c r="A522" s="234">
        <v>43210</v>
      </c>
      <c r="B522" s="235">
        <v>266.61</v>
      </c>
    </row>
    <row r="523" spans="1:2" x14ac:dyDescent="0.4">
      <c r="A523" s="234">
        <v>43213</v>
      </c>
      <c r="B523" s="235">
        <v>266.57</v>
      </c>
    </row>
    <row r="524" spans="1:2" x14ac:dyDescent="0.4">
      <c r="A524" s="234">
        <v>43214</v>
      </c>
      <c r="B524" s="235">
        <v>262.98</v>
      </c>
    </row>
    <row r="525" spans="1:2" x14ac:dyDescent="0.4">
      <c r="A525" s="234">
        <v>43215</v>
      </c>
      <c r="B525" s="235">
        <v>263.63</v>
      </c>
    </row>
    <row r="526" spans="1:2" x14ac:dyDescent="0.4">
      <c r="A526" s="234">
        <v>43216</v>
      </c>
      <c r="B526" s="235">
        <v>266.31</v>
      </c>
    </row>
    <row r="527" spans="1:2" x14ac:dyDescent="0.4">
      <c r="A527" s="234">
        <v>43217</v>
      </c>
      <c r="B527" s="235">
        <v>266.56</v>
      </c>
    </row>
    <row r="528" spans="1:2" x14ac:dyDescent="0.4">
      <c r="A528" s="234">
        <v>43220</v>
      </c>
      <c r="B528" s="235">
        <v>264.51</v>
      </c>
    </row>
    <row r="529" spans="1:2" x14ac:dyDescent="0.4">
      <c r="A529" s="234">
        <v>43221</v>
      </c>
      <c r="B529" s="235">
        <v>264.98</v>
      </c>
    </row>
    <row r="530" spans="1:2" x14ac:dyDescent="0.4">
      <c r="A530" s="234">
        <v>43222</v>
      </c>
      <c r="B530" s="235">
        <v>263.2</v>
      </c>
    </row>
    <row r="531" spans="1:2" x14ac:dyDescent="0.4">
      <c r="A531" s="234">
        <v>43223</v>
      </c>
      <c r="B531" s="235">
        <v>262.62</v>
      </c>
    </row>
    <row r="532" spans="1:2" x14ac:dyDescent="0.4">
      <c r="A532" s="234">
        <v>43224</v>
      </c>
      <c r="B532" s="235">
        <v>266.02</v>
      </c>
    </row>
    <row r="533" spans="1:2" x14ac:dyDescent="0.4">
      <c r="A533" s="234">
        <v>43227</v>
      </c>
      <c r="B533" s="235">
        <v>266.92</v>
      </c>
    </row>
    <row r="534" spans="1:2" x14ac:dyDescent="0.4">
      <c r="A534" s="234">
        <v>43228</v>
      </c>
      <c r="B534" s="235">
        <v>266.92</v>
      </c>
    </row>
    <row r="535" spans="1:2" x14ac:dyDescent="0.4">
      <c r="A535" s="234">
        <v>43229</v>
      </c>
      <c r="B535" s="235">
        <v>269.5</v>
      </c>
    </row>
    <row r="536" spans="1:2" x14ac:dyDescent="0.4">
      <c r="A536" s="234">
        <v>43230</v>
      </c>
      <c r="B536" s="235">
        <v>272.02</v>
      </c>
    </row>
    <row r="537" spans="1:2" x14ac:dyDescent="0.4">
      <c r="A537" s="234">
        <v>43231</v>
      </c>
      <c r="B537" s="235">
        <v>272.85000000000002</v>
      </c>
    </row>
    <row r="538" spans="1:2" x14ac:dyDescent="0.4">
      <c r="A538" s="234">
        <v>43234</v>
      </c>
      <c r="B538" s="235">
        <v>272.98</v>
      </c>
    </row>
    <row r="539" spans="1:2" x14ac:dyDescent="0.4">
      <c r="A539" s="234">
        <v>43235</v>
      </c>
      <c r="B539" s="235">
        <v>271.10000000000002</v>
      </c>
    </row>
    <row r="540" spans="1:2" x14ac:dyDescent="0.4">
      <c r="A540" s="234">
        <v>43236</v>
      </c>
      <c r="B540" s="235">
        <v>272.24</v>
      </c>
    </row>
    <row r="541" spans="1:2" x14ac:dyDescent="0.4">
      <c r="A541" s="234">
        <v>43237</v>
      </c>
      <c r="B541" s="235">
        <v>272.01</v>
      </c>
    </row>
    <row r="542" spans="1:2" x14ac:dyDescent="0.4">
      <c r="A542" s="234">
        <v>43238</v>
      </c>
      <c r="B542" s="235">
        <v>271.33</v>
      </c>
    </row>
    <row r="543" spans="1:2" x14ac:dyDescent="0.4">
      <c r="A543" s="234">
        <v>43241</v>
      </c>
      <c r="B543" s="235">
        <v>273.37</v>
      </c>
    </row>
    <row r="544" spans="1:2" x14ac:dyDescent="0.4">
      <c r="A544" s="234">
        <v>43242</v>
      </c>
      <c r="B544" s="235">
        <v>272.61</v>
      </c>
    </row>
    <row r="545" spans="1:2" x14ac:dyDescent="0.4">
      <c r="A545" s="234">
        <v>43243</v>
      </c>
      <c r="B545" s="235">
        <v>273.36</v>
      </c>
    </row>
    <row r="546" spans="1:2" x14ac:dyDescent="0.4">
      <c r="A546" s="234">
        <v>43244</v>
      </c>
      <c r="B546" s="235">
        <v>272.8</v>
      </c>
    </row>
    <row r="547" spans="1:2" x14ac:dyDescent="0.4">
      <c r="A547" s="234">
        <v>43245</v>
      </c>
      <c r="B547" s="235">
        <v>272.14999999999998</v>
      </c>
    </row>
    <row r="548" spans="1:2" x14ac:dyDescent="0.4">
      <c r="A548" s="234">
        <v>43249</v>
      </c>
      <c r="B548" s="235">
        <v>269.02</v>
      </c>
    </row>
    <row r="549" spans="1:2" x14ac:dyDescent="0.4">
      <c r="A549" s="234">
        <v>43250</v>
      </c>
      <c r="B549" s="235">
        <v>272.61</v>
      </c>
    </row>
    <row r="550" spans="1:2" x14ac:dyDescent="0.4">
      <c r="A550" s="234">
        <v>43251</v>
      </c>
      <c r="B550" s="235">
        <v>270.94</v>
      </c>
    </row>
    <row r="551" spans="1:2" x14ac:dyDescent="0.4">
      <c r="A551" s="234">
        <v>43252</v>
      </c>
      <c r="B551" s="235">
        <v>273.60000000000002</v>
      </c>
    </row>
    <row r="552" spans="1:2" x14ac:dyDescent="0.4">
      <c r="A552" s="234">
        <v>43255</v>
      </c>
      <c r="B552" s="235">
        <v>274.89999999999998</v>
      </c>
    </row>
    <row r="553" spans="1:2" x14ac:dyDescent="0.4">
      <c r="A553" s="234">
        <v>43256</v>
      </c>
      <c r="B553" s="235">
        <v>275.10000000000002</v>
      </c>
    </row>
    <row r="554" spans="1:2" x14ac:dyDescent="0.4">
      <c r="A554" s="234">
        <v>43257</v>
      </c>
      <c r="B554" s="235">
        <v>277.39999999999998</v>
      </c>
    </row>
    <row r="555" spans="1:2" x14ac:dyDescent="0.4">
      <c r="A555" s="234">
        <v>43258</v>
      </c>
      <c r="B555" s="235">
        <v>277.37</v>
      </c>
    </row>
    <row r="556" spans="1:2" x14ac:dyDescent="0.4">
      <c r="A556" s="234">
        <v>43259</v>
      </c>
      <c r="B556" s="235">
        <v>278.19</v>
      </c>
    </row>
    <row r="557" spans="1:2" x14ac:dyDescent="0.4">
      <c r="A557" s="234">
        <v>43262</v>
      </c>
      <c r="B557" s="235">
        <v>278.56</v>
      </c>
    </row>
    <row r="558" spans="1:2" x14ac:dyDescent="0.4">
      <c r="A558" s="234">
        <v>43263</v>
      </c>
      <c r="B558" s="235">
        <v>278.92</v>
      </c>
    </row>
    <row r="559" spans="1:2" x14ac:dyDescent="0.4">
      <c r="A559" s="234">
        <v>43264</v>
      </c>
      <c r="B559" s="235">
        <v>278.02999999999997</v>
      </c>
    </row>
    <row r="560" spans="1:2" x14ac:dyDescent="0.4">
      <c r="A560" s="234">
        <v>43265</v>
      </c>
      <c r="B560" s="235">
        <v>278.73</v>
      </c>
    </row>
    <row r="561" spans="1:2" x14ac:dyDescent="0.4">
      <c r="A561" s="234">
        <v>43266</v>
      </c>
      <c r="B561" s="235">
        <v>277.13</v>
      </c>
    </row>
    <row r="562" spans="1:2" x14ac:dyDescent="0.4">
      <c r="A562" s="234">
        <v>43269</v>
      </c>
      <c r="B562" s="235">
        <v>276.56</v>
      </c>
    </row>
    <row r="563" spans="1:2" x14ac:dyDescent="0.4">
      <c r="A563" s="234">
        <v>43270</v>
      </c>
      <c r="B563" s="235">
        <v>275.5</v>
      </c>
    </row>
    <row r="564" spans="1:2" x14ac:dyDescent="0.4">
      <c r="A564" s="234">
        <v>43271</v>
      </c>
      <c r="B564" s="235">
        <v>275.97000000000003</v>
      </c>
    </row>
    <row r="565" spans="1:2" x14ac:dyDescent="0.4">
      <c r="A565" s="234">
        <v>43272</v>
      </c>
      <c r="B565" s="235">
        <v>274.24</v>
      </c>
    </row>
    <row r="566" spans="1:2" x14ac:dyDescent="0.4">
      <c r="A566" s="234">
        <v>43273</v>
      </c>
      <c r="B566" s="235">
        <v>274.74</v>
      </c>
    </row>
    <row r="567" spans="1:2" x14ac:dyDescent="0.4">
      <c r="A567" s="234">
        <v>43276</v>
      </c>
      <c r="B567" s="235">
        <v>271</v>
      </c>
    </row>
    <row r="568" spans="1:2" x14ac:dyDescent="0.4">
      <c r="A568" s="234">
        <v>43277</v>
      </c>
      <c r="B568" s="235">
        <v>271.60000000000002</v>
      </c>
    </row>
    <row r="569" spans="1:2" x14ac:dyDescent="0.4">
      <c r="A569" s="234">
        <v>43278</v>
      </c>
      <c r="B569" s="235">
        <v>269.35000000000002</v>
      </c>
    </row>
    <row r="570" spans="1:2" x14ac:dyDescent="0.4">
      <c r="A570" s="234">
        <v>43279</v>
      </c>
      <c r="B570" s="235">
        <v>270.89</v>
      </c>
    </row>
    <row r="571" spans="1:2" x14ac:dyDescent="0.4">
      <c r="A571" s="234">
        <v>43280</v>
      </c>
      <c r="B571" s="235">
        <v>271.27999999999997</v>
      </c>
    </row>
    <row r="572" spans="1:2" x14ac:dyDescent="0.4">
      <c r="A572" s="234">
        <v>43283</v>
      </c>
      <c r="B572" s="235">
        <v>271.86</v>
      </c>
    </row>
    <row r="573" spans="1:2" x14ac:dyDescent="0.4">
      <c r="A573" s="234">
        <v>43284</v>
      </c>
      <c r="B573" s="235">
        <v>270.89999999999998</v>
      </c>
    </row>
    <row r="574" spans="1:2" x14ac:dyDescent="0.4">
      <c r="A574" s="234">
        <v>43286</v>
      </c>
      <c r="B574" s="235">
        <v>273.11</v>
      </c>
    </row>
    <row r="575" spans="1:2" x14ac:dyDescent="0.4">
      <c r="A575" s="234">
        <v>43287</v>
      </c>
      <c r="B575" s="235">
        <v>275.42</v>
      </c>
    </row>
    <row r="576" spans="1:2" x14ac:dyDescent="0.4">
      <c r="A576" s="234">
        <v>43290</v>
      </c>
      <c r="B576" s="235">
        <v>277.89999999999998</v>
      </c>
    </row>
    <row r="577" spans="1:2" x14ac:dyDescent="0.4">
      <c r="A577" s="234">
        <v>43291</v>
      </c>
      <c r="B577" s="235">
        <v>278.89999999999998</v>
      </c>
    </row>
    <row r="578" spans="1:2" x14ac:dyDescent="0.4">
      <c r="A578" s="234">
        <v>43292</v>
      </c>
      <c r="B578" s="235">
        <v>276.86</v>
      </c>
    </row>
    <row r="579" spans="1:2" x14ac:dyDescent="0.4">
      <c r="A579" s="234">
        <v>43293</v>
      </c>
      <c r="B579" s="235">
        <v>279.37</v>
      </c>
    </row>
    <row r="580" spans="1:2" x14ac:dyDescent="0.4">
      <c r="A580" s="234">
        <v>43294</v>
      </c>
      <c r="B580" s="235">
        <v>279.58999999999997</v>
      </c>
    </row>
    <row r="581" spans="1:2" x14ac:dyDescent="0.4">
      <c r="A581" s="234">
        <v>43297</v>
      </c>
      <c r="B581" s="235">
        <v>279.33999999999997</v>
      </c>
    </row>
    <row r="582" spans="1:2" x14ac:dyDescent="0.4">
      <c r="A582" s="234">
        <v>43298</v>
      </c>
      <c r="B582" s="235">
        <v>280.47000000000003</v>
      </c>
    </row>
    <row r="583" spans="1:2" x14ac:dyDescent="0.4">
      <c r="A583" s="234">
        <v>43299</v>
      </c>
      <c r="B583" s="235">
        <v>281.06</v>
      </c>
    </row>
    <row r="584" spans="1:2" x14ac:dyDescent="0.4">
      <c r="A584" s="234">
        <v>43300</v>
      </c>
      <c r="B584" s="235">
        <v>280</v>
      </c>
    </row>
    <row r="585" spans="1:2" x14ac:dyDescent="0.4">
      <c r="A585" s="234">
        <v>43301</v>
      </c>
      <c r="B585" s="235">
        <v>279.68</v>
      </c>
    </row>
    <row r="586" spans="1:2" x14ac:dyDescent="0.4">
      <c r="A586" s="234">
        <v>43304</v>
      </c>
      <c r="B586" s="235">
        <v>280.2</v>
      </c>
    </row>
    <row r="587" spans="1:2" x14ac:dyDescent="0.4">
      <c r="A587" s="234">
        <v>43305</v>
      </c>
      <c r="B587" s="235">
        <v>281.61</v>
      </c>
    </row>
    <row r="588" spans="1:2" x14ac:dyDescent="0.4">
      <c r="A588" s="234">
        <v>43306</v>
      </c>
      <c r="B588" s="235">
        <v>284.01</v>
      </c>
    </row>
    <row r="589" spans="1:2" x14ac:dyDescent="0.4">
      <c r="A589" s="234">
        <v>43307</v>
      </c>
      <c r="B589" s="235">
        <v>283.33999999999997</v>
      </c>
    </row>
    <row r="590" spans="1:2" x14ac:dyDescent="0.4">
      <c r="A590" s="234">
        <v>43308</v>
      </c>
      <c r="B590" s="235">
        <v>281.42</v>
      </c>
    </row>
    <row r="591" spans="1:2" x14ac:dyDescent="0.4">
      <c r="A591" s="234">
        <v>43311</v>
      </c>
      <c r="B591" s="235">
        <v>279.95</v>
      </c>
    </row>
    <row r="592" spans="1:2" x14ac:dyDescent="0.4">
      <c r="A592" s="234">
        <v>43312</v>
      </c>
      <c r="B592" s="235">
        <v>281.33</v>
      </c>
    </row>
    <row r="593" spans="1:2" x14ac:dyDescent="0.4">
      <c r="A593" s="234">
        <v>43313</v>
      </c>
      <c r="B593" s="235">
        <v>280.86</v>
      </c>
    </row>
    <row r="594" spans="1:2" x14ac:dyDescent="0.4">
      <c r="A594" s="234">
        <v>43314</v>
      </c>
      <c r="B594" s="235">
        <v>282.39</v>
      </c>
    </row>
    <row r="595" spans="1:2" x14ac:dyDescent="0.4">
      <c r="A595" s="234">
        <v>43315</v>
      </c>
      <c r="B595" s="235">
        <v>283.60000000000002</v>
      </c>
    </row>
    <row r="596" spans="1:2" x14ac:dyDescent="0.4">
      <c r="A596" s="234">
        <v>43318</v>
      </c>
      <c r="B596" s="235">
        <v>284.64</v>
      </c>
    </row>
    <row r="597" spans="1:2" x14ac:dyDescent="0.4">
      <c r="A597" s="234">
        <v>43319</v>
      </c>
      <c r="B597" s="235">
        <v>285.58</v>
      </c>
    </row>
    <row r="598" spans="1:2" x14ac:dyDescent="0.4">
      <c r="A598" s="234">
        <v>43320</v>
      </c>
      <c r="B598" s="235">
        <v>285.45999999999998</v>
      </c>
    </row>
    <row r="599" spans="1:2" x14ac:dyDescent="0.4">
      <c r="A599" s="234">
        <v>43321</v>
      </c>
      <c r="B599" s="235">
        <v>285.07</v>
      </c>
    </row>
    <row r="600" spans="1:2" x14ac:dyDescent="0.4">
      <c r="A600" s="234">
        <v>43322</v>
      </c>
      <c r="B600" s="235">
        <v>283.16000000000003</v>
      </c>
    </row>
    <row r="601" spans="1:2" x14ac:dyDescent="0.4">
      <c r="A601" s="234">
        <v>43325</v>
      </c>
      <c r="B601" s="235">
        <v>282.10000000000002</v>
      </c>
    </row>
    <row r="602" spans="1:2" x14ac:dyDescent="0.4">
      <c r="A602" s="234">
        <v>43326</v>
      </c>
      <c r="B602" s="235">
        <v>283.89999999999998</v>
      </c>
    </row>
    <row r="603" spans="1:2" x14ac:dyDescent="0.4">
      <c r="A603" s="234">
        <v>43327</v>
      </c>
      <c r="B603" s="235">
        <v>281.77999999999997</v>
      </c>
    </row>
    <row r="604" spans="1:2" x14ac:dyDescent="0.4">
      <c r="A604" s="234">
        <v>43328</v>
      </c>
      <c r="B604" s="235">
        <v>284.06</v>
      </c>
    </row>
    <row r="605" spans="1:2" x14ac:dyDescent="0.4">
      <c r="A605" s="234">
        <v>43329</v>
      </c>
      <c r="B605" s="235">
        <v>285.06</v>
      </c>
    </row>
    <row r="606" spans="1:2" x14ac:dyDescent="0.4">
      <c r="A606" s="234">
        <v>43332</v>
      </c>
      <c r="B606" s="235">
        <v>285.67</v>
      </c>
    </row>
    <row r="607" spans="1:2" x14ac:dyDescent="0.4">
      <c r="A607" s="234">
        <v>43333</v>
      </c>
      <c r="B607" s="235">
        <v>286.33999999999997</v>
      </c>
    </row>
    <row r="608" spans="1:2" x14ac:dyDescent="0.4">
      <c r="A608" s="234">
        <v>43334</v>
      </c>
      <c r="B608" s="235">
        <v>286.17</v>
      </c>
    </row>
    <row r="609" spans="1:2" x14ac:dyDescent="0.4">
      <c r="A609" s="234">
        <v>43335</v>
      </c>
      <c r="B609" s="235">
        <v>285.79000000000002</v>
      </c>
    </row>
    <row r="610" spans="1:2" x14ac:dyDescent="0.4">
      <c r="A610" s="234">
        <v>43336</v>
      </c>
      <c r="B610" s="235">
        <v>287.51</v>
      </c>
    </row>
    <row r="611" spans="1:2" x14ac:dyDescent="0.4">
      <c r="A611" s="234">
        <v>43339</v>
      </c>
      <c r="B611" s="235">
        <v>289.77999999999997</v>
      </c>
    </row>
    <row r="612" spans="1:2" x14ac:dyDescent="0.4">
      <c r="A612" s="234">
        <v>43340</v>
      </c>
      <c r="B612" s="235">
        <v>289.92</v>
      </c>
    </row>
    <row r="613" spans="1:2" x14ac:dyDescent="0.4">
      <c r="A613" s="234">
        <v>43341</v>
      </c>
      <c r="B613" s="235">
        <v>291.48</v>
      </c>
    </row>
    <row r="614" spans="1:2" x14ac:dyDescent="0.4">
      <c r="A614" s="234">
        <v>43342</v>
      </c>
      <c r="B614" s="235">
        <v>290.3</v>
      </c>
    </row>
    <row r="615" spans="1:2" x14ac:dyDescent="0.4">
      <c r="A615" s="234">
        <v>43343</v>
      </c>
      <c r="B615" s="235">
        <v>290.31</v>
      </c>
    </row>
    <row r="616" spans="1:2" x14ac:dyDescent="0.4">
      <c r="A616" s="234">
        <v>43347</v>
      </c>
      <c r="B616" s="235">
        <v>289.81</v>
      </c>
    </row>
    <row r="617" spans="1:2" x14ac:dyDescent="0.4">
      <c r="A617" s="234">
        <v>43348</v>
      </c>
      <c r="B617" s="235">
        <v>289.02999999999997</v>
      </c>
    </row>
    <row r="618" spans="1:2" x14ac:dyDescent="0.4">
      <c r="A618" s="234">
        <v>43349</v>
      </c>
      <c r="B618" s="235">
        <v>288.16000000000003</v>
      </c>
    </row>
    <row r="619" spans="1:2" x14ac:dyDescent="0.4">
      <c r="A619" s="234">
        <v>43350</v>
      </c>
      <c r="B619" s="235">
        <v>287.60000000000002</v>
      </c>
    </row>
    <row r="620" spans="1:2" x14ac:dyDescent="0.4">
      <c r="A620" s="234">
        <v>43353</v>
      </c>
      <c r="B620" s="235">
        <v>288.10000000000002</v>
      </c>
    </row>
    <row r="621" spans="1:2" x14ac:dyDescent="0.4">
      <c r="A621" s="234">
        <v>43354</v>
      </c>
      <c r="B621" s="235">
        <v>289.05</v>
      </c>
    </row>
    <row r="622" spans="1:2" x14ac:dyDescent="0.4">
      <c r="A622" s="234">
        <v>43355</v>
      </c>
      <c r="B622" s="235">
        <v>289.12</v>
      </c>
    </row>
    <row r="623" spans="1:2" x14ac:dyDescent="0.4">
      <c r="A623" s="234">
        <v>43356</v>
      </c>
      <c r="B623" s="235">
        <v>290.83</v>
      </c>
    </row>
    <row r="624" spans="1:2" x14ac:dyDescent="0.4">
      <c r="A624" s="234">
        <v>43357</v>
      </c>
      <c r="B624" s="235">
        <v>290.88</v>
      </c>
    </row>
    <row r="625" spans="1:2" x14ac:dyDescent="0.4">
      <c r="A625" s="234">
        <v>43360</v>
      </c>
      <c r="B625" s="235">
        <v>289.33999999999997</v>
      </c>
    </row>
    <row r="626" spans="1:2" x14ac:dyDescent="0.4">
      <c r="A626" s="234">
        <v>43361</v>
      </c>
      <c r="B626" s="235">
        <v>290.91000000000003</v>
      </c>
    </row>
    <row r="627" spans="1:2" x14ac:dyDescent="0.4">
      <c r="A627" s="234">
        <v>43362</v>
      </c>
      <c r="B627" s="235">
        <v>291.22000000000003</v>
      </c>
    </row>
    <row r="628" spans="1:2" x14ac:dyDescent="0.4">
      <c r="A628" s="234">
        <v>43363</v>
      </c>
      <c r="B628" s="235">
        <v>293.58</v>
      </c>
    </row>
    <row r="629" spans="1:2" x14ac:dyDescent="0.4">
      <c r="A629" s="234">
        <v>43364</v>
      </c>
      <c r="B629" s="235">
        <v>291.99</v>
      </c>
    </row>
    <row r="630" spans="1:2" x14ac:dyDescent="0.4">
      <c r="A630" s="234">
        <v>43367</v>
      </c>
      <c r="B630" s="235">
        <v>291.02</v>
      </c>
    </row>
    <row r="631" spans="1:2" x14ac:dyDescent="0.4">
      <c r="A631" s="234">
        <v>43368</v>
      </c>
      <c r="B631" s="235">
        <v>290.75</v>
      </c>
    </row>
    <row r="632" spans="1:2" x14ac:dyDescent="0.4">
      <c r="A632" s="234">
        <v>43369</v>
      </c>
      <c r="B632" s="235">
        <v>289.88</v>
      </c>
    </row>
    <row r="633" spans="1:2" x14ac:dyDescent="0.4">
      <c r="A633" s="234">
        <v>43370</v>
      </c>
      <c r="B633" s="235">
        <v>290.69</v>
      </c>
    </row>
    <row r="634" spans="1:2" x14ac:dyDescent="0.4">
      <c r="A634" s="234">
        <v>43371</v>
      </c>
      <c r="B634" s="235">
        <v>290.72000000000003</v>
      </c>
    </row>
    <row r="635" spans="1:2" x14ac:dyDescent="0.4">
      <c r="A635" s="234">
        <v>43374</v>
      </c>
      <c r="B635" s="235">
        <v>291.73</v>
      </c>
    </row>
    <row r="636" spans="1:2" x14ac:dyDescent="0.4">
      <c r="A636" s="234">
        <v>43375</v>
      </c>
      <c r="B636" s="235">
        <v>291.56</v>
      </c>
    </row>
    <row r="637" spans="1:2" x14ac:dyDescent="0.4">
      <c r="A637" s="234">
        <v>43376</v>
      </c>
      <c r="B637" s="235">
        <v>291.72000000000003</v>
      </c>
    </row>
    <row r="638" spans="1:2" x14ac:dyDescent="0.4">
      <c r="A638" s="234">
        <v>43377</v>
      </c>
      <c r="B638" s="235">
        <v>289.44</v>
      </c>
    </row>
    <row r="639" spans="1:2" x14ac:dyDescent="0.4">
      <c r="A639" s="234">
        <v>43378</v>
      </c>
      <c r="B639" s="235">
        <v>287.82</v>
      </c>
    </row>
    <row r="640" spans="1:2" x14ac:dyDescent="0.4">
      <c r="A640" s="234">
        <v>43381</v>
      </c>
      <c r="B640" s="235">
        <v>287.82</v>
      </c>
    </row>
    <row r="641" spans="1:2" x14ac:dyDescent="0.4">
      <c r="A641" s="234">
        <v>43382</v>
      </c>
      <c r="B641" s="235">
        <v>287.39999999999998</v>
      </c>
    </row>
    <row r="642" spans="1:2" x14ac:dyDescent="0.4">
      <c r="A642" s="234">
        <v>43383</v>
      </c>
      <c r="B642" s="235">
        <v>278.3</v>
      </c>
    </row>
    <row r="643" spans="1:2" x14ac:dyDescent="0.4">
      <c r="A643" s="234">
        <v>43384</v>
      </c>
      <c r="B643" s="235">
        <v>272.17</v>
      </c>
    </row>
    <row r="644" spans="1:2" x14ac:dyDescent="0.4">
      <c r="A644" s="234">
        <v>43385</v>
      </c>
      <c r="B644" s="235">
        <v>275.95</v>
      </c>
    </row>
    <row r="645" spans="1:2" x14ac:dyDescent="0.4">
      <c r="A645" s="234">
        <v>43388</v>
      </c>
      <c r="B645" s="235">
        <v>274.39999999999998</v>
      </c>
    </row>
    <row r="646" spans="1:2" x14ac:dyDescent="0.4">
      <c r="A646" s="234">
        <v>43389</v>
      </c>
      <c r="B646" s="235">
        <v>280.39999999999998</v>
      </c>
    </row>
    <row r="647" spans="1:2" x14ac:dyDescent="0.4">
      <c r="A647" s="234">
        <v>43390</v>
      </c>
      <c r="B647" s="235">
        <v>280.45</v>
      </c>
    </row>
    <row r="648" spans="1:2" x14ac:dyDescent="0.4">
      <c r="A648" s="234">
        <v>43391</v>
      </c>
      <c r="B648" s="235">
        <v>276.39999999999998</v>
      </c>
    </row>
    <row r="649" spans="1:2" x14ac:dyDescent="0.4">
      <c r="A649" s="234">
        <v>43392</v>
      </c>
      <c r="B649" s="235">
        <v>276.25</v>
      </c>
    </row>
    <row r="650" spans="1:2" x14ac:dyDescent="0.4">
      <c r="A650" s="234">
        <v>43395</v>
      </c>
      <c r="B650" s="235">
        <v>275.01</v>
      </c>
    </row>
    <row r="651" spans="1:2" x14ac:dyDescent="0.4">
      <c r="A651" s="234">
        <v>43396</v>
      </c>
      <c r="B651" s="235">
        <v>273.61</v>
      </c>
    </row>
    <row r="652" spans="1:2" x14ac:dyDescent="0.4">
      <c r="A652" s="234">
        <v>43397</v>
      </c>
      <c r="B652" s="235">
        <v>265.32</v>
      </c>
    </row>
    <row r="653" spans="1:2" x14ac:dyDescent="0.4">
      <c r="A653" s="234">
        <v>43398</v>
      </c>
      <c r="B653" s="235">
        <v>270.08</v>
      </c>
    </row>
    <row r="654" spans="1:2" x14ac:dyDescent="0.4">
      <c r="A654" s="234">
        <v>43399</v>
      </c>
      <c r="B654" s="235">
        <v>265.33</v>
      </c>
    </row>
    <row r="655" spans="1:2" x14ac:dyDescent="0.4">
      <c r="A655" s="234">
        <v>43402</v>
      </c>
      <c r="B655" s="235">
        <v>263.86</v>
      </c>
    </row>
    <row r="656" spans="1:2" x14ac:dyDescent="0.4">
      <c r="A656" s="234">
        <v>43403</v>
      </c>
      <c r="B656" s="235">
        <v>267.77</v>
      </c>
    </row>
    <row r="657" spans="1:2" x14ac:dyDescent="0.4">
      <c r="A657" s="234">
        <v>43404</v>
      </c>
      <c r="B657" s="235">
        <v>270.63</v>
      </c>
    </row>
    <row r="658" spans="1:2" x14ac:dyDescent="0.4">
      <c r="A658" s="234">
        <v>43405</v>
      </c>
      <c r="B658" s="235">
        <v>273.51</v>
      </c>
    </row>
    <row r="659" spans="1:2" x14ac:dyDescent="0.4">
      <c r="A659" s="234">
        <v>43406</v>
      </c>
      <c r="B659" s="235">
        <v>271.89</v>
      </c>
    </row>
    <row r="660" spans="1:2" x14ac:dyDescent="0.4">
      <c r="A660" s="234">
        <v>43409</v>
      </c>
      <c r="B660" s="235">
        <v>273.39</v>
      </c>
    </row>
    <row r="661" spans="1:2" x14ac:dyDescent="0.4">
      <c r="A661" s="234">
        <v>43410</v>
      </c>
      <c r="B661" s="235">
        <v>275.12</v>
      </c>
    </row>
    <row r="662" spans="1:2" x14ac:dyDescent="0.4">
      <c r="A662" s="234">
        <v>43411</v>
      </c>
      <c r="B662" s="235">
        <v>281.01</v>
      </c>
    </row>
    <row r="663" spans="1:2" x14ac:dyDescent="0.4">
      <c r="A663" s="234">
        <v>43412</v>
      </c>
      <c r="B663" s="235">
        <v>280.5</v>
      </c>
    </row>
    <row r="664" spans="1:2" x14ac:dyDescent="0.4">
      <c r="A664" s="234">
        <v>43413</v>
      </c>
      <c r="B664" s="235">
        <v>277.76</v>
      </c>
    </row>
    <row r="665" spans="1:2" x14ac:dyDescent="0.4">
      <c r="A665" s="234">
        <v>43416</v>
      </c>
      <c r="B665" s="235">
        <v>272.57</v>
      </c>
    </row>
    <row r="666" spans="1:2" x14ac:dyDescent="0.4">
      <c r="A666" s="234">
        <v>43417</v>
      </c>
      <c r="B666" s="235">
        <v>272.06</v>
      </c>
    </row>
    <row r="667" spans="1:2" x14ac:dyDescent="0.4">
      <c r="A667" s="234">
        <v>43418</v>
      </c>
      <c r="B667" s="235">
        <v>270.2</v>
      </c>
    </row>
    <row r="668" spans="1:2" x14ac:dyDescent="0.4">
      <c r="A668" s="234">
        <v>43419</v>
      </c>
      <c r="B668" s="235">
        <v>273.02</v>
      </c>
    </row>
    <row r="669" spans="1:2" x14ac:dyDescent="0.4">
      <c r="A669" s="234">
        <v>43420</v>
      </c>
      <c r="B669" s="235">
        <v>273.73</v>
      </c>
    </row>
    <row r="670" spans="1:2" x14ac:dyDescent="0.4">
      <c r="A670" s="234">
        <v>43423</v>
      </c>
      <c r="B670" s="235">
        <v>269.10000000000002</v>
      </c>
    </row>
    <row r="671" spans="1:2" x14ac:dyDescent="0.4">
      <c r="A671" s="234">
        <v>43424</v>
      </c>
      <c r="B671" s="235">
        <v>264.12</v>
      </c>
    </row>
    <row r="672" spans="1:2" x14ac:dyDescent="0.4">
      <c r="A672" s="234">
        <v>43425</v>
      </c>
      <c r="B672" s="235">
        <v>265.02</v>
      </c>
    </row>
    <row r="673" spans="1:2" x14ac:dyDescent="0.4">
      <c r="A673" s="234">
        <v>43427</v>
      </c>
      <c r="B673" s="235">
        <v>263.25</v>
      </c>
    </row>
    <row r="674" spans="1:2" x14ac:dyDescent="0.4">
      <c r="A674" s="234">
        <v>43430</v>
      </c>
      <c r="B674" s="235">
        <v>267.5</v>
      </c>
    </row>
    <row r="675" spans="1:2" x14ac:dyDescent="0.4">
      <c r="A675" s="234">
        <v>43431</v>
      </c>
      <c r="B675" s="235">
        <v>268.39999999999998</v>
      </c>
    </row>
    <row r="676" spans="1:2" x14ac:dyDescent="0.4">
      <c r="A676" s="234">
        <v>43432</v>
      </c>
      <c r="B676" s="235">
        <v>274.58</v>
      </c>
    </row>
    <row r="677" spans="1:2" x14ac:dyDescent="0.4">
      <c r="A677" s="234">
        <v>43433</v>
      </c>
      <c r="B677" s="235">
        <v>273.98</v>
      </c>
    </row>
    <row r="678" spans="1:2" x14ac:dyDescent="0.4">
      <c r="A678" s="234">
        <v>43434</v>
      </c>
      <c r="B678" s="235">
        <v>275.64999999999998</v>
      </c>
    </row>
    <row r="679" spans="1:2" x14ac:dyDescent="0.4">
      <c r="A679" s="234">
        <v>43437</v>
      </c>
      <c r="B679" s="235">
        <v>279.3</v>
      </c>
    </row>
    <row r="680" spans="1:2" x14ac:dyDescent="0.4">
      <c r="A680" s="234">
        <v>43438</v>
      </c>
      <c r="B680" s="235">
        <v>270.25</v>
      </c>
    </row>
    <row r="681" spans="1:2" x14ac:dyDescent="0.4">
      <c r="A681" s="234">
        <v>43440</v>
      </c>
      <c r="B681" s="235">
        <v>269.83999999999997</v>
      </c>
    </row>
    <row r="682" spans="1:2" x14ac:dyDescent="0.4">
      <c r="A682" s="234">
        <v>43441</v>
      </c>
      <c r="B682" s="235">
        <v>263.57</v>
      </c>
    </row>
    <row r="683" spans="1:2" x14ac:dyDescent="0.4">
      <c r="A683" s="234">
        <v>43444</v>
      </c>
      <c r="B683" s="235">
        <v>264.07</v>
      </c>
    </row>
    <row r="684" spans="1:2" x14ac:dyDescent="0.4">
      <c r="A684" s="234">
        <v>43445</v>
      </c>
      <c r="B684" s="235">
        <v>264.13</v>
      </c>
    </row>
    <row r="685" spans="1:2" x14ac:dyDescent="0.4">
      <c r="A685" s="234">
        <v>43446</v>
      </c>
      <c r="B685" s="235">
        <v>265.45999999999998</v>
      </c>
    </row>
    <row r="686" spans="1:2" x14ac:dyDescent="0.4">
      <c r="A686" s="234">
        <v>43447</v>
      </c>
      <c r="B686" s="235">
        <v>265.37</v>
      </c>
    </row>
    <row r="687" spans="1:2" x14ac:dyDescent="0.4">
      <c r="A687" s="234">
        <v>43448</v>
      </c>
      <c r="B687" s="235">
        <v>260.47000000000003</v>
      </c>
    </row>
    <row r="688" spans="1:2" x14ac:dyDescent="0.4">
      <c r="A688" s="234">
        <v>43451</v>
      </c>
      <c r="B688" s="235">
        <v>255.36</v>
      </c>
    </row>
    <row r="689" spans="1:2" x14ac:dyDescent="0.4">
      <c r="A689" s="234">
        <v>43452</v>
      </c>
      <c r="B689" s="235">
        <v>255.08</v>
      </c>
    </row>
    <row r="690" spans="1:2" x14ac:dyDescent="0.4">
      <c r="A690" s="234">
        <v>43453</v>
      </c>
      <c r="B690" s="235">
        <v>251.26</v>
      </c>
    </row>
    <row r="691" spans="1:2" x14ac:dyDescent="0.4">
      <c r="A691" s="234">
        <v>43454</v>
      </c>
      <c r="B691" s="235">
        <v>247.17</v>
      </c>
    </row>
    <row r="692" spans="1:2" x14ac:dyDescent="0.4">
      <c r="A692" s="234">
        <v>43455</v>
      </c>
      <c r="B692" s="235">
        <v>240.7</v>
      </c>
    </row>
    <row r="693" spans="1:2" x14ac:dyDescent="0.4">
      <c r="A693" s="234">
        <v>43458</v>
      </c>
      <c r="B693" s="235">
        <v>234.34</v>
      </c>
    </row>
    <row r="694" spans="1:2" x14ac:dyDescent="0.4">
      <c r="A694" s="234">
        <v>43460</v>
      </c>
      <c r="B694" s="235">
        <v>246.18</v>
      </c>
    </row>
    <row r="695" spans="1:2" x14ac:dyDescent="0.4">
      <c r="A695" s="234">
        <v>43461</v>
      </c>
      <c r="B695" s="235">
        <v>248.07</v>
      </c>
    </row>
    <row r="696" spans="1:2" x14ac:dyDescent="0.4">
      <c r="A696" s="234">
        <v>43462</v>
      </c>
      <c r="B696" s="235">
        <v>247.75</v>
      </c>
    </row>
    <row r="697" spans="1:2" x14ac:dyDescent="0.4">
      <c r="A697" s="234">
        <v>43465</v>
      </c>
      <c r="B697" s="235">
        <v>249.92</v>
      </c>
    </row>
    <row r="698" spans="1:2" x14ac:dyDescent="0.4">
      <c r="A698" s="234">
        <v>43466</v>
      </c>
      <c r="B698" s="235">
        <v>249.92</v>
      </c>
    </row>
    <row r="699" spans="1:2" x14ac:dyDescent="0.4">
      <c r="A699" s="234">
        <v>43467</v>
      </c>
      <c r="B699" s="235">
        <v>250.18</v>
      </c>
    </row>
    <row r="700" spans="1:2" x14ac:dyDescent="0.4">
      <c r="A700" s="234">
        <v>43468</v>
      </c>
      <c r="B700" s="235">
        <v>244.21</v>
      </c>
    </row>
    <row r="701" spans="1:2" x14ac:dyDescent="0.4">
      <c r="A701" s="234">
        <v>43469</v>
      </c>
      <c r="B701" s="235">
        <v>252.39</v>
      </c>
    </row>
    <row r="702" spans="1:2" x14ac:dyDescent="0.4">
      <c r="A702" s="234">
        <v>43472</v>
      </c>
      <c r="B702" s="235">
        <v>254.38</v>
      </c>
    </row>
    <row r="703" spans="1:2" x14ac:dyDescent="0.4">
      <c r="A703" s="234">
        <v>43473</v>
      </c>
      <c r="B703" s="235">
        <v>256.77</v>
      </c>
    </row>
    <row r="704" spans="1:2" x14ac:dyDescent="0.4">
      <c r="A704" s="234">
        <v>43474</v>
      </c>
      <c r="B704" s="235">
        <v>257.97000000000003</v>
      </c>
    </row>
    <row r="705" spans="1:2" x14ac:dyDescent="0.4">
      <c r="A705" s="234">
        <v>43475</v>
      </c>
      <c r="B705" s="235">
        <v>258.88</v>
      </c>
    </row>
    <row r="706" spans="1:2" x14ac:dyDescent="0.4">
      <c r="A706" s="234">
        <v>43476</v>
      </c>
      <c r="B706" s="235">
        <v>258.98</v>
      </c>
    </row>
    <row r="707" spans="1:2" x14ac:dyDescent="0.4">
      <c r="A707" s="234">
        <v>43479</v>
      </c>
      <c r="B707" s="235">
        <v>257.39999999999998</v>
      </c>
    </row>
    <row r="708" spans="1:2" x14ac:dyDescent="0.4">
      <c r="A708" s="234">
        <v>43480</v>
      </c>
      <c r="B708" s="235">
        <v>260.35000000000002</v>
      </c>
    </row>
    <row r="709" spans="1:2" x14ac:dyDescent="0.4">
      <c r="A709" s="234">
        <v>43481</v>
      </c>
      <c r="B709" s="235">
        <v>260.98</v>
      </c>
    </row>
    <row r="710" spans="1:2" x14ac:dyDescent="0.4">
      <c r="A710" s="234">
        <v>43482</v>
      </c>
      <c r="B710" s="235">
        <v>262.95999999999998</v>
      </c>
    </row>
    <row r="711" spans="1:2" x14ac:dyDescent="0.4">
      <c r="A711" s="234">
        <v>43483</v>
      </c>
      <c r="B711" s="235">
        <v>266.45999999999998</v>
      </c>
    </row>
    <row r="712" spans="1:2" x14ac:dyDescent="0.4">
      <c r="A712" s="234">
        <v>43486</v>
      </c>
      <c r="B712" s="235">
        <v>266.45999999999998</v>
      </c>
    </row>
    <row r="713" spans="1:2" x14ac:dyDescent="0.4">
      <c r="A713" s="234">
        <v>43487</v>
      </c>
      <c r="B713" s="235">
        <v>262.86</v>
      </c>
    </row>
    <row r="714" spans="1:2" x14ac:dyDescent="0.4">
      <c r="A714" s="234">
        <v>43488</v>
      </c>
      <c r="B714" s="235">
        <v>263.41000000000003</v>
      </c>
    </row>
    <row r="715" spans="1:2" x14ac:dyDescent="0.4">
      <c r="A715" s="234">
        <v>43489</v>
      </c>
      <c r="B715" s="235">
        <v>263.55</v>
      </c>
    </row>
    <row r="716" spans="1:2" x14ac:dyDescent="0.4">
      <c r="A716" s="234">
        <v>43490</v>
      </c>
      <c r="B716" s="235">
        <v>265.77999999999997</v>
      </c>
    </row>
    <row r="717" spans="1:2" x14ac:dyDescent="0.4">
      <c r="A717" s="234">
        <v>43493</v>
      </c>
      <c r="B717" s="235">
        <v>263.76</v>
      </c>
    </row>
    <row r="718" spans="1:2" x14ac:dyDescent="0.4">
      <c r="A718" s="234">
        <v>43494</v>
      </c>
      <c r="B718" s="235">
        <v>263.41000000000003</v>
      </c>
    </row>
    <row r="719" spans="1:2" x14ac:dyDescent="0.4">
      <c r="A719" s="234">
        <v>43495</v>
      </c>
      <c r="B719" s="235">
        <v>267.58</v>
      </c>
    </row>
    <row r="720" spans="1:2" x14ac:dyDescent="0.4">
      <c r="A720" s="234">
        <v>43496</v>
      </c>
      <c r="B720" s="235">
        <v>269.93</v>
      </c>
    </row>
    <row r="721" spans="1:2" x14ac:dyDescent="0.4">
      <c r="A721" s="234">
        <v>43497</v>
      </c>
      <c r="B721" s="235">
        <v>270.06</v>
      </c>
    </row>
    <row r="722" spans="1:2" x14ac:dyDescent="0.4">
      <c r="A722" s="234">
        <v>43500</v>
      </c>
      <c r="B722" s="235">
        <v>271.95999999999998</v>
      </c>
    </row>
    <row r="723" spans="1:2" x14ac:dyDescent="0.4">
      <c r="A723" s="234">
        <v>43501</v>
      </c>
      <c r="B723" s="235">
        <v>273.10000000000002</v>
      </c>
    </row>
    <row r="724" spans="1:2" x14ac:dyDescent="0.4">
      <c r="A724" s="234">
        <v>43502</v>
      </c>
      <c r="B724" s="235">
        <v>272.74</v>
      </c>
    </row>
    <row r="725" spans="1:2" x14ac:dyDescent="0.4">
      <c r="A725" s="234">
        <v>43503</v>
      </c>
      <c r="B725" s="235">
        <v>270.14</v>
      </c>
    </row>
    <row r="726" spans="1:2" x14ac:dyDescent="0.4">
      <c r="A726" s="234">
        <v>43504</v>
      </c>
      <c r="B726" s="235">
        <v>270.47000000000003</v>
      </c>
    </row>
    <row r="727" spans="1:2" x14ac:dyDescent="0.4">
      <c r="A727" s="234">
        <v>43507</v>
      </c>
      <c r="B727" s="235">
        <v>270.62</v>
      </c>
    </row>
    <row r="728" spans="1:2" x14ac:dyDescent="0.4">
      <c r="A728" s="234">
        <v>43508</v>
      </c>
      <c r="B728" s="235">
        <v>274.10000000000002</v>
      </c>
    </row>
    <row r="729" spans="1:2" x14ac:dyDescent="0.4">
      <c r="A729" s="234">
        <v>43509</v>
      </c>
      <c r="B729" s="235">
        <v>274.99</v>
      </c>
    </row>
    <row r="730" spans="1:2" x14ac:dyDescent="0.4">
      <c r="A730" s="234">
        <v>43510</v>
      </c>
      <c r="B730" s="235">
        <v>274.38</v>
      </c>
    </row>
    <row r="731" spans="1:2" x14ac:dyDescent="0.4">
      <c r="A731" s="234">
        <v>43511</v>
      </c>
      <c r="B731" s="235">
        <v>277.37</v>
      </c>
    </row>
    <row r="732" spans="1:2" x14ac:dyDescent="0.4">
      <c r="A732" s="234">
        <v>43514</v>
      </c>
      <c r="B732" s="235">
        <v>277.37</v>
      </c>
    </row>
    <row r="733" spans="1:2" x14ac:dyDescent="0.4">
      <c r="A733" s="234">
        <v>43515</v>
      </c>
      <c r="B733" s="235">
        <v>277.85000000000002</v>
      </c>
    </row>
    <row r="734" spans="1:2" x14ac:dyDescent="0.4">
      <c r="A734" s="234">
        <v>43516</v>
      </c>
      <c r="B734" s="235">
        <v>278.41000000000003</v>
      </c>
    </row>
    <row r="735" spans="1:2" x14ac:dyDescent="0.4">
      <c r="A735" s="234">
        <v>43517</v>
      </c>
      <c r="B735" s="235">
        <v>277.42</v>
      </c>
    </row>
    <row r="736" spans="1:2" x14ac:dyDescent="0.4">
      <c r="A736" s="234">
        <v>43518</v>
      </c>
      <c r="B736" s="235">
        <v>279.14</v>
      </c>
    </row>
    <row r="737" spans="1:2" x14ac:dyDescent="0.4">
      <c r="A737" s="234">
        <v>43521</v>
      </c>
      <c r="B737" s="235">
        <v>279.52</v>
      </c>
    </row>
    <row r="738" spans="1:2" x14ac:dyDescent="0.4">
      <c r="A738" s="234">
        <v>43522</v>
      </c>
      <c r="B738" s="235">
        <v>279.32</v>
      </c>
    </row>
    <row r="739" spans="1:2" x14ac:dyDescent="0.4">
      <c r="A739" s="234">
        <v>43523</v>
      </c>
      <c r="B739" s="235">
        <v>279.2</v>
      </c>
    </row>
    <row r="740" spans="1:2" x14ac:dyDescent="0.4">
      <c r="A740" s="234">
        <v>43524</v>
      </c>
      <c r="B740" s="235">
        <v>278.68</v>
      </c>
    </row>
    <row r="741" spans="1:2" x14ac:dyDescent="0.4">
      <c r="A741" s="234">
        <v>43525</v>
      </c>
      <c r="B741" s="235">
        <v>280.42</v>
      </c>
    </row>
    <row r="742" spans="1:2" x14ac:dyDescent="0.4">
      <c r="A742" s="234">
        <v>43528</v>
      </c>
      <c r="B742" s="235">
        <v>279.39999999999998</v>
      </c>
    </row>
    <row r="743" spans="1:2" x14ac:dyDescent="0.4">
      <c r="A743" s="234">
        <v>43529</v>
      </c>
      <c r="B743" s="235">
        <v>279.02</v>
      </c>
    </row>
    <row r="744" spans="1:2" x14ac:dyDescent="0.4">
      <c r="A744" s="234">
        <v>43530</v>
      </c>
      <c r="B744" s="235">
        <v>277.33</v>
      </c>
    </row>
    <row r="745" spans="1:2" x14ac:dyDescent="0.4">
      <c r="A745" s="234">
        <v>43531</v>
      </c>
      <c r="B745" s="235">
        <v>275.01</v>
      </c>
    </row>
    <row r="746" spans="1:2" x14ac:dyDescent="0.4">
      <c r="A746" s="234">
        <v>43532</v>
      </c>
      <c r="B746" s="235">
        <v>274.45999999999998</v>
      </c>
    </row>
    <row r="747" spans="1:2" x14ac:dyDescent="0.4">
      <c r="A747" s="234">
        <v>43535</v>
      </c>
      <c r="B747" s="235">
        <v>278.44</v>
      </c>
    </row>
    <row r="748" spans="1:2" x14ac:dyDescent="0.4">
      <c r="A748" s="234">
        <v>43536</v>
      </c>
      <c r="B748" s="235">
        <v>279.49</v>
      </c>
    </row>
    <row r="749" spans="1:2" x14ac:dyDescent="0.4">
      <c r="A749" s="234">
        <v>43537</v>
      </c>
      <c r="B749" s="235">
        <v>281.33999999999997</v>
      </c>
    </row>
    <row r="750" spans="1:2" x14ac:dyDescent="0.4">
      <c r="A750" s="234">
        <v>43538</v>
      </c>
      <c r="B750" s="235">
        <v>281.16000000000003</v>
      </c>
    </row>
    <row r="751" spans="1:2" x14ac:dyDescent="0.4">
      <c r="A751" s="234">
        <v>43539</v>
      </c>
      <c r="B751" s="235">
        <v>281.31</v>
      </c>
    </row>
    <row r="752" spans="1:2" x14ac:dyDescent="0.4">
      <c r="A752" s="234">
        <v>43542</v>
      </c>
      <c r="B752" s="235">
        <v>282.33</v>
      </c>
    </row>
    <row r="753" spans="1:2" x14ac:dyDescent="0.4">
      <c r="A753" s="234">
        <v>43543</v>
      </c>
      <c r="B753" s="235">
        <v>282.39999999999998</v>
      </c>
    </row>
    <row r="754" spans="1:2" x14ac:dyDescent="0.4">
      <c r="A754" s="234">
        <v>43544</v>
      </c>
      <c r="B754" s="235">
        <v>281.55</v>
      </c>
    </row>
    <row r="755" spans="1:2" x14ac:dyDescent="0.4">
      <c r="A755" s="234">
        <v>43545</v>
      </c>
      <c r="B755" s="235">
        <v>284.73</v>
      </c>
    </row>
    <row r="756" spans="1:2" x14ac:dyDescent="0.4">
      <c r="A756" s="234">
        <v>43546</v>
      </c>
      <c r="B756" s="235">
        <v>279.25</v>
      </c>
    </row>
    <row r="757" spans="1:2" x14ac:dyDescent="0.4">
      <c r="A757" s="234">
        <v>43549</v>
      </c>
      <c r="B757" s="235">
        <v>279.04000000000002</v>
      </c>
    </row>
    <row r="758" spans="1:2" x14ac:dyDescent="0.4">
      <c r="A758" s="234">
        <v>43550</v>
      </c>
      <c r="B758" s="235">
        <v>281.12</v>
      </c>
    </row>
    <row r="759" spans="1:2" x14ac:dyDescent="0.4">
      <c r="A759" s="234">
        <v>43551</v>
      </c>
      <c r="B759" s="235">
        <v>279.64999999999998</v>
      </c>
    </row>
    <row r="760" spans="1:2" x14ac:dyDescent="0.4">
      <c r="A760" s="234">
        <v>43552</v>
      </c>
      <c r="B760" s="235">
        <v>280.70999999999998</v>
      </c>
    </row>
    <row r="761" spans="1:2" x14ac:dyDescent="0.4">
      <c r="A761" s="234">
        <v>43553</v>
      </c>
      <c r="B761" s="235">
        <v>282.48</v>
      </c>
    </row>
    <row r="762" spans="1:2" x14ac:dyDescent="0.4">
      <c r="A762" s="234">
        <v>43556</v>
      </c>
      <c r="B762" s="235">
        <v>285.83</v>
      </c>
    </row>
    <row r="763" spans="1:2" x14ac:dyDescent="0.4">
      <c r="A763" s="234">
        <v>43557</v>
      </c>
      <c r="B763" s="235">
        <v>285.97000000000003</v>
      </c>
    </row>
    <row r="764" spans="1:2" x14ac:dyDescent="0.4">
      <c r="A764" s="234">
        <v>43558</v>
      </c>
      <c r="B764" s="235">
        <v>286.42</v>
      </c>
    </row>
    <row r="765" spans="1:2" x14ac:dyDescent="0.4">
      <c r="A765" s="234">
        <v>43559</v>
      </c>
      <c r="B765" s="235">
        <v>287.18</v>
      </c>
    </row>
    <row r="766" spans="1:2" x14ac:dyDescent="0.4">
      <c r="A766" s="234">
        <v>43560</v>
      </c>
      <c r="B766" s="235">
        <v>288.57</v>
      </c>
    </row>
    <row r="767" spans="1:2" x14ac:dyDescent="0.4">
      <c r="A767" s="234">
        <v>43563</v>
      </c>
      <c r="B767" s="235">
        <v>288.79000000000002</v>
      </c>
    </row>
    <row r="768" spans="1:2" x14ac:dyDescent="0.4">
      <c r="A768" s="234">
        <v>43564</v>
      </c>
      <c r="B768" s="235">
        <v>287.31</v>
      </c>
    </row>
    <row r="769" spans="1:2" x14ac:dyDescent="0.4">
      <c r="A769" s="234">
        <v>43565</v>
      </c>
      <c r="B769" s="235">
        <v>288.29000000000002</v>
      </c>
    </row>
    <row r="770" spans="1:2" x14ac:dyDescent="0.4">
      <c r="A770" s="234">
        <v>43566</v>
      </c>
      <c r="B770" s="235">
        <v>288.20999999999998</v>
      </c>
    </row>
    <row r="771" spans="1:2" x14ac:dyDescent="0.4">
      <c r="A771" s="234">
        <v>43567</v>
      </c>
      <c r="B771" s="235">
        <v>290.16000000000003</v>
      </c>
    </row>
    <row r="772" spans="1:2" x14ac:dyDescent="0.4">
      <c r="A772" s="234">
        <v>43570</v>
      </c>
      <c r="B772" s="235">
        <v>289.97000000000003</v>
      </c>
    </row>
    <row r="773" spans="1:2" x14ac:dyDescent="0.4">
      <c r="A773" s="234">
        <v>43571</v>
      </c>
      <c r="B773" s="235">
        <v>290.16000000000003</v>
      </c>
    </row>
    <row r="774" spans="1:2" x14ac:dyDescent="0.4">
      <c r="A774" s="234">
        <v>43572</v>
      </c>
      <c r="B774" s="235">
        <v>289.45</v>
      </c>
    </row>
    <row r="775" spans="1:2" x14ac:dyDescent="0.4">
      <c r="A775" s="234">
        <v>43573</v>
      </c>
      <c r="B775" s="235">
        <v>290.02</v>
      </c>
    </row>
    <row r="776" spans="1:2" x14ac:dyDescent="0.4">
      <c r="A776" s="234">
        <v>43574</v>
      </c>
      <c r="B776" s="235">
        <v>290.02</v>
      </c>
    </row>
    <row r="777" spans="1:2" x14ac:dyDescent="0.4">
      <c r="A777" s="234">
        <v>43577</v>
      </c>
      <c r="B777" s="235">
        <v>290.27</v>
      </c>
    </row>
    <row r="778" spans="1:2" x14ac:dyDescent="0.4">
      <c r="A778" s="234">
        <v>43578</v>
      </c>
      <c r="B778" s="235">
        <v>292.88</v>
      </c>
    </row>
    <row r="779" spans="1:2" x14ac:dyDescent="0.4">
      <c r="A779" s="234">
        <v>43579</v>
      </c>
      <c r="B779" s="235">
        <v>292.23</v>
      </c>
    </row>
    <row r="780" spans="1:2" x14ac:dyDescent="0.4">
      <c r="A780" s="234">
        <v>43580</v>
      </c>
      <c r="B780" s="235">
        <v>292.05</v>
      </c>
    </row>
    <row r="781" spans="1:2" x14ac:dyDescent="0.4">
      <c r="A781" s="234">
        <v>43581</v>
      </c>
      <c r="B781" s="235">
        <v>293.41000000000003</v>
      </c>
    </row>
    <row r="782" spans="1:2" x14ac:dyDescent="0.4">
      <c r="A782" s="234">
        <v>43584</v>
      </c>
      <c r="B782" s="235">
        <v>293.87</v>
      </c>
    </row>
    <row r="783" spans="1:2" x14ac:dyDescent="0.4">
      <c r="A783" s="234">
        <v>43585</v>
      </c>
      <c r="B783" s="235">
        <v>294.02</v>
      </c>
    </row>
    <row r="784" spans="1:2" x14ac:dyDescent="0.4">
      <c r="A784" s="234">
        <v>43586</v>
      </c>
      <c r="B784" s="235">
        <v>291.81</v>
      </c>
    </row>
    <row r="785" spans="1:2" x14ac:dyDescent="0.4">
      <c r="A785" s="234">
        <v>43587</v>
      </c>
      <c r="B785" s="235">
        <v>291.18</v>
      </c>
    </row>
    <row r="786" spans="1:2" x14ac:dyDescent="0.4">
      <c r="A786" s="234">
        <v>43588</v>
      </c>
      <c r="B786" s="235">
        <v>294.02999999999997</v>
      </c>
    </row>
    <row r="787" spans="1:2" x14ac:dyDescent="0.4">
      <c r="A787" s="234">
        <v>43591</v>
      </c>
      <c r="B787" s="235">
        <v>292.82</v>
      </c>
    </row>
    <row r="788" spans="1:2" x14ac:dyDescent="0.4">
      <c r="A788" s="234">
        <v>43592</v>
      </c>
      <c r="B788" s="235">
        <v>287.93</v>
      </c>
    </row>
    <row r="789" spans="1:2" x14ac:dyDescent="0.4">
      <c r="A789" s="234">
        <v>43593</v>
      </c>
      <c r="B789" s="235">
        <v>287.52999999999997</v>
      </c>
    </row>
    <row r="790" spans="1:2" x14ac:dyDescent="0.4">
      <c r="A790" s="234">
        <v>43594</v>
      </c>
      <c r="B790" s="235">
        <v>286.66000000000003</v>
      </c>
    </row>
    <row r="791" spans="1:2" x14ac:dyDescent="0.4">
      <c r="A791" s="234">
        <v>43595</v>
      </c>
      <c r="B791" s="235">
        <v>288.10000000000002</v>
      </c>
    </row>
    <row r="792" spans="1:2" x14ac:dyDescent="0.4">
      <c r="A792" s="234">
        <v>43598</v>
      </c>
      <c r="B792" s="235">
        <v>280.86</v>
      </c>
    </row>
    <row r="793" spans="1:2" x14ac:dyDescent="0.4">
      <c r="A793" s="234">
        <v>43599</v>
      </c>
      <c r="B793" s="235">
        <v>283.39999999999998</v>
      </c>
    </row>
    <row r="794" spans="1:2" x14ac:dyDescent="0.4">
      <c r="A794" s="234">
        <v>43600</v>
      </c>
      <c r="B794" s="235">
        <v>285.06</v>
      </c>
    </row>
    <row r="795" spans="1:2" x14ac:dyDescent="0.4">
      <c r="A795" s="234">
        <v>43601</v>
      </c>
      <c r="B795" s="235">
        <v>287.7</v>
      </c>
    </row>
    <row r="796" spans="1:2" x14ac:dyDescent="0.4">
      <c r="A796" s="234">
        <v>43602</v>
      </c>
      <c r="B796" s="235">
        <v>285.83999999999997</v>
      </c>
    </row>
    <row r="797" spans="1:2" x14ac:dyDescent="0.4">
      <c r="A797" s="234">
        <v>43605</v>
      </c>
      <c r="B797" s="235">
        <v>283.95</v>
      </c>
    </row>
    <row r="798" spans="1:2" x14ac:dyDescent="0.4">
      <c r="A798" s="234">
        <v>43606</v>
      </c>
      <c r="B798" s="235">
        <v>286.51</v>
      </c>
    </row>
    <row r="799" spans="1:2" x14ac:dyDescent="0.4">
      <c r="A799" s="234">
        <v>43607</v>
      </c>
      <c r="B799" s="235">
        <v>285.63</v>
      </c>
    </row>
    <row r="800" spans="1:2" x14ac:dyDescent="0.4">
      <c r="A800" s="234">
        <v>43608</v>
      </c>
      <c r="B800" s="235">
        <v>282.14</v>
      </c>
    </row>
    <row r="801" spans="1:2" x14ac:dyDescent="0.4">
      <c r="A801" s="234">
        <v>43609</v>
      </c>
      <c r="B801" s="235">
        <v>282.77999999999997</v>
      </c>
    </row>
    <row r="802" spans="1:2" x14ac:dyDescent="0.4">
      <c r="A802" s="234">
        <v>43612</v>
      </c>
      <c r="B802" s="235">
        <v>282.77999999999997</v>
      </c>
    </row>
    <row r="803" spans="1:2" x14ac:dyDescent="0.4">
      <c r="A803" s="234">
        <v>43613</v>
      </c>
      <c r="B803" s="235">
        <v>280.14999999999998</v>
      </c>
    </row>
    <row r="804" spans="1:2" x14ac:dyDescent="0.4">
      <c r="A804" s="234">
        <v>43614</v>
      </c>
      <c r="B804" s="235">
        <v>278.27</v>
      </c>
    </row>
    <row r="805" spans="1:2" x14ac:dyDescent="0.4">
      <c r="A805" s="234">
        <v>43615</v>
      </c>
      <c r="B805" s="235">
        <v>279.02999999999997</v>
      </c>
    </row>
    <row r="806" spans="1:2" x14ac:dyDescent="0.4">
      <c r="A806" s="234">
        <v>43616</v>
      </c>
      <c r="B806" s="235">
        <v>275.27</v>
      </c>
    </row>
    <row r="807" spans="1:2" x14ac:dyDescent="0.4">
      <c r="A807" s="234">
        <v>43619</v>
      </c>
      <c r="B807" s="235">
        <v>274.57</v>
      </c>
    </row>
    <row r="808" spans="1:2" x14ac:dyDescent="0.4">
      <c r="A808" s="234">
        <v>43620</v>
      </c>
      <c r="B808" s="235">
        <v>280.52999999999997</v>
      </c>
    </row>
    <row r="809" spans="1:2" x14ac:dyDescent="0.4">
      <c r="A809" s="234">
        <v>43621</v>
      </c>
      <c r="B809" s="235">
        <v>282.95999999999998</v>
      </c>
    </row>
    <row r="810" spans="1:2" x14ac:dyDescent="0.4">
      <c r="A810" s="234">
        <v>43622</v>
      </c>
      <c r="B810" s="235">
        <v>284.8</v>
      </c>
    </row>
    <row r="811" spans="1:2" x14ac:dyDescent="0.4">
      <c r="A811" s="234">
        <v>43623</v>
      </c>
      <c r="B811" s="235">
        <v>287.64999999999998</v>
      </c>
    </row>
    <row r="812" spans="1:2" x14ac:dyDescent="0.4">
      <c r="A812" s="234">
        <v>43626</v>
      </c>
      <c r="B812" s="235">
        <v>288.97000000000003</v>
      </c>
    </row>
    <row r="813" spans="1:2" x14ac:dyDescent="0.4">
      <c r="A813" s="234">
        <v>43627</v>
      </c>
      <c r="B813" s="235">
        <v>288.89999999999998</v>
      </c>
    </row>
    <row r="814" spans="1:2" x14ac:dyDescent="0.4">
      <c r="A814" s="234">
        <v>43628</v>
      </c>
      <c r="B814" s="235">
        <v>288.39</v>
      </c>
    </row>
    <row r="815" spans="1:2" x14ac:dyDescent="0.4">
      <c r="A815" s="234">
        <v>43629</v>
      </c>
      <c r="B815" s="235">
        <v>289.58</v>
      </c>
    </row>
    <row r="816" spans="1:2" x14ac:dyDescent="0.4">
      <c r="A816" s="234">
        <v>43630</v>
      </c>
      <c r="B816" s="235">
        <v>289.26</v>
      </c>
    </row>
    <row r="817" spans="1:2" x14ac:dyDescent="0.4">
      <c r="A817" s="234">
        <v>43633</v>
      </c>
      <c r="B817" s="235">
        <v>289.37</v>
      </c>
    </row>
    <row r="818" spans="1:2" x14ac:dyDescent="0.4">
      <c r="A818" s="234">
        <v>43634</v>
      </c>
      <c r="B818" s="235">
        <v>292.39999999999998</v>
      </c>
    </row>
    <row r="819" spans="1:2" x14ac:dyDescent="0.4">
      <c r="A819" s="234">
        <v>43635</v>
      </c>
      <c r="B819" s="235">
        <v>293.06</v>
      </c>
    </row>
    <row r="820" spans="1:2" x14ac:dyDescent="0.4">
      <c r="A820" s="234">
        <v>43636</v>
      </c>
      <c r="B820" s="235">
        <v>295.86</v>
      </c>
    </row>
    <row r="821" spans="1:2" x14ac:dyDescent="0.4">
      <c r="A821" s="234">
        <v>43637</v>
      </c>
      <c r="B821" s="235">
        <v>294</v>
      </c>
    </row>
    <row r="822" spans="1:2" x14ac:dyDescent="0.4">
      <c r="A822" s="234">
        <v>43640</v>
      </c>
      <c r="B822" s="235">
        <v>293.64</v>
      </c>
    </row>
    <row r="823" spans="1:2" x14ac:dyDescent="0.4">
      <c r="A823" s="234">
        <v>43641</v>
      </c>
      <c r="B823" s="235">
        <v>290.76</v>
      </c>
    </row>
    <row r="824" spans="1:2" x14ac:dyDescent="0.4">
      <c r="A824" s="234">
        <v>43642</v>
      </c>
      <c r="B824" s="235">
        <v>290.47000000000003</v>
      </c>
    </row>
    <row r="825" spans="1:2" x14ac:dyDescent="0.4">
      <c r="A825" s="234">
        <v>43643</v>
      </c>
      <c r="B825" s="235">
        <v>291.5</v>
      </c>
    </row>
    <row r="826" spans="1:2" x14ac:dyDescent="0.4">
      <c r="A826" s="234">
        <v>43644</v>
      </c>
      <c r="B826" s="235">
        <v>293</v>
      </c>
    </row>
    <row r="827" spans="1:2" x14ac:dyDescent="0.4">
      <c r="A827" s="234">
        <v>43647</v>
      </c>
      <c r="B827" s="235">
        <v>295.66000000000003</v>
      </c>
    </row>
    <row r="828" spans="1:2" x14ac:dyDescent="0.4">
      <c r="A828" s="234">
        <v>43648</v>
      </c>
      <c r="B828" s="235">
        <v>296.43</v>
      </c>
    </row>
    <row r="829" spans="1:2" x14ac:dyDescent="0.4">
      <c r="A829" s="234">
        <v>43649</v>
      </c>
      <c r="B829" s="235">
        <v>298.8</v>
      </c>
    </row>
    <row r="830" spans="1:2" x14ac:dyDescent="0.4">
      <c r="A830" s="234">
        <v>43650</v>
      </c>
      <c r="B830" s="235">
        <v>298.8</v>
      </c>
    </row>
    <row r="831" spans="1:2" x14ac:dyDescent="0.4">
      <c r="A831" s="234">
        <v>43651</v>
      </c>
      <c r="B831" s="235">
        <v>298.45999999999998</v>
      </c>
    </row>
    <row r="832" spans="1:2" x14ac:dyDescent="0.4">
      <c r="A832" s="234">
        <v>43654</v>
      </c>
      <c r="B832" s="235">
        <v>296.82</v>
      </c>
    </row>
    <row r="833" spans="1:2" x14ac:dyDescent="0.4">
      <c r="A833" s="234">
        <v>43655</v>
      </c>
      <c r="B833" s="235">
        <v>297.19</v>
      </c>
    </row>
    <row r="834" spans="1:2" x14ac:dyDescent="0.4">
      <c r="A834" s="234">
        <v>43656</v>
      </c>
      <c r="B834" s="235">
        <v>298.61</v>
      </c>
    </row>
    <row r="835" spans="1:2" x14ac:dyDescent="0.4">
      <c r="A835" s="234">
        <v>43657</v>
      </c>
      <c r="B835" s="235">
        <v>299.31</v>
      </c>
    </row>
    <row r="836" spans="1:2" x14ac:dyDescent="0.4">
      <c r="A836" s="234">
        <v>43658</v>
      </c>
      <c r="B836" s="235">
        <v>300.64999999999998</v>
      </c>
    </row>
    <row r="837" spans="1:2" x14ac:dyDescent="0.4">
      <c r="A837" s="234">
        <v>43661</v>
      </c>
      <c r="B837" s="235">
        <v>300.75</v>
      </c>
    </row>
    <row r="838" spans="1:2" x14ac:dyDescent="0.4">
      <c r="A838" s="234">
        <v>43662</v>
      </c>
      <c r="B838" s="235">
        <v>299.70999999999998</v>
      </c>
    </row>
    <row r="839" spans="1:2" x14ac:dyDescent="0.4">
      <c r="A839" s="234">
        <v>43663</v>
      </c>
      <c r="B839" s="235">
        <v>297.74</v>
      </c>
    </row>
    <row r="840" spans="1:2" x14ac:dyDescent="0.4">
      <c r="A840" s="234">
        <v>43664</v>
      </c>
      <c r="B840" s="235">
        <v>298.83</v>
      </c>
    </row>
    <row r="841" spans="1:2" x14ac:dyDescent="0.4">
      <c r="A841" s="234">
        <v>43665</v>
      </c>
      <c r="B841" s="235">
        <v>297.17</v>
      </c>
    </row>
    <row r="842" spans="1:2" x14ac:dyDescent="0.4">
      <c r="A842" s="234">
        <v>43668</v>
      </c>
      <c r="B842" s="235">
        <v>297.89999999999998</v>
      </c>
    </row>
    <row r="843" spans="1:2" x14ac:dyDescent="0.4">
      <c r="A843" s="234">
        <v>43669</v>
      </c>
      <c r="B843" s="235">
        <v>300.02999999999997</v>
      </c>
    </row>
    <row r="844" spans="1:2" x14ac:dyDescent="0.4">
      <c r="A844" s="234">
        <v>43670</v>
      </c>
      <c r="B844" s="235">
        <v>301.44</v>
      </c>
    </row>
    <row r="845" spans="1:2" x14ac:dyDescent="0.4">
      <c r="A845" s="234">
        <v>43671</v>
      </c>
      <c r="B845" s="235">
        <v>300</v>
      </c>
    </row>
    <row r="846" spans="1:2" x14ac:dyDescent="0.4">
      <c r="A846" s="234">
        <v>43672</v>
      </c>
      <c r="B846" s="235">
        <v>302.01</v>
      </c>
    </row>
    <row r="847" spans="1:2" x14ac:dyDescent="0.4">
      <c r="A847" s="234">
        <v>43675</v>
      </c>
      <c r="B847" s="235">
        <v>301.45999999999998</v>
      </c>
    </row>
    <row r="848" spans="1:2" x14ac:dyDescent="0.4">
      <c r="A848" s="234">
        <v>43676</v>
      </c>
      <c r="B848" s="235">
        <v>300.72000000000003</v>
      </c>
    </row>
    <row r="849" spans="1:2" x14ac:dyDescent="0.4">
      <c r="A849" s="234">
        <v>43677</v>
      </c>
      <c r="B849" s="235">
        <v>297.43</v>
      </c>
    </row>
    <row r="850" spans="1:2" x14ac:dyDescent="0.4">
      <c r="A850" s="234">
        <v>43678</v>
      </c>
      <c r="B850" s="235">
        <v>294.83999999999997</v>
      </c>
    </row>
    <row r="851" spans="1:2" x14ac:dyDescent="0.4">
      <c r="A851" s="234">
        <v>43679</v>
      </c>
      <c r="B851" s="235">
        <v>292.62</v>
      </c>
    </row>
    <row r="852" spans="1:2" x14ac:dyDescent="0.4">
      <c r="A852" s="234">
        <v>43682</v>
      </c>
      <c r="B852" s="235">
        <v>283.82</v>
      </c>
    </row>
    <row r="853" spans="1:2" x14ac:dyDescent="0.4">
      <c r="A853" s="234">
        <v>43683</v>
      </c>
      <c r="B853" s="235">
        <v>287.8</v>
      </c>
    </row>
    <row r="854" spans="1:2" x14ac:dyDescent="0.4">
      <c r="A854" s="234">
        <v>43684</v>
      </c>
      <c r="B854" s="235">
        <v>287.97000000000003</v>
      </c>
    </row>
    <row r="855" spans="1:2" x14ac:dyDescent="0.4">
      <c r="A855" s="234">
        <v>43685</v>
      </c>
      <c r="B855" s="235">
        <v>293.62</v>
      </c>
    </row>
    <row r="856" spans="1:2" x14ac:dyDescent="0.4">
      <c r="A856" s="234">
        <v>43686</v>
      </c>
      <c r="B856" s="235">
        <v>291.62</v>
      </c>
    </row>
    <row r="857" spans="1:2" x14ac:dyDescent="0.4">
      <c r="A857" s="234">
        <v>43689</v>
      </c>
      <c r="B857" s="235">
        <v>288.07</v>
      </c>
    </row>
    <row r="858" spans="1:2" x14ac:dyDescent="0.4">
      <c r="A858" s="234">
        <v>43690</v>
      </c>
      <c r="B858" s="235">
        <v>292.55</v>
      </c>
    </row>
    <row r="859" spans="1:2" x14ac:dyDescent="0.4">
      <c r="A859" s="234">
        <v>43691</v>
      </c>
      <c r="B859" s="235">
        <v>283.89999999999998</v>
      </c>
    </row>
    <row r="860" spans="1:2" x14ac:dyDescent="0.4">
      <c r="A860" s="234">
        <v>43692</v>
      </c>
      <c r="B860" s="235">
        <v>284.64999999999998</v>
      </c>
    </row>
    <row r="861" spans="1:2" x14ac:dyDescent="0.4">
      <c r="A861" s="234">
        <v>43693</v>
      </c>
      <c r="B861" s="235">
        <v>288.85000000000002</v>
      </c>
    </row>
    <row r="862" spans="1:2" x14ac:dyDescent="0.4">
      <c r="A862" s="234">
        <v>43696</v>
      </c>
      <c r="B862" s="235">
        <v>292.33</v>
      </c>
    </row>
    <row r="863" spans="1:2" x14ac:dyDescent="0.4">
      <c r="A863" s="234">
        <v>43697</v>
      </c>
      <c r="B863" s="235">
        <v>290.08999999999997</v>
      </c>
    </row>
    <row r="864" spans="1:2" x14ac:dyDescent="0.4">
      <c r="A864" s="234">
        <v>43698</v>
      </c>
      <c r="B864" s="235">
        <v>292.45</v>
      </c>
    </row>
    <row r="865" spans="1:2" x14ac:dyDescent="0.4">
      <c r="A865" s="234">
        <v>43699</v>
      </c>
      <c r="B865" s="235">
        <v>292.36</v>
      </c>
    </row>
    <row r="866" spans="1:2" x14ac:dyDescent="0.4">
      <c r="A866" s="234">
        <v>43700</v>
      </c>
      <c r="B866" s="235">
        <v>284.85000000000002</v>
      </c>
    </row>
    <row r="867" spans="1:2" x14ac:dyDescent="0.4">
      <c r="A867" s="234">
        <v>43703</v>
      </c>
      <c r="B867" s="235">
        <v>288</v>
      </c>
    </row>
    <row r="868" spans="1:2" x14ac:dyDescent="0.4">
      <c r="A868" s="234">
        <v>43704</v>
      </c>
      <c r="B868" s="235">
        <v>286.87</v>
      </c>
    </row>
    <row r="869" spans="1:2" x14ac:dyDescent="0.4">
      <c r="A869" s="234">
        <v>43705</v>
      </c>
      <c r="B869" s="235">
        <v>288.89</v>
      </c>
    </row>
    <row r="870" spans="1:2" x14ac:dyDescent="0.4">
      <c r="A870" s="234">
        <v>43706</v>
      </c>
      <c r="B870" s="235">
        <v>292.58</v>
      </c>
    </row>
    <row r="871" spans="1:2" x14ac:dyDescent="0.4">
      <c r="A871" s="234">
        <v>43707</v>
      </c>
      <c r="B871" s="235">
        <v>292.45</v>
      </c>
    </row>
    <row r="872" spans="1:2" x14ac:dyDescent="0.4">
      <c r="A872" s="234">
        <v>43710</v>
      </c>
      <c r="B872" s="235">
        <v>292.45</v>
      </c>
    </row>
    <row r="873" spans="1:2" x14ac:dyDescent="0.4">
      <c r="A873" s="234">
        <v>43711</v>
      </c>
      <c r="B873" s="235">
        <v>290.74</v>
      </c>
    </row>
    <row r="874" spans="1:2" x14ac:dyDescent="0.4">
      <c r="A874" s="234">
        <v>43712</v>
      </c>
      <c r="B874" s="235">
        <v>294.04000000000002</v>
      </c>
    </row>
    <row r="875" spans="1:2" x14ac:dyDescent="0.4">
      <c r="A875" s="234">
        <v>43713</v>
      </c>
      <c r="B875" s="235">
        <v>297.82</v>
      </c>
    </row>
    <row r="876" spans="1:2" x14ac:dyDescent="0.4">
      <c r="A876" s="234">
        <v>43714</v>
      </c>
      <c r="B876" s="235">
        <v>298.05</v>
      </c>
    </row>
    <row r="877" spans="1:2" x14ac:dyDescent="0.4">
      <c r="A877" s="234">
        <v>43717</v>
      </c>
      <c r="B877" s="235">
        <v>298.2</v>
      </c>
    </row>
    <row r="878" spans="1:2" x14ac:dyDescent="0.4">
      <c r="A878" s="234">
        <v>43718</v>
      </c>
      <c r="B878" s="235">
        <v>298.13</v>
      </c>
    </row>
    <row r="879" spans="1:2" x14ac:dyDescent="0.4">
      <c r="A879" s="234">
        <v>43719</v>
      </c>
      <c r="B879" s="235">
        <v>300.25</v>
      </c>
    </row>
    <row r="880" spans="1:2" x14ac:dyDescent="0.4">
      <c r="A880" s="234">
        <v>43720</v>
      </c>
      <c r="B880" s="235">
        <v>301.29000000000002</v>
      </c>
    </row>
    <row r="881" spans="1:2" x14ac:dyDescent="0.4">
      <c r="A881" s="234">
        <v>43721</v>
      </c>
      <c r="B881" s="235">
        <v>301.08999999999997</v>
      </c>
    </row>
    <row r="882" spans="1:2" x14ac:dyDescent="0.4">
      <c r="A882" s="234">
        <v>43724</v>
      </c>
      <c r="B882" s="235">
        <v>300.16000000000003</v>
      </c>
    </row>
    <row r="883" spans="1:2" x14ac:dyDescent="0.4">
      <c r="A883" s="234">
        <v>43725</v>
      </c>
      <c r="B883" s="235">
        <v>300.92</v>
      </c>
    </row>
    <row r="884" spans="1:2" x14ac:dyDescent="0.4">
      <c r="A884" s="234">
        <v>43726</v>
      </c>
      <c r="B884" s="235">
        <v>301.10000000000002</v>
      </c>
    </row>
    <row r="885" spans="1:2" x14ac:dyDescent="0.4">
      <c r="A885" s="234">
        <v>43727</v>
      </c>
      <c r="B885" s="235">
        <v>301.08</v>
      </c>
    </row>
    <row r="886" spans="1:2" x14ac:dyDescent="0.4">
      <c r="A886" s="234">
        <v>43728</v>
      </c>
      <c r="B886" s="235">
        <v>298.27999999999997</v>
      </c>
    </row>
    <row r="887" spans="1:2" x14ac:dyDescent="0.4">
      <c r="A887" s="234">
        <v>43731</v>
      </c>
      <c r="B887" s="235">
        <v>298.20999999999998</v>
      </c>
    </row>
    <row r="888" spans="1:2" x14ac:dyDescent="0.4">
      <c r="A888" s="234">
        <v>43732</v>
      </c>
      <c r="B888" s="235">
        <v>295.87</v>
      </c>
    </row>
    <row r="889" spans="1:2" x14ac:dyDescent="0.4">
      <c r="A889" s="234">
        <v>43733</v>
      </c>
      <c r="B889" s="235">
        <v>297.62</v>
      </c>
    </row>
    <row r="890" spans="1:2" x14ac:dyDescent="0.4">
      <c r="A890" s="234">
        <v>43734</v>
      </c>
      <c r="B890" s="235">
        <v>297</v>
      </c>
    </row>
    <row r="891" spans="1:2" x14ac:dyDescent="0.4">
      <c r="A891" s="234">
        <v>43735</v>
      </c>
      <c r="B891" s="235">
        <v>295.39999999999998</v>
      </c>
    </row>
    <row r="892" spans="1:2" x14ac:dyDescent="0.4">
      <c r="A892" s="234">
        <v>43738</v>
      </c>
      <c r="B892" s="235">
        <v>296.77</v>
      </c>
    </row>
    <row r="893" spans="1:2" x14ac:dyDescent="0.4">
      <c r="A893" s="234">
        <v>43739</v>
      </c>
      <c r="B893" s="235">
        <v>293.24</v>
      </c>
    </row>
    <row r="894" spans="1:2" x14ac:dyDescent="0.4">
      <c r="A894" s="234">
        <v>43740</v>
      </c>
      <c r="B894" s="235">
        <v>288.06</v>
      </c>
    </row>
    <row r="895" spans="1:2" x14ac:dyDescent="0.4">
      <c r="A895" s="234">
        <v>43741</v>
      </c>
      <c r="B895" s="235">
        <v>290.42</v>
      </c>
    </row>
    <row r="896" spans="1:2" x14ac:dyDescent="0.4">
      <c r="A896" s="234">
        <v>43742</v>
      </c>
      <c r="B896" s="235">
        <v>294.35000000000002</v>
      </c>
    </row>
    <row r="897" spans="1:2" x14ac:dyDescent="0.4">
      <c r="A897" s="234">
        <v>43745</v>
      </c>
      <c r="B897" s="235">
        <v>293.08</v>
      </c>
    </row>
    <row r="898" spans="1:2" x14ac:dyDescent="0.4">
      <c r="A898" s="234">
        <v>43746</v>
      </c>
      <c r="B898" s="235">
        <v>288.52999999999997</v>
      </c>
    </row>
    <row r="899" spans="1:2" x14ac:dyDescent="0.4">
      <c r="A899" s="234">
        <v>43747</v>
      </c>
      <c r="B899" s="235">
        <v>291.27</v>
      </c>
    </row>
    <row r="900" spans="1:2" x14ac:dyDescent="0.4">
      <c r="A900" s="234">
        <v>43748</v>
      </c>
      <c r="B900" s="235">
        <v>293.24</v>
      </c>
    </row>
    <row r="901" spans="1:2" x14ac:dyDescent="0.4">
      <c r="A901" s="234">
        <v>43749</v>
      </c>
      <c r="B901" s="235">
        <v>296.27999999999997</v>
      </c>
    </row>
    <row r="902" spans="1:2" x14ac:dyDescent="0.4">
      <c r="A902" s="234">
        <v>43752</v>
      </c>
      <c r="B902" s="235">
        <v>295.95</v>
      </c>
    </row>
    <row r="903" spans="1:2" x14ac:dyDescent="0.4">
      <c r="A903" s="234">
        <v>43753</v>
      </c>
      <c r="B903" s="235">
        <v>298.88</v>
      </c>
    </row>
    <row r="904" spans="1:2" x14ac:dyDescent="0.4">
      <c r="A904" s="234">
        <v>43754</v>
      </c>
      <c r="B904" s="235">
        <v>298.39999999999998</v>
      </c>
    </row>
    <row r="905" spans="1:2" x14ac:dyDescent="0.4">
      <c r="A905" s="234">
        <v>43755</v>
      </c>
      <c r="B905" s="235">
        <v>299.27999999999997</v>
      </c>
    </row>
    <row r="906" spans="1:2" x14ac:dyDescent="0.4">
      <c r="A906" s="234">
        <v>43756</v>
      </c>
      <c r="B906" s="235">
        <v>297.97000000000003</v>
      </c>
    </row>
    <row r="907" spans="1:2" x14ac:dyDescent="0.4">
      <c r="A907" s="234">
        <v>43759</v>
      </c>
      <c r="B907" s="235">
        <v>299.99</v>
      </c>
    </row>
    <row r="908" spans="1:2" x14ac:dyDescent="0.4">
      <c r="A908" s="234">
        <v>43760</v>
      </c>
      <c r="B908" s="235">
        <v>299.01</v>
      </c>
    </row>
    <row r="909" spans="1:2" x14ac:dyDescent="0.4">
      <c r="A909" s="234">
        <v>43761</v>
      </c>
      <c r="B909" s="235">
        <v>299.88</v>
      </c>
    </row>
    <row r="910" spans="1:2" x14ac:dyDescent="0.4">
      <c r="A910" s="234">
        <v>43762</v>
      </c>
      <c r="B910" s="235">
        <v>300.37</v>
      </c>
    </row>
    <row r="911" spans="1:2" x14ac:dyDescent="0.4">
      <c r="A911" s="234">
        <v>43763</v>
      </c>
      <c r="B911" s="235">
        <v>301.60000000000002</v>
      </c>
    </row>
    <row r="912" spans="1:2" x14ac:dyDescent="0.4">
      <c r="A912" s="234">
        <v>43766</v>
      </c>
      <c r="B912" s="235">
        <v>303.3</v>
      </c>
    </row>
    <row r="913" spans="1:2" x14ac:dyDescent="0.4">
      <c r="A913" s="234">
        <v>43767</v>
      </c>
      <c r="B913" s="235">
        <v>303.20999999999998</v>
      </c>
    </row>
    <row r="914" spans="1:2" x14ac:dyDescent="0.4">
      <c r="A914" s="234">
        <v>43768</v>
      </c>
      <c r="B914" s="235">
        <v>304.14</v>
      </c>
    </row>
    <row r="915" spans="1:2" x14ac:dyDescent="0.4">
      <c r="A915" s="234">
        <v>43769</v>
      </c>
      <c r="B915" s="235">
        <v>303.33</v>
      </c>
    </row>
    <row r="916" spans="1:2" x14ac:dyDescent="0.4">
      <c r="A916" s="234">
        <v>43770</v>
      </c>
      <c r="B916" s="235">
        <v>306.14</v>
      </c>
    </row>
    <row r="917" spans="1:2" x14ac:dyDescent="0.4">
      <c r="A917" s="234">
        <v>43773</v>
      </c>
      <c r="B917" s="235">
        <v>307.37</v>
      </c>
    </row>
    <row r="918" spans="1:2" x14ac:dyDescent="0.4">
      <c r="A918" s="234">
        <v>43774</v>
      </c>
      <c r="B918" s="235">
        <v>307.02999999999997</v>
      </c>
    </row>
    <row r="919" spans="1:2" x14ac:dyDescent="0.4">
      <c r="A919" s="234">
        <v>43775</v>
      </c>
      <c r="B919" s="235">
        <v>307.10000000000002</v>
      </c>
    </row>
    <row r="920" spans="1:2" x14ac:dyDescent="0.4">
      <c r="A920" s="234">
        <v>43776</v>
      </c>
      <c r="B920" s="235">
        <v>308.18</v>
      </c>
    </row>
    <row r="921" spans="1:2" x14ac:dyDescent="0.4">
      <c r="A921" s="234">
        <v>43777</v>
      </c>
      <c r="B921" s="235">
        <v>308.94</v>
      </c>
    </row>
    <row r="922" spans="1:2" x14ac:dyDescent="0.4">
      <c r="A922" s="234">
        <v>43780</v>
      </c>
      <c r="B922" s="235">
        <v>308.35000000000002</v>
      </c>
    </row>
    <row r="923" spans="1:2" x14ac:dyDescent="0.4">
      <c r="A923" s="234">
        <v>43781</v>
      </c>
      <c r="B923" s="235">
        <v>309</v>
      </c>
    </row>
    <row r="924" spans="1:2" x14ac:dyDescent="0.4">
      <c r="A924" s="234">
        <v>43782</v>
      </c>
      <c r="B924" s="235">
        <v>309.10000000000002</v>
      </c>
    </row>
    <row r="925" spans="1:2" x14ac:dyDescent="0.4">
      <c r="A925" s="234">
        <v>43783</v>
      </c>
      <c r="B925" s="235">
        <v>309.55</v>
      </c>
    </row>
    <row r="926" spans="1:2" x14ac:dyDescent="0.4">
      <c r="A926" s="234">
        <v>43784</v>
      </c>
      <c r="B926" s="235">
        <v>311.79000000000002</v>
      </c>
    </row>
    <row r="927" spans="1:2" x14ac:dyDescent="0.4">
      <c r="A927" s="234">
        <v>43787</v>
      </c>
      <c r="B927" s="235">
        <v>312.02</v>
      </c>
    </row>
    <row r="928" spans="1:2" x14ac:dyDescent="0.4">
      <c r="A928" s="234">
        <v>43788</v>
      </c>
      <c r="B928" s="235">
        <v>311.93</v>
      </c>
    </row>
    <row r="929" spans="1:2" x14ac:dyDescent="0.4">
      <c r="A929" s="234">
        <v>43789</v>
      </c>
      <c r="B929" s="235">
        <v>310.77</v>
      </c>
    </row>
    <row r="930" spans="1:2" x14ac:dyDescent="0.4">
      <c r="A930" s="234">
        <v>43790</v>
      </c>
      <c r="B930" s="235">
        <v>310.27</v>
      </c>
    </row>
    <row r="931" spans="1:2" x14ac:dyDescent="0.4">
      <c r="A931" s="234">
        <v>43791</v>
      </c>
      <c r="B931" s="235">
        <v>310.95999999999998</v>
      </c>
    </row>
    <row r="932" spans="1:2" x14ac:dyDescent="0.4">
      <c r="A932" s="234">
        <v>43794</v>
      </c>
      <c r="B932" s="235">
        <v>313.37</v>
      </c>
    </row>
    <row r="933" spans="1:2" x14ac:dyDescent="0.4">
      <c r="A933" s="234">
        <v>43795</v>
      </c>
      <c r="B933" s="235">
        <v>314.08</v>
      </c>
    </row>
    <row r="934" spans="1:2" x14ac:dyDescent="0.4">
      <c r="A934" s="234">
        <v>43796</v>
      </c>
      <c r="B934" s="235">
        <v>315.48</v>
      </c>
    </row>
    <row r="935" spans="1:2" x14ac:dyDescent="0.4">
      <c r="A935" s="234">
        <v>43797</v>
      </c>
      <c r="B935" s="235">
        <v>315.48</v>
      </c>
    </row>
    <row r="936" spans="1:2" x14ac:dyDescent="0.4">
      <c r="A936" s="234">
        <v>43798</v>
      </c>
      <c r="B936" s="235">
        <v>314.31</v>
      </c>
    </row>
    <row r="937" spans="1:2" x14ac:dyDescent="0.4">
      <c r="A937" s="234">
        <v>43801</v>
      </c>
      <c r="B937" s="235">
        <v>311.64</v>
      </c>
    </row>
    <row r="938" spans="1:2" x14ac:dyDescent="0.4">
      <c r="A938" s="234">
        <v>43802</v>
      </c>
      <c r="B938" s="235">
        <v>309.55</v>
      </c>
    </row>
    <row r="939" spans="1:2" x14ac:dyDescent="0.4">
      <c r="A939" s="234">
        <v>43803</v>
      </c>
      <c r="B939" s="235">
        <v>311.45999999999998</v>
      </c>
    </row>
    <row r="940" spans="1:2" x14ac:dyDescent="0.4">
      <c r="A940" s="234">
        <v>43804</v>
      </c>
      <c r="B940" s="235">
        <v>312.02</v>
      </c>
    </row>
    <row r="941" spans="1:2" x14ac:dyDescent="0.4">
      <c r="A941" s="234">
        <v>43805</v>
      </c>
      <c r="B941" s="235">
        <v>314.87</v>
      </c>
    </row>
    <row r="942" spans="1:2" x14ac:dyDescent="0.4">
      <c r="A942" s="234">
        <v>43808</v>
      </c>
      <c r="B942" s="235">
        <v>313.88</v>
      </c>
    </row>
    <row r="943" spans="1:2" x14ac:dyDescent="0.4">
      <c r="A943" s="234">
        <v>43809</v>
      </c>
      <c r="B943" s="235">
        <v>313.52999999999997</v>
      </c>
    </row>
    <row r="944" spans="1:2" x14ac:dyDescent="0.4">
      <c r="A944" s="234">
        <v>43810</v>
      </c>
      <c r="B944" s="235">
        <v>314.42</v>
      </c>
    </row>
    <row r="945" spans="1:2" x14ac:dyDescent="0.4">
      <c r="A945" s="234">
        <v>43811</v>
      </c>
      <c r="B945" s="235">
        <v>317.13</v>
      </c>
    </row>
    <row r="946" spans="1:2" x14ac:dyDescent="0.4">
      <c r="A946" s="234">
        <v>43812</v>
      </c>
      <c r="B946" s="235">
        <v>317.32</v>
      </c>
    </row>
    <row r="947" spans="1:2" x14ac:dyDescent="0.4">
      <c r="A947" s="234">
        <v>43815</v>
      </c>
      <c r="B947" s="235">
        <v>319.5</v>
      </c>
    </row>
    <row r="948" spans="1:2" x14ac:dyDescent="0.4">
      <c r="A948" s="234">
        <v>43816</v>
      </c>
      <c r="B948" s="235">
        <v>319.57</v>
      </c>
    </row>
    <row r="949" spans="1:2" x14ac:dyDescent="0.4">
      <c r="A949" s="234">
        <v>43817</v>
      </c>
      <c r="B949" s="235">
        <v>319.58999999999997</v>
      </c>
    </row>
    <row r="950" spans="1:2" x14ac:dyDescent="0.4">
      <c r="A950" s="234">
        <v>43818</v>
      </c>
      <c r="B950" s="235">
        <v>320.89999999999998</v>
      </c>
    </row>
    <row r="951" spans="1:2" x14ac:dyDescent="0.4">
      <c r="A951" s="234">
        <v>43819</v>
      </c>
      <c r="B951" s="235">
        <v>320.73</v>
      </c>
    </row>
    <row r="952" spans="1:2" x14ac:dyDescent="0.4">
      <c r="A952" s="234">
        <v>43822</v>
      </c>
      <c r="B952" s="235">
        <v>321.22000000000003</v>
      </c>
    </row>
    <row r="953" spans="1:2" x14ac:dyDescent="0.4">
      <c r="A953" s="234">
        <v>43823</v>
      </c>
      <c r="B953" s="235">
        <v>321.23</v>
      </c>
    </row>
    <row r="954" spans="1:2" x14ac:dyDescent="0.4">
      <c r="A954" s="234">
        <v>43824</v>
      </c>
      <c r="B954" s="235">
        <v>321.23</v>
      </c>
    </row>
    <row r="955" spans="1:2" x14ac:dyDescent="0.4">
      <c r="A955" s="234">
        <v>43825</v>
      </c>
      <c r="B955" s="235">
        <v>322.94</v>
      </c>
    </row>
    <row r="956" spans="1:2" x14ac:dyDescent="0.4">
      <c r="A956" s="234">
        <v>43826</v>
      </c>
      <c r="B956" s="235">
        <v>322.86</v>
      </c>
    </row>
    <row r="957" spans="1:2" x14ac:dyDescent="0.4">
      <c r="A957" s="234">
        <v>43829</v>
      </c>
      <c r="B957" s="235">
        <v>321.08</v>
      </c>
    </row>
    <row r="958" spans="1:2" x14ac:dyDescent="0.4">
      <c r="A958" s="234">
        <v>43830</v>
      </c>
      <c r="B958" s="235">
        <v>321.86</v>
      </c>
    </row>
    <row r="959" spans="1:2" x14ac:dyDescent="0.4">
      <c r="A959" s="234">
        <v>43832</v>
      </c>
      <c r="B959" s="235">
        <v>324.87</v>
      </c>
    </row>
    <row r="960" spans="1:2" x14ac:dyDescent="0.4">
      <c r="A960" s="234">
        <v>43833</v>
      </c>
      <c r="B960" s="235">
        <v>322.41000000000003</v>
      </c>
    </row>
    <row r="961" spans="1:2" x14ac:dyDescent="0.4">
      <c r="A961" s="234">
        <v>43836</v>
      </c>
      <c r="B961" s="235">
        <v>323.64</v>
      </c>
    </row>
    <row r="962" spans="1:2" x14ac:dyDescent="0.4">
      <c r="A962" s="234">
        <v>43837</v>
      </c>
      <c r="B962" s="235">
        <v>322.73</v>
      </c>
    </row>
    <row r="963" spans="1:2" x14ac:dyDescent="0.4">
      <c r="A963" s="234">
        <v>43838</v>
      </c>
      <c r="B963" s="235">
        <v>324.45</v>
      </c>
    </row>
    <row r="964" spans="1:2" x14ac:dyDescent="0.4">
      <c r="A964" s="234">
        <v>43839</v>
      </c>
      <c r="B964" s="235">
        <v>326.64999999999998</v>
      </c>
    </row>
    <row r="965" spans="1:2" x14ac:dyDescent="0.4">
      <c r="A965" s="234">
        <v>43840</v>
      </c>
      <c r="B965" s="235">
        <v>325.70999999999998</v>
      </c>
    </row>
    <row r="966" spans="1:2" x14ac:dyDescent="0.4">
      <c r="A966" s="234">
        <v>43843</v>
      </c>
      <c r="B966" s="235">
        <v>327.95</v>
      </c>
    </row>
    <row r="967" spans="1:2" x14ac:dyDescent="0.4">
      <c r="A967" s="234">
        <v>43844</v>
      </c>
      <c r="B967" s="235">
        <v>327.45</v>
      </c>
    </row>
    <row r="968" spans="1:2" x14ac:dyDescent="0.4">
      <c r="A968" s="234">
        <v>43845</v>
      </c>
      <c r="B968" s="235">
        <v>328.19</v>
      </c>
    </row>
    <row r="969" spans="1:2" x14ac:dyDescent="0.4">
      <c r="A969" s="234">
        <v>43846</v>
      </c>
      <c r="B969" s="235">
        <v>330.92</v>
      </c>
    </row>
    <row r="970" spans="1:2" x14ac:dyDescent="0.4">
      <c r="A970" s="234">
        <v>43847</v>
      </c>
      <c r="B970" s="235">
        <v>331.95</v>
      </c>
    </row>
    <row r="971" spans="1:2" x14ac:dyDescent="0.4">
      <c r="A971" s="234">
        <v>43851</v>
      </c>
      <c r="B971" s="235">
        <v>331.3</v>
      </c>
    </row>
    <row r="972" spans="1:2" x14ac:dyDescent="0.4">
      <c r="A972" s="234">
        <v>43852</v>
      </c>
      <c r="B972" s="235">
        <v>331.34</v>
      </c>
    </row>
    <row r="973" spans="1:2" x14ac:dyDescent="0.4">
      <c r="A973" s="234">
        <v>43853</v>
      </c>
      <c r="B973" s="235">
        <v>331.72</v>
      </c>
    </row>
    <row r="974" spans="1:2" x14ac:dyDescent="0.4">
      <c r="A974" s="234">
        <v>43854</v>
      </c>
      <c r="B974" s="235">
        <v>328.77</v>
      </c>
    </row>
    <row r="975" spans="1:2" x14ac:dyDescent="0.4">
      <c r="A975" s="234">
        <v>43857</v>
      </c>
      <c r="B975" s="235">
        <v>323.5</v>
      </c>
    </row>
    <row r="976" spans="1:2" x14ac:dyDescent="0.4">
      <c r="A976" s="234">
        <v>43858</v>
      </c>
      <c r="B976" s="235">
        <v>326.89</v>
      </c>
    </row>
    <row r="977" spans="1:2" x14ac:dyDescent="0.4">
      <c r="A977" s="234">
        <v>43859</v>
      </c>
      <c r="B977" s="235">
        <v>326.62</v>
      </c>
    </row>
    <row r="978" spans="1:2" x14ac:dyDescent="0.4">
      <c r="A978" s="234">
        <v>43860</v>
      </c>
      <c r="B978" s="235">
        <v>327.68</v>
      </c>
    </row>
    <row r="979" spans="1:2" x14ac:dyDescent="0.4">
      <c r="A979" s="234">
        <v>43861</v>
      </c>
      <c r="B979" s="235">
        <v>321.73</v>
      </c>
    </row>
    <row r="980" spans="1:2" x14ac:dyDescent="0.4">
      <c r="A980" s="234">
        <v>43864</v>
      </c>
      <c r="B980" s="235">
        <v>324.12</v>
      </c>
    </row>
    <row r="981" spans="1:2" x14ac:dyDescent="0.4">
      <c r="A981" s="234">
        <v>43865</v>
      </c>
      <c r="B981" s="235">
        <v>329.06</v>
      </c>
    </row>
    <row r="982" spans="1:2" x14ac:dyDescent="0.4">
      <c r="A982" s="234">
        <v>43866</v>
      </c>
      <c r="B982" s="235">
        <v>332.86</v>
      </c>
    </row>
    <row r="983" spans="1:2" x14ac:dyDescent="0.4">
      <c r="A983" s="234">
        <v>43867</v>
      </c>
      <c r="B983" s="235">
        <v>333.98</v>
      </c>
    </row>
    <row r="984" spans="1:2" x14ac:dyDescent="0.4">
      <c r="A984" s="234">
        <v>43868</v>
      </c>
      <c r="B984" s="235">
        <v>332.2</v>
      </c>
    </row>
    <row r="985" spans="1:2" x14ac:dyDescent="0.4">
      <c r="A985" s="234">
        <v>43871</v>
      </c>
      <c r="B985" s="235">
        <v>334.68</v>
      </c>
    </row>
    <row r="986" spans="1:2" x14ac:dyDescent="0.4">
      <c r="A986" s="234">
        <v>43872</v>
      </c>
      <c r="B986" s="235">
        <v>335.26</v>
      </c>
    </row>
    <row r="987" spans="1:2" x14ac:dyDescent="0.4">
      <c r="A987" s="234">
        <v>43873</v>
      </c>
      <c r="B987" s="235">
        <v>337.42</v>
      </c>
    </row>
    <row r="988" spans="1:2" x14ac:dyDescent="0.4">
      <c r="A988" s="234">
        <v>43874</v>
      </c>
      <c r="B988" s="235">
        <v>337.06</v>
      </c>
    </row>
    <row r="989" spans="1:2" x14ac:dyDescent="0.4">
      <c r="A989" s="234">
        <v>43875</v>
      </c>
      <c r="B989" s="235">
        <v>337.6</v>
      </c>
    </row>
    <row r="990" spans="1:2" x14ac:dyDescent="0.4">
      <c r="A990" s="234">
        <v>43879</v>
      </c>
      <c r="B990" s="235">
        <v>336.73</v>
      </c>
    </row>
    <row r="991" spans="1:2" x14ac:dyDescent="0.4">
      <c r="A991" s="234">
        <v>43880</v>
      </c>
      <c r="B991" s="235">
        <v>338.34</v>
      </c>
    </row>
    <row r="992" spans="1:2" x14ac:dyDescent="0.4">
      <c r="A992" s="234">
        <v>43881</v>
      </c>
      <c r="B992" s="235">
        <v>336.95</v>
      </c>
    </row>
    <row r="993" spans="1:2" x14ac:dyDescent="0.4">
      <c r="A993" s="234">
        <v>43882</v>
      </c>
      <c r="B993" s="235">
        <v>333.48</v>
      </c>
    </row>
    <row r="994" spans="1:2" x14ac:dyDescent="0.4">
      <c r="A994" s="234">
        <v>43885</v>
      </c>
      <c r="B994" s="235">
        <v>322.42</v>
      </c>
    </row>
    <row r="995" spans="1:2" x14ac:dyDescent="0.4">
      <c r="A995" s="234">
        <v>43886</v>
      </c>
      <c r="B995" s="235">
        <v>312.64999999999998</v>
      </c>
    </row>
    <row r="996" spans="1:2" x14ac:dyDescent="0.4">
      <c r="A996" s="234">
        <v>43887</v>
      </c>
      <c r="B996" s="235">
        <v>311.5</v>
      </c>
    </row>
    <row r="997" spans="1:2" x14ac:dyDescent="0.4">
      <c r="A997" s="234">
        <v>43888</v>
      </c>
      <c r="B997" s="235">
        <v>297.51</v>
      </c>
    </row>
    <row r="998" spans="1:2" x14ac:dyDescent="0.4">
      <c r="A998" s="234">
        <v>43889</v>
      </c>
      <c r="B998" s="235">
        <v>296.26</v>
      </c>
    </row>
    <row r="999" spans="1:2" x14ac:dyDescent="0.4">
      <c r="A999" s="234">
        <v>43892</v>
      </c>
      <c r="B999" s="235">
        <v>309.08999999999997</v>
      </c>
    </row>
    <row r="1000" spans="1:2" x14ac:dyDescent="0.4">
      <c r="A1000" s="234">
        <v>43893</v>
      </c>
      <c r="B1000" s="235">
        <v>300.24</v>
      </c>
    </row>
    <row r="1001" spans="1:2" x14ac:dyDescent="0.4">
      <c r="A1001" s="234">
        <v>43894</v>
      </c>
      <c r="B1001" s="235">
        <v>312.86</v>
      </c>
    </row>
    <row r="1002" spans="1:2" x14ac:dyDescent="0.4">
      <c r="A1002" s="234">
        <v>43895</v>
      </c>
      <c r="B1002" s="235">
        <v>302.45999999999998</v>
      </c>
    </row>
    <row r="1003" spans="1:2" x14ac:dyDescent="0.4">
      <c r="A1003" s="234">
        <v>43896</v>
      </c>
      <c r="B1003" s="235">
        <v>297.45999999999998</v>
      </c>
    </row>
    <row r="1004" spans="1:2" x14ac:dyDescent="0.4">
      <c r="A1004" s="234">
        <v>43899</v>
      </c>
      <c r="B1004" s="235">
        <v>274.23</v>
      </c>
    </row>
    <row r="1005" spans="1:2" x14ac:dyDescent="0.4">
      <c r="A1005" s="234">
        <v>43900</v>
      </c>
      <c r="B1005" s="235">
        <v>288.42</v>
      </c>
    </row>
    <row r="1006" spans="1:2" x14ac:dyDescent="0.4">
      <c r="A1006" s="234">
        <v>43901</v>
      </c>
      <c r="B1006" s="235">
        <v>274.36</v>
      </c>
    </row>
    <row r="1007" spans="1:2" x14ac:dyDescent="0.4">
      <c r="A1007" s="234">
        <v>43902</v>
      </c>
      <c r="B1007" s="235">
        <v>248.11</v>
      </c>
    </row>
    <row r="1008" spans="1:2" x14ac:dyDescent="0.4">
      <c r="A1008" s="234">
        <v>43903</v>
      </c>
      <c r="B1008" s="235">
        <v>269.32</v>
      </c>
    </row>
    <row r="1009" spans="1:2" x14ac:dyDescent="0.4">
      <c r="A1009" s="234">
        <v>43906</v>
      </c>
      <c r="B1009" s="235">
        <v>239.85</v>
      </c>
    </row>
    <row r="1010" spans="1:2" x14ac:dyDescent="0.4">
      <c r="A1010" s="234">
        <v>43907</v>
      </c>
      <c r="B1010" s="235">
        <v>252.8</v>
      </c>
    </row>
    <row r="1011" spans="1:2" x14ac:dyDescent="0.4">
      <c r="A1011" s="234">
        <v>43908</v>
      </c>
      <c r="B1011" s="235">
        <v>240</v>
      </c>
    </row>
    <row r="1012" spans="1:2" x14ac:dyDescent="0.4">
      <c r="A1012" s="234">
        <v>43909</v>
      </c>
      <c r="B1012" s="235">
        <v>240.51</v>
      </c>
    </row>
    <row r="1013" spans="1:2" x14ac:dyDescent="0.4">
      <c r="A1013" s="234">
        <v>43910</v>
      </c>
      <c r="B1013" s="235">
        <v>228.8</v>
      </c>
    </row>
    <row r="1014" spans="1:2" x14ac:dyDescent="0.4">
      <c r="A1014" s="234">
        <v>43913</v>
      </c>
      <c r="B1014" s="235">
        <v>222.95</v>
      </c>
    </row>
    <row r="1015" spans="1:2" x14ac:dyDescent="0.4">
      <c r="A1015" s="234">
        <v>43914</v>
      </c>
      <c r="B1015" s="235">
        <v>243.15</v>
      </c>
    </row>
    <row r="1016" spans="1:2" x14ac:dyDescent="0.4">
      <c r="A1016" s="234">
        <v>43915</v>
      </c>
      <c r="B1016" s="235">
        <v>246.79</v>
      </c>
    </row>
    <row r="1017" spans="1:2" x14ac:dyDescent="0.4">
      <c r="A1017" s="234">
        <v>43916</v>
      </c>
      <c r="B1017" s="235">
        <v>261.2</v>
      </c>
    </row>
    <row r="1018" spans="1:2" x14ac:dyDescent="0.4">
      <c r="A1018" s="234">
        <v>43917</v>
      </c>
      <c r="B1018" s="235">
        <v>253.42</v>
      </c>
    </row>
    <row r="1019" spans="1:2" x14ac:dyDescent="0.4">
      <c r="A1019" s="234">
        <v>43920</v>
      </c>
      <c r="B1019" s="235">
        <v>261.64999999999998</v>
      </c>
    </row>
    <row r="1020" spans="1:2" x14ac:dyDescent="0.4">
      <c r="A1020" s="234">
        <v>43921</v>
      </c>
      <c r="B1020" s="235">
        <v>257.75</v>
      </c>
    </row>
    <row r="1021" spans="1:2" x14ac:dyDescent="0.4">
      <c r="A1021" s="234">
        <v>43922</v>
      </c>
      <c r="B1021" s="235">
        <v>246.15</v>
      </c>
    </row>
    <row r="1022" spans="1:2" x14ac:dyDescent="0.4">
      <c r="A1022" s="234">
        <v>43923</v>
      </c>
      <c r="B1022" s="235">
        <v>251.83</v>
      </c>
    </row>
    <row r="1023" spans="1:2" x14ac:dyDescent="0.4">
      <c r="A1023" s="234">
        <v>43924</v>
      </c>
      <c r="B1023" s="235">
        <v>248.19</v>
      </c>
    </row>
    <row r="1024" spans="1:2" x14ac:dyDescent="0.4">
      <c r="A1024" s="234">
        <v>43927</v>
      </c>
      <c r="B1024" s="235">
        <v>264.86</v>
      </c>
    </row>
    <row r="1025" spans="1:2" x14ac:dyDescent="0.4">
      <c r="A1025" s="234">
        <v>43928</v>
      </c>
      <c r="B1025" s="235">
        <v>265.13</v>
      </c>
    </row>
    <row r="1026" spans="1:2" x14ac:dyDescent="0.4">
      <c r="A1026" s="234">
        <v>43929</v>
      </c>
      <c r="B1026" s="235">
        <v>274.02999999999997</v>
      </c>
    </row>
    <row r="1027" spans="1:2" x14ac:dyDescent="0.4">
      <c r="A1027" s="234">
        <v>43930</v>
      </c>
      <c r="B1027" s="235">
        <v>278.2</v>
      </c>
    </row>
    <row r="1028" spans="1:2" x14ac:dyDescent="0.4">
      <c r="A1028" s="234">
        <v>43934</v>
      </c>
      <c r="B1028" s="235">
        <v>275.66000000000003</v>
      </c>
    </row>
    <row r="1029" spans="1:2" x14ac:dyDescent="0.4">
      <c r="A1029" s="234">
        <v>43935</v>
      </c>
      <c r="B1029" s="235">
        <v>283.79000000000002</v>
      </c>
    </row>
    <row r="1030" spans="1:2" x14ac:dyDescent="0.4">
      <c r="A1030" s="234">
        <v>43936</v>
      </c>
      <c r="B1030" s="235">
        <v>277.76</v>
      </c>
    </row>
    <row r="1031" spans="1:2" x14ac:dyDescent="0.4">
      <c r="A1031" s="234">
        <v>43937</v>
      </c>
      <c r="B1031" s="235">
        <v>279.10000000000002</v>
      </c>
    </row>
    <row r="1032" spans="1:2" x14ac:dyDescent="0.4">
      <c r="A1032" s="234">
        <v>43938</v>
      </c>
      <c r="B1032" s="235">
        <v>286.64</v>
      </c>
    </row>
    <row r="1033" spans="1:2" x14ac:dyDescent="0.4">
      <c r="A1033" s="234">
        <v>43941</v>
      </c>
      <c r="B1033" s="235">
        <v>281.58999999999997</v>
      </c>
    </row>
    <row r="1034" spans="1:2" x14ac:dyDescent="0.4">
      <c r="A1034" s="234">
        <v>43942</v>
      </c>
      <c r="B1034" s="235">
        <v>273.04000000000002</v>
      </c>
    </row>
    <row r="1035" spans="1:2" x14ac:dyDescent="0.4">
      <c r="A1035" s="234">
        <v>43943</v>
      </c>
      <c r="B1035" s="235">
        <v>279.10000000000002</v>
      </c>
    </row>
    <row r="1036" spans="1:2" x14ac:dyDescent="0.4">
      <c r="A1036" s="234">
        <v>43944</v>
      </c>
      <c r="B1036" s="235">
        <v>279.08</v>
      </c>
    </row>
    <row r="1037" spans="1:2" x14ac:dyDescent="0.4">
      <c r="A1037" s="234">
        <v>43945</v>
      </c>
      <c r="B1037" s="235">
        <v>282.97000000000003</v>
      </c>
    </row>
    <row r="1038" spans="1:2" x14ac:dyDescent="0.4">
      <c r="A1038" s="234">
        <v>43948</v>
      </c>
      <c r="B1038" s="235">
        <v>287.05</v>
      </c>
    </row>
    <row r="1039" spans="1:2" x14ac:dyDescent="0.4">
      <c r="A1039" s="234">
        <v>43949</v>
      </c>
      <c r="B1039" s="235">
        <v>285.73</v>
      </c>
    </row>
    <row r="1040" spans="1:2" x14ac:dyDescent="0.4">
      <c r="A1040" s="234">
        <v>43950</v>
      </c>
      <c r="B1040" s="235">
        <v>293.20999999999998</v>
      </c>
    </row>
    <row r="1041" spans="1:2" x14ac:dyDescent="0.4">
      <c r="A1041" s="234">
        <v>43951</v>
      </c>
      <c r="B1041" s="235">
        <v>290.48</v>
      </c>
    </row>
    <row r="1042" spans="1:2" x14ac:dyDescent="0.4">
      <c r="A1042" s="234">
        <v>43952</v>
      </c>
      <c r="B1042" s="235">
        <v>282.79000000000002</v>
      </c>
    </row>
    <row r="1043" spans="1:2" x14ac:dyDescent="0.4">
      <c r="A1043" s="234">
        <v>43955</v>
      </c>
      <c r="B1043" s="235">
        <v>283.57</v>
      </c>
    </row>
    <row r="1044" spans="1:2" x14ac:dyDescent="0.4">
      <c r="A1044" s="234">
        <v>43956</v>
      </c>
      <c r="B1044" s="235">
        <v>286.19</v>
      </c>
    </row>
    <row r="1045" spans="1:2" x14ac:dyDescent="0.4">
      <c r="A1045" s="234">
        <v>43957</v>
      </c>
      <c r="B1045" s="235">
        <v>284.25</v>
      </c>
    </row>
    <row r="1046" spans="1:2" x14ac:dyDescent="0.4">
      <c r="A1046" s="234">
        <v>43958</v>
      </c>
      <c r="B1046" s="235">
        <v>287.68</v>
      </c>
    </row>
    <row r="1047" spans="1:2" x14ac:dyDescent="0.4">
      <c r="A1047" s="234">
        <v>43959</v>
      </c>
      <c r="B1047" s="235">
        <v>292.44</v>
      </c>
    </row>
    <row r="1048" spans="1:2" x14ac:dyDescent="0.4">
      <c r="A1048" s="234">
        <v>43962</v>
      </c>
      <c r="B1048" s="235">
        <v>292.5</v>
      </c>
    </row>
    <row r="1049" spans="1:2" x14ac:dyDescent="0.4">
      <c r="A1049" s="234">
        <v>43963</v>
      </c>
      <c r="B1049" s="235">
        <v>286.67</v>
      </c>
    </row>
    <row r="1050" spans="1:2" x14ac:dyDescent="0.4">
      <c r="A1050" s="234">
        <v>43964</v>
      </c>
      <c r="B1050" s="235">
        <v>281.60000000000002</v>
      </c>
    </row>
    <row r="1051" spans="1:2" x14ac:dyDescent="0.4">
      <c r="A1051" s="234">
        <v>43965</v>
      </c>
      <c r="B1051" s="235">
        <v>284.97000000000003</v>
      </c>
    </row>
    <row r="1052" spans="1:2" x14ac:dyDescent="0.4">
      <c r="A1052" s="234">
        <v>43966</v>
      </c>
      <c r="B1052" s="235">
        <v>286.27999999999997</v>
      </c>
    </row>
    <row r="1053" spans="1:2" x14ac:dyDescent="0.4">
      <c r="A1053" s="234">
        <v>43969</v>
      </c>
      <c r="B1053" s="235">
        <v>295</v>
      </c>
    </row>
    <row r="1054" spans="1:2" x14ac:dyDescent="0.4">
      <c r="A1054" s="234">
        <v>43970</v>
      </c>
      <c r="B1054" s="235">
        <v>291.97000000000003</v>
      </c>
    </row>
    <row r="1055" spans="1:2" x14ac:dyDescent="0.4">
      <c r="A1055" s="234">
        <v>43971</v>
      </c>
      <c r="B1055" s="235">
        <v>296.93</v>
      </c>
    </row>
    <row r="1056" spans="1:2" x14ac:dyDescent="0.4">
      <c r="A1056" s="234">
        <v>43972</v>
      </c>
      <c r="B1056" s="235">
        <v>294.88</v>
      </c>
    </row>
    <row r="1057" spans="1:2" x14ac:dyDescent="0.4">
      <c r="A1057" s="234">
        <v>43973</v>
      </c>
      <c r="B1057" s="235">
        <v>295.44</v>
      </c>
    </row>
    <row r="1058" spans="1:2" x14ac:dyDescent="0.4">
      <c r="A1058" s="234">
        <v>43977</v>
      </c>
      <c r="B1058" s="235">
        <v>299.08</v>
      </c>
    </row>
    <row r="1059" spans="1:2" x14ac:dyDescent="0.4">
      <c r="A1059" s="234">
        <v>43978</v>
      </c>
      <c r="B1059" s="235">
        <v>303.52999999999997</v>
      </c>
    </row>
    <row r="1060" spans="1:2" x14ac:dyDescent="0.4">
      <c r="A1060" s="234">
        <v>43979</v>
      </c>
      <c r="B1060" s="235">
        <v>302.97000000000003</v>
      </c>
    </row>
    <row r="1061" spans="1:2" x14ac:dyDescent="0.4">
      <c r="A1061" s="234">
        <v>43980</v>
      </c>
      <c r="B1061" s="235">
        <v>304.32</v>
      </c>
    </row>
    <row r="1062" spans="1:2" x14ac:dyDescent="0.4">
      <c r="A1062" s="234">
        <v>43983</v>
      </c>
      <c r="B1062" s="235">
        <v>305.55</v>
      </c>
    </row>
    <row r="1063" spans="1:2" x14ac:dyDescent="0.4">
      <c r="A1063" s="234">
        <v>43984</v>
      </c>
      <c r="B1063" s="235">
        <v>308.08</v>
      </c>
    </row>
    <row r="1064" spans="1:2" x14ac:dyDescent="0.4">
      <c r="A1064" s="234">
        <v>43985</v>
      </c>
      <c r="B1064" s="235">
        <v>312.18</v>
      </c>
    </row>
    <row r="1065" spans="1:2" x14ac:dyDescent="0.4">
      <c r="A1065" s="234">
        <v>43986</v>
      </c>
      <c r="B1065" s="235">
        <v>311.36</v>
      </c>
    </row>
    <row r="1066" spans="1:2" x14ac:dyDescent="0.4">
      <c r="A1066" s="234">
        <v>43987</v>
      </c>
      <c r="B1066" s="235">
        <v>319.33999999999997</v>
      </c>
    </row>
    <row r="1067" spans="1:2" x14ac:dyDescent="0.4">
      <c r="A1067" s="234">
        <v>43990</v>
      </c>
      <c r="B1067" s="235">
        <v>323.2</v>
      </c>
    </row>
    <row r="1068" spans="1:2" x14ac:dyDescent="0.4">
      <c r="A1068" s="234">
        <v>43991</v>
      </c>
      <c r="B1068" s="235">
        <v>320.79000000000002</v>
      </c>
    </row>
    <row r="1069" spans="1:2" x14ac:dyDescent="0.4">
      <c r="A1069" s="234">
        <v>43992</v>
      </c>
      <c r="B1069" s="235">
        <v>319</v>
      </c>
    </row>
    <row r="1070" spans="1:2" x14ac:dyDescent="0.4">
      <c r="A1070" s="234">
        <v>43993</v>
      </c>
      <c r="B1070" s="235">
        <v>300.61</v>
      </c>
    </row>
    <row r="1071" spans="1:2" x14ac:dyDescent="0.4">
      <c r="A1071" s="234">
        <v>43994</v>
      </c>
      <c r="B1071" s="235">
        <v>304.20999999999998</v>
      </c>
    </row>
    <row r="1072" spans="1:2" x14ac:dyDescent="0.4">
      <c r="A1072" s="234">
        <v>43997</v>
      </c>
      <c r="B1072" s="235">
        <v>307.05</v>
      </c>
    </row>
    <row r="1073" spans="1:2" x14ac:dyDescent="0.4">
      <c r="A1073" s="234">
        <v>43998</v>
      </c>
      <c r="B1073" s="235">
        <v>312.95999999999998</v>
      </c>
    </row>
    <row r="1074" spans="1:2" x14ac:dyDescent="0.4">
      <c r="A1074" s="234">
        <v>43999</v>
      </c>
      <c r="B1074" s="235">
        <v>311.66000000000003</v>
      </c>
    </row>
    <row r="1075" spans="1:2" x14ac:dyDescent="0.4">
      <c r="A1075" s="234">
        <v>44000</v>
      </c>
      <c r="B1075" s="235">
        <v>311.77999999999997</v>
      </c>
    </row>
    <row r="1076" spans="1:2" x14ac:dyDescent="0.4">
      <c r="A1076" s="234">
        <v>44001</v>
      </c>
      <c r="B1076" s="235">
        <v>308.64</v>
      </c>
    </row>
    <row r="1077" spans="1:2" x14ac:dyDescent="0.4">
      <c r="A1077" s="234">
        <v>44004</v>
      </c>
      <c r="B1077" s="235">
        <v>310.62</v>
      </c>
    </row>
    <row r="1078" spans="1:2" x14ac:dyDescent="0.4">
      <c r="A1078" s="234">
        <v>44005</v>
      </c>
      <c r="B1078" s="235">
        <v>312.05</v>
      </c>
    </row>
    <row r="1079" spans="1:2" x14ac:dyDescent="0.4">
      <c r="A1079" s="234">
        <v>44006</v>
      </c>
      <c r="B1079" s="235">
        <v>304.08999999999997</v>
      </c>
    </row>
    <row r="1080" spans="1:2" x14ac:dyDescent="0.4">
      <c r="A1080" s="234">
        <v>44007</v>
      </c>
      <c r="B1080" s="235">
        <v>307.35000000000002</v>
      </c>
    </row>
    <row r="1081" spans="1:2" x14ac:dyDescent="0.4">
      <c r="A1081" s="234">
        <v>44008</v>
      </c>
      <c r="B1081" s="235">
        <v>300.05</v>
      </c>
    </row>
    <row r="1082" spans="1:2" x14ac:dyDescent="0.4">
      <c r="A1082" s="234">
        <v>44011</v>
      </c>
      <c r="B1082" s="235">
        <v>304.45999999999998</v>
      </c>
    </row>
    <row r="1083" spans="1:2" x14ac:dyDescent="0.4">
      <c r="A1083" s="234">
        <v>44012</v>
      </c>
      <c r="B1083" s="235">
        <v>308.36</v>
      </c>
    </row>
    <row r="1084" spans="1:2" x14ac:dyDescent="0.4">
      <c r="A1084" s="234">
        <v>44013</v>
      </c>
      <c r="B1084" s="235">
        <v>310.52</v>
      </c>
    </row>
    <row r="1085" spans="1:2" x14ac:dyDescent="0.4">
      <c r="A1085" s="234">
        <v>44014</v>
      </c>
      <c r="B1085" s="235">
        <v>312.23</v>
      </c>
    </row>
    <row r="1086" spans="1:2" x14ac:dyDescent="0.4">
      <c r="A1086" s="234">
        <v>44018</v>
      </c>
      <c r="B1086" s="235">
        <v>317.05</v>
      </c>
    </row>
    <row r="1087" spans="1:2" x14ac:dyDescent="0.4">
      <c r="A1087" s="234">
        <v>44019</v>
      </c>
      <c r="B1087" s="235">
        <v>313.77999999999997</v>
      </c>
    </row>
    <row r="1088" spans="1:2" x14ac:dyDescent="0.4">
      <c r="A1088" s="234">
        <v>44020</v>
      </c>
      <c r="B1088" s="235">
        <v>316.18</v>
      </c>
    </row>
    <row r="1089" spans="1:2" x14ac:dyDescent="0.4">
      <c r="A1089" s="234">
        <v>44021</v>
      </c>
      <c r="B1089" s="235">
        <v>314.38</v>
      </c>
    </row>
    <row r="1090" spans="1:2" x14ac:dyDescent="0.4">
      <c r="A1090" s="234">
        <v>44022</v>
      </c>
      <c r="B1090" s="235">
        <v>317.58999999999997</v>
      </c>
    </row>
    <row r="1091" spans="1:2" x14ac:dyDescent="0.4">
      <c r="A1091" s="234">
        <v>44025</v>
      </c>
      <c r="B1091" s="235">
        <v>314.83999999999997</v>
      </c>
    </row>
    <row r="1092" spans="1:2" x14ac:dyDescent="0.4">
      <c r="A1092" s="234">
        <v>44026</v>
      </c>
      <c r="B1092" s="235">
        <v>318.92</v>
      </c>
    </row>
    <row r="1093" spans="1:2" x14ac:dyDescent="0.4">
      <c r="A1093" s="234">
        <v>44027</v>
      </c>
      <c r="B1093" s="235">
        <v>321.85000000000002</v>
      </c>
    </row>
    <row r="1094" spans="1:2" x14ac:dyDescent="0.4">
      <c r="A1094" s="234">
        <v>44028</v>
      </c>
      <c r="B1094" s="235">
        <v>320.79000000000002</v>
      </c>
    </row>
    <row r="1095" spans="1:2" x14ac:dyDescent="0.4">
      <c r="A1095" s="234">
        <v>44029</v>
      </c>
      <c r="B1095" s="235">
        <v>321.72000000000003</v>
      </c>
    </row>
    <row r="1096" spans="1:2" x14ac:dyDescent="0.4">
      <c r="A1096" s="234">
        <v>44032</v>
      </c>
      <c r="B1096" s="235">
        <v>324.32</v>
      </c>
    </row>
    <row r="1097" spans="1:2" x14ac:dyDescent="0.4">
      <c r="A1097" s="234">
        <v>44033</v>
      </c>
      <c r="B1097" s="235">
        <v>325.01</v>
      </c>
    </row>
    <row r="1098" spans="1:2" x14ac:dyDescent="0.4">
      <c r="A1098" s="234">
        <v>44034</v>
      </c>
      <c r="B1098" s="235">
        <v>326.86</v>
      </c>
    </row>
    <row r="1099" spans="1:2" x14ac:dyDescent="0.4">
      <c r="A1099" s="234">
        <v>44035</v>
      </c>
      <c r="B1099" s="235">
        <v>322.95999999999998</v>
      </c>
    </row>
    <row r="1100" spans="1:2" x14ac:dyDescent="0.4">
      <c r="A1100" s="234">
        <v>44036</v>
      </c>
      <c r="B1100" s="235">
        <v>320.88</v>
      </c>
    </row>
    <row r="1101" spans="1:2" x14ac:dyDescent="0.4">
      <c r="A1101" s="234">
        <v>44039</v>
      </c>
      <c r="B1101" s="235">
        <v>323.22000000000003</v>
      </c>
    </row>
    <row r="1102" spans="1:2" x14ac:dyDescent="0.4">
      <c r="A1102" s="234">
        <v>44040</v>
      </c>
      <c r="B1102" s="235">
        <v>321.17</v>
      </c>
    </row>
    <row r="1103" spans="1:2" x14ac:dyDescent="0.4">
      <c r="A1103" s="234">
        <v>44041</v>
      </c>
      <c r="B1103" s="235">
        <v>325.12</v>
      </c>
    </row>
    <row r="1104" spans="1:2" x14ac:dyDescent="0.4">
      <c r="A1104" s="234">
        <v>44042</v>
      </c>
      <c r="B1104" s="235">
        <v>323.95999999999998</v>
      </c>
    </row>
    <row r="1105" spans="1:2" x14ac:dyDescent="0.4">
      <c r="A1105" s="234">
        <v>44043</v>
      </c>
      <c r="B1105" s="235">
        <v>326.52</v>
      </c>
    </row>
    <row r="1106" spans="1:2" x14ac:dyDescent="0.4">
      <c r="A1106" s="234">
        <v>44046</v>
      </c>
      <c r="B1106" s="235">
        <v>328.79</v>
      </c>
    </row>
    <row r="1107" spans="1:2" x14ac:dyDescent="0.4">
      <c r="A1107" s="234">
        <v>44047</v>
      </c>
      <c r="B1107" s="235">
        <v>330.06</v>
      </c>
    </row>
    <row r="1108" spans="1:2" x14ac:dyDescent="0.4">
      <c r="A1108" s="234">
        <v>44048</v>
      </c>
      <c r="B1108" s="235">
        <v>332.11</v>
      </c>
    </row>
    <row r="1109" spans="1:2" x14ac:dyDescent="0.4">
      <c r="A1109" s="234">
        <v>44049</v>
      </c>
      <c r="B1109" s="235">
        <v>334.33</v>
      </c>
    </row>
    <row r="1110" spans="1:2" x14ac:dyDescent="0.4">
      <c r="A1110" s="234">
        <v>44050</v>
      </c>
      <c r="B1110" s="235">
        <v>334.57</v>
      </c>
    </row>
    <row r="1111" spans="1:2" x14ac:dyDescent="0.4">
      <c r="A1111" s="234">
        <v>44053</v>
      </c>
      <c r="B1111" s="235">
        <v>335.57</v>
      </c>
    </row>
    <row r="1112" spans="1:2" x14ac:dyDescent="0.4">
      <c r="A1112" s="234">
        <v>44054</v>
      </c>
      <c r="B1112" s="235">
        <v>332.8</v>
      </c>
    </row>
    <row r="1113" spans="1:2" x14ac:dyDescent="0.4">
      <c r="A1113" s="234">
        <v>44055</v>
      </c>
      <c r="B1113" s="235">
        <v>337.44</v>
      </c>
    </row>
    <row r="1114" spans="1:2" x14ac:dyDescent="0.4">
      <c r="A1114" s="234">
        <v>44056</v>
      </c>
      <c r="B1114" s="235">
        <v>336.83</v>
      </c>
    </row>
    <row r="1115" spans="1:2" x14ac:dyDescent="0.4">
      <c r="A1115" s="234">
        <v>44057</v>
      </c>
      <c r="B1115" s="235">
        <v>336.84</v>
      </c>
    </row>
    <row r="1116" spans="1:2" x14ac:dyDescent="0.4">
      <c r="A1116" s="234">
        <v>44060</v>
      </c>
      <c r="B1116" s="235">
        <v>337.91</v>
      </c>
    </row>
    <row r="1117" spans="1:2" x14ac:dyDescent="0.4">
      <c r="A1117" s="234">
        <v>44061</v>
      </c>
      <c r="B1117" s="235">
        <v>338.64</v>
      </c>
    </row>
    <row r="1118" spans="1:2" x14ac:dyDescent="0.4">
      <c r="A1118" s="234">
        <v>44062</v>
      </c>
      <c r="B1118" s="235">
        <v>337.23</v>
      </c>
    </row>
    <row r="1119" spans="1:2" x14ac:dyDescent="0.4">
      <c r="A1119" s="234">
        <v>44063</v>
      </c>
      <c r="B1119" s="235">
        <v>338.28</v>
      </c>
    </row>
    <row r="1120" spans="1:2" x14ac:dyDescent="0.4">
      <c r="A1120" s="234">
        <v>44064</v>
      </c>
      <c r="B1120" s="235">
        <v>339.48</v>
      </c>
    </row>
    <row r="1121" spans="1:2" x14ac:dyDescent="0.4">
      <c r="A1121" s="234">
        <v>44067</v>
      </c>
      <c r="B1121" s="235">
        <v>342.92</v>
      </c>
    </row>
    <row r="1122" spans="1:2" x14ac:dyDescent="0.4">
      <c r="A1122" s="234">
        <v>44068</v>
      </c>
      <c r="B1122" s="235">
        <v>344.12</v>
      </c>
    </row>
    <row r="1123" spans="1:2" x14ac:dyDescent="0.4">
      <c r="A1123" s="234">
        <v>44069</v>
      </c>
      <c r="B1123" s="235">
        <v>347.57</v>
      </c>
    </row>
    <row r="1124" spans="1:2" x14ac:dyDescent="0.4">
      <c r="A1124" s="234">
        <v>44070</v>
      </c>
      <c r="B1124" s="235">
        <v>348.33</v>
      </c>
    </row>
    <row r="1125" spans="1:2" x14ac:dyDescent="0.4">
      <c r="A1125" s="234">
        <v>44071</v>
      </c>
      <c r="B1125" s="235">
        <v>350.58</v>
      </c>
    </row>
    <row r="1126" spans="1:2" x14ac:dyDescent="0.4">
      <c r="A1126" s="234">
        <v>44074</v>
      </c>
      <c r="B1126" s="235">
        <v>349.31</v>
      </c>
    </row>
    <row r="1127" spans="1:2" x14ac:dyDescent="0.4">
      <c r="A1127" s="234">
        <v>44075</v>
      </c>
      <c r="B1127" s="235">
        <v>352.6</v>
      </c>
    </row>
    <row r="1128" spans="1:2" x14ac:dyDescent="0.4">
      <c r="A1128" s="234">
        <v>44076</v>
      </c>
      <c r="B1128" s="235">
        <v>357.7</v>
      </c>
    </row>
    <row r="1129" spans="1:2" x14ac:dyDescent="0.4">
      <c r="A1129" s="234">
        <v>44077</v>
      </c>
      <c r="B1129" s="235">
        <v>345.39</v>
      </c>
    </row>
    <row r="1130" spans="1:2" x14ac:dyDescent="0.4">
      <c r="A1130" s="234">
        <v>44078</v>
      </c>
      <c r="B1130" s="235">
        <v>342.57</v>
      </c>
    </row>
    <row r="1131" spans="1:2" x14ac:dyDescent="0.4">
      <c r="A1131" s="234">
        <v>44082</v>
      </c>
      <c r="B1131" s="235">
        <v>333.21</v>
      </c>
    </row>
    <row r="1132" spans="1:2" x14ac:dyDescent="0.4">
      <c r="A1132" s="234">
        <v>44083</v>
      </c>
      <c r="B1132" s="235">
        <v>339.79</v>
      </c>
    </row>
    <row r="1133" spans="1:2" x14ac:dyDescent="0.4">
      <c r="A1133" s="234">
        <v>44084</v>
      </c>
      <c r="B1133" s="235">
        <v>333.89</v>
      </c>
    </row>
    <row r="1134" spans="1:2" x14ac:dyDescent="0.4">
      <c r="A1134" s="234">
        <v>44085</v>
      </c>
      <c r="B1134" s="235">
        <v>334.06</v>
      </c>
    </row>
    <row r="1135" spans="1:2" x14ac:dyDescent="0.4">
      <c r="A1135" s="234">
        <v>44088</v>
      </c>
      <c r="B1135" s="235">
        <v>338.46</v>
      </c>
    </row>
    <row r="1136" spans="1:2" x14ac:dyDescent="0.4">
      <c r="A1136" s="234">
        <v>44089</v>
      </c>
      <c r="B1136" s="235">
        <v>340.17</v>
      </c>
    </row>
    <row r="1137" spans="1:2" x14ac:dyDescent="0.4">
      <c r="A1137" s="234">
        <v>44090</v>
      </c>
      <c r="B1137" s="235">
        <v>338.82</v>
      </c>
    </row>
    <row r="1138" spans="1:2" x14ac:dyDescent="0.4">
      <c r="A1138" s="234">
        <v>44091</v>
      </c>
      <c r="B1138" s="235">
        <v>335.84</v>
      </c>
    </row>
    <row r="1139" spans="1:2" x14ac:dyDescent="0.4">
      <c r="A1139" s="234">
        <v>44092</v>
      </c>
      <c r="B1139" s="235">
        <v>330.65</v>
      </c>
    </row>
    <row r="1140" spans="1:2" x14ac:dyDescent="0.4">
      <c r="A1140" s="234">
        <v>44095</v>
      </c>
      <c r="B1140" s="235">
        <v>326.97000000000003</v>
      </c>
    </row>
    <row r="1141" spans="1:2" x14ac:dyDescent="0.4">
      <c r="A1141" s="234">
        <v>44096</v>
      </c>
      <c r="B1141" s="235">
        <v>330.3</v>
      </c>
    </row>
    <row r="1142" spans="1:2" x14ac:dyDescent="0.4">
      <c r="A1142" s="234">
        <v>44097</v>
      </c>
      <c r="B1142" s="235">
        <v>322.64</v>
      </c>
    </row>
    <row r="1143" spans="1:2" x14ac:dyDescent="0.4">
      <c r="A1143" s="234">
        <v>44098</v>
      </c>
      <c r="B1143" s="235">
        <v>323.5</v>
      </c>
    </row>
    <row r="1144" spans="1:2" x14ac:dyDescent="0.4">
      <c r="A1144" s="234">
        <v>44099</v>
      </c>
      <c r="B1144" s="235">
        <v>328.73</v>
      </c>
    </row>
    <row r="1145" spans="1:2" x14ac:dyDescent="0.4">
      <c r="A1145" s="234">
        <v>44102</v>
      </c>
      <c r="B1145" s="235">
        <v>334.19</v>
      </c>
    </row>
    <row r="1146" spans="1:2" x14ac:dyDescent="0.4">
      <c r="A1146" s="234">
        <v>44103</v>
      </c>
      <c r="B1146" s="235">
        <v>332.37</v>
      </c>
    </row>
    <row r="1147" spans="1:2" x14ac:dyDescent="0.4">
      <c r="A1147" s="234">
        <v>44104</v>
      </c>
      <c r="B1147" s="235">
        <v>334.89</v>
      </c>
    </row>
    <row r="1148" spans="1:2" x14ac:dyDescent="0.4">
      <c r="A1148" s="234">
        <v>44105</v>
      </c>
      <c r="B1148" s="235">
        <v>337.04</v>
      </c>
    </row>
    <row r="1149" spans="1:2" x14ac:dyDescent="0.4">
      <c r="A1149" s="234">
        <v>44106</v>
      </c>
      <c r="B1149" s="235">
        <v>333.84</v>
      </c>
    </row>
    <row r="1150" spans="1:2" x14ac:dyDescent="0.4">
      <c r="A1150" s="234">
        <v>44109</v>
      </c>
      <c r="B1150" s="235">
        <v>339.76</v>
      </c>
    </row>
    <row r="1151" spans="1:2" x14ac:dyDescent="0.4">
      <c r="A1151" s="234">
        <v>44110</v>
      </c>
      <c r="B1151" s="235">
        <v>334.93</v>
      </c>
    </row>
    <row r="1152" spans="1:2" x14ac:dyDescent="0.4">
      <c r="A1152" s="234">
        <v>44111</v>
      </c>
      <c r="B1152" s="235">
        <v>340.76</v>
      </c>
    </row>
    <row r="1153" spans="1:2" x14ac:dyDescent="0.4">
      <c r="A1153" s="234">
        <v>44112</v>
      </c>
      <c r="B1153" s="235">
        <v>343.78</v>
      </c>
    </row>
    <row r="1154" spans="1:2" x14ac:dyDescent="0.4">
      <c r="A1154" s="234">
        <v>44113</v>
      </c>
      <c r="B1154" s="235">
        <v>346.85</v>
      </c>
    </row>
    <row r="1155" spans="1:2" x14ac:dyDescent="0.4">
      <c r="A1155" s="234">
        <v>44116</v>
      </c>
      <c r="B1155" s="235">
        <v>352.43</v>
      </c>
    </row>
    <row r="1156" spans="1:2" x14ac:dyDescent="0.4">
      <c r="A1156" s="234">
        <v>44117</v>
      </c>
      <c r="B1156" s="235">
        <v>350.13</v>
      </c>
    </row>
    <row r="1157" spans="1:2" x14ac:dyDescent="0.4">
      <c r="A1157" s="234">
        <v>44118</v>
      </c>
      <c r="B1157" s="235">
        <v>347.93</v>
      </c>
    </row>
    <row r="1158" spans="1:2" x14ac:dyDescent="0.4">
      <c r="A1158" s="234">
        <v>44119</v>
      </c>
      <c r="B1158" s="235">
        <v>347.5</v>
      </c>
    </row>
    <row r="1159" spans="1:2" x14ac:dyDescent="0.4">
      <c r="A1159" s="234">
        <v>44120</v>
      </c>
      <c r="B1159" s="235">
        <v>347.29</v>
      </c>
    </row>
    <row r="1160" spans="1:2" x14ac:dyDescent="0.4">
      <c r="A1160" s="234">
        <v>44123</v>
      </c>
      <c r="B1160" s="235">
        <v>342.01</v>
      </c>
    </row>
    <row r="1161" spans="1:2" x14ac:dyDescent="0.4">
      <c r="A1161" s="234">
        <v>44124</v>
      </c>
      <c r="B1161" s="235">
        <v>343.38</v>
      </c>
    </row>
    <row r="1162" spans="1:2" x14ac:dyDescent="0.4">
      <c r="A1162" s="234">
        <v>44125</v>
      </c>
      <c r="B1162" s="235">
        <v>342.73</v>
      </c>
    </row>
    <row r="1163" spans="1:2" x14ac:dyDescent="0.4">
      <c r="A1163" s="234">
        <v>44126</v>
      </c>
      <c r="B1163" s="235">
        <v>344.61</v>
      </c>
    </row>
    <row r="1164" spans="1:2" x14ac:dyDescent="0.4">
      <c r="A1164" s="234">
        <v>44127</v>
      </c>
      <c r="B1164" s="235">
        <v>345.78</v>
      </c>
    </row>
    <row r="1165" spans="1:2" x14ac:dyDescent="0.4">
      <c r="A1165" s="234">
        <v>44130</v>
      </c>
      <c r="B1165" s="235">
        <v>339.39</v>
      </c>
    </row>
    <row r="1166" spans="1:2" x14ac:dyDescent="0.4">
      <c r="A1166" s="234">
        <v>44131</v>
      </c>
      <c r="B1166" s="235">
        <v>338.22</v>
      </c>
    </row>
    <row r="1167" spans="1:2" x14ac:dyDescent="0.4">
      <c r="A1167" s="234">
        <v>44132</v>
      </c>
      <c r="B1167" s="235">
        <v>326.66000000000003</v>
      </c>
    </row>
    <row r="1168" spans="1:2" x14ac:dyDescent="0.4">
      <c r="A1168" s="234">
        <v>44133</v>
      </c>
      <c r="B1168" s="235">
        <v>329.98</v>
      </c>
    </row>
    <row r="1169" spans="1:2" x14ac:dyDescent="0.4">
      <c r="A1169" s="234">
        <v>44134</v>
      </c>
      <c r="B1169" s="235">
        <v>326.54000000000002</v>
      </c>
    </row>
    <row r="1170" spans="1:2" x14ac:dyDescent="0.4">
      <c r="A1170" s="234">
        <v>44137</v>
      </c>
      <c r="B1170" s="235">
        <v>330.2</v>
      </c>
    </row>
    <row r="1171" spans="1:2" x14ac:dyDescent="0.4">
      <c r="A1171" s="234">
        <v>44138</v>
      </c>
      <c r="B1171" s="235">
        <v>336.03</v>
      </c>
    </row>
    <row r="1172" spans="1:2" x14ac:dyDescent="0.4">
      <c r="A1172" s="234">
        <v>44139</v>
      </c>
      <c r="B1172" s="235">
        <v>343.54</v>
      </c>
    </row>
    <row r="1173" spans="1:2" x14ac:dyDescent="0.4">
      <c r="A1173" s="234">
        <v>44140</v>
      </c>
      <c r="B1173" s="235">
        <v>350.24</v>
      </c>
    </row>
    <row r="1174" spans="1:2" x14ac:dyDescent="0.4">
      <c r="A1174" s="234">
        <v>44141</v>
      </c>
      <c r="B1174" s="235">
        <v>350.16</v>
      </c>
    </row>
    <row r="1175" spans="1:2" x14ac:dyDescent="0.4">
      <c r="A1175" s="234">
        <v>44144</v>
      </c>
      <c r="B1175" s="235">
        <v>354.56</v>
      </c>
    </row>
    <row r="1176" spans="1:2" x14ac:dyDescent="0.4">
      <c r="A1176" s="234">
        <v>44145</v>
      </c>
      <c r="B1176" s="235">
        <v>354.04</v>
      </c>
    </row>
    <row r="1177" spans="1:2" x14ac:dyDescent="0.4">
      <c r="A1177" s="234">
        <v>44146</v>
      </c>
      <c r="B1177" s="235">
        <v>356.67</v>
      </c>
    </row>
    <row r="1178" spans="1:2" x14ac:dyDescent="0.4">
      <c r="A1178" s="234">
        <v>44147</v>
      </c>
      <c r="B1178" s="235">
        <v>353.21</v>
      </c>
    </row>
    <row r="1179" spans="1:2" x14ac:dyDescent="0.4">
      <c r="A1179" s="234">
        <v>44148</v>
      </c>
      <c r="B1179" s="235">
        <v>358.1</v>
      </c>
    </row>
    <row r="1180" spans="1:2" x14ac:dyDescent="0.4">
      <c r="A1180" s="234">
        <v>44151</v>
      </c>
      <c r="B1180" s="235">
        <v>362.57</v>
      </c>
    </row>
    <row r="1181" spans="1:2" x14ac:dyDescent="0.4">
      <c r="A1181" s="234">
        <v>44152</v>
      </c>
      <c r="B1181" s="235">
        <v>360.62</v>
      </c>
    </row>
    <row r="1182" spans="1:2" x14ac:dyDescent="0.4">
      <c r="A1182" s="234">
        <v>44153</v>
      </c>
      <c r="B1182" s="235">
        <v>356.28</v>
      </c>
    </row>
    <row r="1183" spans="1:2" x14ac:dyDescent="0.4">
      <c r="A1183" s="234">
        <v>44154</v>
      </c>
      <c r="B1183" s="235">
        <v>357.78</v>
      </c>
    </row>
    <row r="1184" spans="1:2" x14ac:dyDescent="0.4">
      <c r="A1184" s="234">
        <v>44155</v>
      </c>
      <c r="B1184" s="235">
        <v>355.33</v>
      </c>
    </row>
    <row r="1185" spans="1:2" x14ac:dyDescent="0.4">
      <c r="A1185" s="234">
        <v>44158</v>
      </c>
      <c r="B1185" s="235">
        <v>357.46</v>
      </c>
    </row>
    <row r="1186" spans="1:2" x14ac:dyDescent="0.4">
      <c r="A1186" s="234">
        <v>44159</v>
      </c>
      <c r="B1186" s="235">
        <v>363.22</v>
      </c>
    </row>
    <row r="1187" spans="1:2" x14ac:dyDescent="0.4">
      <c r="A1187" s="234">
        <v>44160</v>
      </c>
      <c r="B1187" s="235">
        <v>362.66</v>
      </c>
    </row>
    <row r="1188" spans="1:2" x14ac:dyDescent="0.4">
      <c r="A1188" s="234">
        <v>44162</v>
      </c>
      <c r="B1188" s="235">
        <v>363.67</v>
      </c>
    </row>
    <row r="1189" spans="1:2" x14ac:dyDescent="0.4">
      <c r="A1189" s="234">
        <v>44165</v>
      </c>
      <c r="B1189" s="235">
        <v>362.06</v>
      </c>
    </row>
    <row r="1190" spans="1:2" x14ac:dyDescent="0.4">
      <c r="A1190" s="234">
        <v>44166</v>
      </c>
      <c r="B1190" s="235">
        <v>366.02</v>
      </c>
    </row>
    <row r="1191" spans="1:2" x14ac:dyDescent="0.4">
      <c r="A1191" s="234">
        <v>44167</v>
      </c>
      <c r="B1191" s="235">
        <v>366.79</v>
      </c>
    </row>
    <row r="1192" spans="1:2" x14ac:dyDescent="0.4">
      <c r="A1192" s="234">
        <v>44168</v>
      </c>
      <c r="B1192" s="235">
        <v>366.69</v>
      </c>
    </row>
    <row r="1193" spans="1:2" x14ac:dyDescent="0.4">
      <c r="A1193" s="234">
        <v>44169</v>
      </c>
      <c r="B1193" s="235">
        <v>369.85</v>
      </c>
    </row>
    <row r="1194" spans="1:2" x14ac:dyDescent="0.4">
      <c r="A1194" s="234">
        <v>44172</v>
      </c>
      <c r="B1194" s="235">
        <v>369.09</v>
      </c>
    </row>
    <row r="1195" spans="1:2" x14ac:dyDescent="0.4">
      <c r="A1195" s="234">
        <v>44173</v>
      </c>
      <c r="B1195" s="235">
        <v>370.17</v>
      </c>
    </row>
    <row r="1196" spans="1:2" x14ac:dyDescent="0.4">
      <c r="A1196" s="234">
        <v>44174</v>
      </c>
      <c r="B1196" s="235">
        <v>366.85</v>
      </c>
    </row>
    <row r="1197" spans="1:2" x14ac:dyDescent="0.4">
      <c r="A1197" s="234">
        <v>44175</v>
      </c>
      <c r="B1197" s="235">
        <v>366.73</v>
      </c>
    </row>
    <row r="1198" spans="1:2" x14ac:dyDescent="0.4">
      <c r="A1198" s="234">
        <v>44176</v>
      </c>
      <c r="B1198" s="235">
        <v>366.3</v>
      </c>
    </row>
    <row r="1199" spans="1:2" x14ac:dyDescent="0.4">
      <c r="A1199" s="234">
        <v>44179</v>
      </c>
      <c r="B1199" s="235">
        <v>364.66</v>
      </c>
    </row>
    <row r="1200" spans="1:2" x14ac:dyDescent="0.4">
      <c r="A1200" s="234">
        <v>44180</v>
      </c>
      <c r="B1200" s="235">
        <v>369.59</v>
      </c>
    </row>
    <row r="1201" spans="1:2" x14ac:dyDescent="0.4">
      <c r="A1201" s="234">
        <v>44181</v>
      </c>
      <c r="B1201" s="235">
        <v>370.17</v>
      </c>
    </row>
    <row r="1202" spans="1:2" x14ac:dyDescent="0.4">
      <c r="A1202" s="234">
        <v>44182</v>
      </c>
      <c r="B1202" s="235">
        <v>372.24</v>
      </c>
    </row>
    <row r="1203" spans="1:2" x14ac:dyDescent="0.4">
      <c r="A1203" s="234">
        <v>44183</v>
      </c>
      <c r="B1203" s="235">
        <v>369.18</v>
      </c>
    </row>
    <row r="1204" spans="1:2" x14ac:dyDescent="0.4">
      <c r="A1204" s="234">
        <v>44186</v>
      </c>
      <c r="B1204" s="235">
        <v>367.86</v>
      </c>
    </row>
    <row r="1205" spans="1:2" x14ac:dyDescent="0.4">
      <c r="A1205" s="234">
        <v>44187</v>
      </c>
      <c r="B1205" s="235">
        <v>367.24</v>
      </c>
    </row>
    <row r="1206" spans="1:2" x14ac:dyDescent="0.4">
      <c r="A1206" s="234">
        <v>44188</v>
      </c>
      <c r="B1206" s="235">
        <v>367.57</v>
      </c>
    </row>
    <row r="1207" spans="1:2" x14ac:dyDescent="0.4">
      <c r="A1207" s="234">
        <v>44189</v>
      </c>
      <c r="B1207" s="235">
        <v>369</v>
      </c>
    </row>
    <row r="1208" spans="1:2" x14ac:dyDescent="0.4">
      <c r="A1208" s="234">
        <v>44193</v>
      </c>
      <c r="B1208" s="235">
        <v>372.17</v>
      </c>
    </row>
    <row r="1209" spans="1:2" x14ac:dyDescent="0.4">
      <c r="A1209" s="234">
        <v>44194</v>
      </c>
      <c r="B1209" s="235">
        <v>371.46</v>
      </c>
    </row>
    <row r="1210" spans="1:2" x14ac:dyDescent="0.4">
      <c r="A1210" s="234">
        <v>44195</v>
      </c>
      <c r="B1210" s="235">
        <v>371.99</v>
      </c>
    </row>
    <row r="1211" spans="1:2" x14ac:dyDescent="0.4">
      <c r="A1211" s="234">
        <v>44196</v>
      </c>
      <c r="B1211" s="235">
        <v>373.88</v>
      </c>
    </row>
    <row r="1212" spans="1:2" x14ac:dyDescent="0.4">
      <c r="A1212" s="234">
        <v>44200</v>
      </c>
      <c r="B1212" s="235">
        <v>368.79</v>
      </c>
    </row>
    <row r="1213" spans="1:2" x14ac:dyDescent="0.4">
      <c r="A1213" s="234">
        <v>44201</v>
      </c>
      <c r="B1213" s="235">
        <v>371.33</v>
      </c>
    </row>
    <row r="1214" spans="1:2" x14ac:dyDescent="0.4">
      <c r="A1214" s="234">
        <v>44202</v>
      </c>
      <c r="B1214" s="235">
        <v>373.55</v>
      </c>
    </row>
    <row r="1215" spans="1:2" x14ac:dyDescent="0.4">
      <c r="A1215" s="234">
        <v>44203</v>
      </c>
      <c r="B1215" s="235">
        <v>379.1</v>
      </c>
    </row>
    <row r="1216" spans="1:2" x14ac:dyDescent="0.4">
      <c r="A1216" s="234">
        <v>44204</v>
      </c>
      <c r="B1216" s="235">
        <v>381.26</v>
      </c>
    </row>
    <row r="1217" spans="1:2" x14ac:dyDescent="0.4">
      <c r="A1217" s="234">
        <v>44207</v>
      </c>
      <c r="B1217" s="235">
        <v>378.69</v>
      </c>
    </row>
    <row r="1218" spans="1:2" x14ac:dyDescent="0.4">
      <c r="A1218" s="234">
        <v>44208</v>
      </c>
      <c r="B1218" s="235">
        <v>378.77</v>
      </c>
    </row>
    <row r="1219" spans="1:2" x14ac:dyDescent="0.4">
      <c r="A1219" s="234">
        <v>44209</v>
      </c>
      <c r="B1219" s="235">
        <v>379.79</v>
      </c>
    </row>
    <row r="1220" spans="1:2" x14ac:dyDescent="0.4">
      <c r="A1220" s="234">
        <v>44210</v>
      </c>
      <c r="B1220" s="235">
        <v>378.46</v>
      </c>
    </row>
    <row r="1221" spans="1:2" x14ac:dyDescent="0.4">
      <c r="A1221" s="234">
        <v>44211</v>
      </c>
      <c r="B1221" s="235">
        <v>375.7</v>
      </c>
    </row>
    <row r="1222" spans="1:2" x14ac:dyDescent="0.4">
      <c r="A1222" s="234">
        <v>44215</v>
      </c>
      <c r="B1222" s="235">
        <v>378.65</v>
      </c>
    </row>
    <row r="1223" spans="1:2" x14ac:dyDescent="0.4">
      <c r="A1223" s="234">
        <v>44216</v>
      </c>
      <c r="B1223" s="235">
        <v>383.89</v>
      </c>
    </row>
    <row r="1224" spans="1:2" x14ac:dyDescent="0.4">
      <c r="A1224" s="234">
        <v>44217</v>
      </c>
      <c r="B1224" s="235">
        <v>384.24</v>
      </c>
    </row>
    <row r="1225" spans="1:2" x14ac:dyDescent="0.4">
      <c r="A1225" s="234">
        <v>44218</v>
      </c>
      <c r="B1225" s="235">
        <v>382.88</v>
      </c>
    </row>
    <row r="1226" spans="1:2" x14ac:dyDescent="0.4">
      <c r="A1226" s="234">
        <v>44221</v>
      </c>
      <c r="B1226" s="235">
        <v>384.39</v>
      </c>
    </row>
    <row r="1227" spans="1:2" x14ac:dyDescent="0.4">
      <c r="A1227" s="234">
        <v>44222</v>
      </c>
      <c r="B1227" s="235">
        <v>383.79</v>
      </c>
    </row>
    <row r="1228" spans="1:2" x14ac:dyDescent="0.4">
      <c r="A1228" s="234">
        <v>44223</v>
      </c>
      <c r="B1228" s="235">
        <v>374.41</v>
      </c>
    </row>
    <row r="1229" spans="1:2" x14ac:dyDescent="0.4">
      <c r="A1229" s="234">
        <v>44224</v>
      </c>
      <c r="B1229" s="235">
        <v>377.63</v>
      </c>
    </row>
    <row r="1230" spans="1:2" x14ac:dyDescent="0.4">
      <c r="A1230" s="234">
        <v>44225</v>
      </c>
      <c r="B1230" s="235">
        <v>370.07</v>
      </c>
    </row>
    <row r="1231" spans="1:2" x14ac:dyDescent="0.4">
      <c r="A1231" s="234">
        <v>44228</v>
      </c>
      <c r="B1231" s="235">
        <v>376.23</v>
      </c>
    </row>
    <row r="1232" spans="1:2" x14ac:dyDescent="0.4">
      <c r="A1232" s="234">
        <v>44229</v>
      </c>
      <c r="B1232" s="235">
        <v>381.55</v>
      </c>
    </row>
    <row r="1233" spans="1:2" x14ac:dyDescent="0.4">
      <c r="A1233" s="234">
        <v>44230</v>
      </c>
      <c r="B1233" s="235">
        <v>381.85</v>
      </c>
    </row>
    <row r="1234" spans="1:2" x14ac:dyDescent="0.4">
      <c r="A1234" s="234">
        <v>44231</v>
      </c>
      <c r="B1234" s="235">
        <v>386.19</v>
      </c>
    </row>
    <row r="1235" spans="1:2" x14ac:dyDescent="0.4">
      <c r="A1235" s="234">
        <v>44232</v>
      </c>
      <c r="B1235" s="235">
        <v>387.71</v>
      </c>
    </row>
    <row r="1236" spans="1:2" x14ac:dyDescent="0.4">
      <c r="A1236" s="234">
        <v>44235</v>
      </c>
      <c r="B1236" s="235">
        <v>390.51</v>
      </c>
    </row>
    <row r="1237" spans="1:2" x14ac:dyDescent="0.4">
      <c r="A1237" s="234">
        <v>44236</v>
      </c>
      <c r="B1237" s="235">
        <v>390.25</v>
      </c>
    </row>
    <row r="1238" spans="1:2" x14ac:dyDescent="0.4">
      <c r="A1238" s="234">
        <v>44237</v>
      </c>
      <c r="B1238" s="235">
        <v>390.08</v>
      </c>
    </row>
    <row r="1239" spans="1:2" x14ac:dyDescent="0.4">
      <c r="A1239" s="234">
        <v>44238</v>
      </c>
      <c r="B1239" s="235">
        <v>390.71</v>
      </c>
    </row>
    <row r="1240" spans="1:2" x14ac:dyDescent="0.4">
      <c r="A1240" s="234">
        <v>44239</v>
      </c>
      <c r="B1240" s="235">
        <v>392.64</v>
      </c>
    </row>
    <row r="1241" spans="1:2" x14ac:dyDescent="0.4">
      <c r="A1241" s="234">
        <v>44243</v>
      </c>
      <c r="B1241" s="235">
        <v>392.3</v>
      </c>
    </row>
    <row r="1242" spans="1:2" x14ac:dyDescent="0.4">
      <c r="A1242" s="234">
        <v>44244</v>
      </c>
      <c r="B1242" s="235">
        <v>392.39</v>
      </c>
    </row>
    <row r="1243" spans="1:2" x14ac:dyDescent="0.4">
      <c r="A1243" s="234">
        <v>44245</v>
      </c>
      <c r="B1243" s="235">
        <v>390.72</v>
      </c>
    </row>
    <row r="1244" spans="1:2" x14ac:dyDescent="0.4">
      <c r="A1244" s="234">
        <v>44246</v>
      </c>
      <c r="B1244" s="235">
        <v>390.03</v>
      </c>
    </row>
    <row r="1245" spans="1:2" x14ac:dyDescent="0.4">
      <c r="A1245" s="234">
        <v>44249</v>
      </c>
      <c r="B1245" s="235">
        <v>387.03</v>
      </c>
    </row>
    <row r="1246" spans="1:2" x14ac:dyDescent="0.4">
      <c r="A1246" s="234">
        <v>44250</v>
      </c>
      <c r="B1246" s="235">
        <v>387.5</v>
      </c>
    </row>
    <row r="1247" spans="1:2" x14ac:dyDescent="0.4">
      <c r="A1247" s="234">
        <v>44251</v>
      </c>
      <c r="B1247" s="235">
        <v>391.77</v>
      </c>
    </row>
    <row r="1248" spans="1:2" x14ac:dyDescent="0.4">
      <c r="A1248" s="234">
        <v>44252</v>
      </c>
      <c r="B1248" s="235">
        <v>382.33</v>
      </c>
    </row>
    <row r="1249" spans="1:2" x14ac:dyDescent="0.4">
      <c r="A1249" s="234">
        <v>44253</v>
      </c>
      <c r="B1249" s="235">
        <v>380.36</v>
      </c>
    </row>
    <row r="1250" spans="1:2" x14ac:dyDescent="0.4">
      <c r="A1250" s="234">
        <v>44256</v>
      </c>
      <c r="B1250" s="235">
        <v>389.58</v>
      </c>
    </row>
    <row r="1251" spans="1:2" x14ac:dyDescent="0.4">
      <c r="A1251" s="234">
        <v>44257</v>
      </c>
      <c r="B1251" s="235">
        <v>386.54</v>
      </c>
    </row>
    <row r="1252" spans="1:2" x14ac:dyDescent="0.4">
      <c r="A1252" s="234">
        <v>44258</v>
      </c>
      <c r="B1252" s="235">
        <v>381.42</v>
      </c>
    </row>
    <row r="1253" spans="1:2" x14ac:dyDescent="0.4">
      <c r="A1253" s="234">
        <v>44259</v>
      </c>
      <c r="B1253" s="235">
        <v>376.7</v>
      </c>
    </row>
    <row r="1254" spans="1:2" x14ac:dyDescent="0.4">
      <c r="A1254" s="234">
        <v>44260</v>
      </c>
      <c r="B1254" s="235">
        <v>383.63</v>
      </c>
    </row>
    <row r="1255" spans="1:2" x14ac:dyDescent="0.4">
      <c r="A1255" s="234">
        <v>44263</v>
      </c>
      <c r="B1255" s="235">
        <v>381.72</v>
      </c>
    </row>
    <row r="1256" spans="1:2" x14ac:dyDescent="0.4">
      <c r="A1256" s="234">
        <v>44264</v>
      </c>
      <c r="B1256" s="235">
        <v>387.17</v>
      </c>
    </row>
    <row r="1257" spans="1:2" x14ac:dyDescent="0.4">
      <c r="A1257" s="234">
        <v>44265</v>
      </c>
      <c r="B1257" s="235">
        <v>389.58</v>
      </c>
    </row>
    <row r="1258" spans="1:2" x14ac:dyDescent="0.4">
      <c r="A1258" s="234">
        <v>44266</v>
      </c>
      <c r="B1258" s="235">
        <v>393.53</v>
      </c>
    </row>
    <row r="1259" spans="1:2" x14ac:dyDescent="0.4">
      <c r="A1259" s="234">
        <v>44267</v>
      </c>
      <c r="B1259" s="235">
        <v>394.06</v>
      </c>
    </row>
    <row r="1260" spans="1:2" x14ac:dyDescent="0.4">
      <c r="A1260" s="234">
        <v>44270</v>
      </c>
      <c r="B1260" s="235">
        <v>396.41</v>
      </c>
    </row>
    <row r="1261" spans="1:2" x14ac:dyDescent="0.4">
      <c r="A1261" s="234">
        <v>44271</v>
      </c>
      <c r="B1261" s="235">
        <v>395.91</v>
      </c>
    </row>
    <row r="1262" spans="1:2" x14ac:dyDescent="0.4">
      <c r="A1262" s="234">
        <v>44272</v>
      </c>
      <c r="B1262" s="235">
        <v>397.26</v>
      </c>
    </row>
    <row r="1263" spans="1:2" x14ac:dyDescent="0.4">
      <c r="A1263" s="234">
        <v>44273</v>
      </c>
      <c r="B1263" s="235">
        <v>391.48</v>
      </c>
    </row>
    <row r="1264" spans="1:2" x14ac:dyDescent="0.4">
      <c r="A1264" s="234">
        <v>44274</v>
      </c>
      <c r="B1264" s="235">
        <v>389.48</v>
      </c>
    </row>
    <row r="1265" spans="1:2" x14ac:dyDescent="0.4">
      <c r="A1265" s="234">
        <v>44277</v>
      </c>
      <c r="B1265" s="235">
        <v>392.59</v>
      </c>
    </row>
    <row r="1266" spans="1:2" x14ac:dyDescent="0.4">
      <c r="A1266" s="234">
        <v>44278</v>
      </c>
      <c r="B1266" s="235">
        <v>389.5</v>
      </c>
    </row>
    <row r="1267" spans="1:2" x14ac:dyDescent="0.4">
      <c r="A1267" s="234">
        <v>44279</v>
      </c>
      <c r="B1267" s="235">
        <v>387.52</v>
      </c>
    </row>
    <row r="1268" spans="1:2" x14ac:dyDescent="0.4">
      <c r="A1268" s="234">
        <v>44280</v>
      </c>
      <c r="B1268" s="235">
        <v>389.7</v>
      </c>
    </row>
    <row r="1269" spans="1:2" x14ac:dyDescent="0.4">
      <c r="A1269" s="234">
        <v>44281</v>
      </c>
      <c r="B1269" s="235">
        <v>395.98</v>
      </c>
    </row>
    <row r="1270" spans="1:2" x14ac:dyDescent="0.4">
      <c r="A1270" s="234">
        <v>44284</v>
      </c>
      <c r="B1270" s="235">
        <v>395.78</v>
      </c>
    </row>
    <row r="1271" spans="1:2" x14ac:dyDescent="0.4">
      <c r="A1271" s="234">
        <v>44285</v>
      </c>
      <c r="B1271" s="235">
        <v>394.73</v>
      </c>
    </row>
    <row r="1272" spans="1:2" x14ac:dyDescent="0.4">
      <c r="A1272" s="234">
        <v>44286</v>
      </c>
      <c r="B1272" s="235">
        <v>396.33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Output</vt:lpstr>
      <vt:lpstr>DCF</vt:lpstr>
      <vt:lpstr>Tables</vt:lpstr>
      <vt:lpstr>Analysis</vt:lpstr>
      <vt:lpstr>Transaction revenues</vt:lpstr>
      <vt:lpstr>Asset-based revenues</vt:lpstr>
      <vt:lpstr>Bitcoin price</vt:lpstr>
      <vt:lpstr>Revenue forecast</vt:lpstr>
      <vt:lpstr>Discount rate</vt:lpstr>
      <vt:lpstr>Data</vt:lpstr>
      <vt:lpstr>IS (Annual)</vt:lpstr>
      <vt:lpstr>IS (Quarterly)</vt:lpstr>
      <vt:lpstr>BS</vt:lpstr>
      <vt:lpstr>Operational</vt:lpstr>
      <vt:lpstr>CFS</vt:lpstr>
      <vt:lpstr>Forecasts</vt:lpstr>
      <vt:lpstr>Acquisitions</vt:lpstr>
      <vt:lpstr>BTCUSD</vt:lpstr>
      <vt:lpstr>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Yeung</dc:creator>
  <cp:lastModifiedBy>Park Yeung</cp:lastModifiedBy>
  <dcterms:created xsi:type="dcterms:W3CDTF">2021-04-18T13:08:30Z</dcterms:created>
  <dcterms:modified xsi:type="dcterms:W3CDTF">2021-04-29T12:28:35Z</dcterms:modified>
</cp:coreProperties>
</file>