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FinTech VC\03. Analysis\03. DeFi\"/>
    </mc:Choice>
  </mc:AlternateContent>
  <xr:revisionPtr revIDLastSave="0" documentId="13_ncr:1_{3F53E27D-98A3-4B48-A498-A32A7BC2330E}" xr6:coauthVersionLast="46" xr6:coauthVersionMax="46" xr10:uidLastSave="{00000000-0000-0000-0000-000000000000}"/>
  <bookViews>
    <workbookView xWindow="57420" yWindow="6870" windowWidth="29160" windowHeight="15960" tabRatio="932" xr2:uid="{6029949F-BEDD-479A-B7E9-81043D5BF7A0}"/>
  </bookViews>
  <sheets>
    <sheet name="Valuation" sheetId="18" r:id="rId1"/>
    <sheet name="Input &gt;" sheetId="30" r:id="rId2"/>
    <sheet name="Earnings" sheetId="26" r:id="rId3"/>
    <sheet name="Market cap" sheetId="28" r:id="rId4"/>
    <sheet name="Acquisitions" sheetId="22" state="hidden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44321.8285648148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8" l="1"/>
  <c r="G22" i="18"/>
  <c r="E22" i="18"/>
  <c r="G34" i="18"/>
  <c r="G33" i="18"/>
  <c r="G32" i="18"/>
  <c r="G31" i="18"/>
  <c r="G28" i="18"/>
  <c r="G27" i="18"/>
  <c r="G26" i="18"/>
  <c r="G25" i="18"/>
  <c r="E34" i="18"/>
  <c r="E33" i="18"/>
  <c r="E32" i="18"/>
  <c r="E31" i="18"/>
  <c r="E28" i="18"/>
  <c r="E27" i="18"/>
  <c r="E26" i="18"/>
  <c r="E25" i="18"/>
  <c r="E58" i="28"/>
  <c r="D32" i="18" s="1"/>
  <c r="E60" i="28"/>
  <c r="D34" i="18" s="1"/>
  <c r="E59" i="28"/>
  <c r="D33" i="18" s="1"/>
  <c r="E57" i="28"/>
  <c r="D31" i="18" s="1"/>
  <c r="E56" i="28"/>
  <c r="D28" i="18" s="1"/>
  <c r="E55" i="28"/>
  <c r="D27" i="18" s="1"/>
  <c r="E54" i="28"/>
  <c r="D26" i="18" s="1"/>
  <c r="M20" i="26"/>
  <c r="M19" i="26"/>
  <c r="M18" i="26"/>
  <c r="M17" i="26"/>
  <c r="M16" i="26"/>
  <c r="M15" i="26"/>
  <c r="M14" i="26"/>
  <c r="M13" i="26"/>
  <c r="M12" i="26"/>
  <c r="F23" i="28"/>
  <c r="G23" i="28"/>
  <c r="F24" i="28"/>
  <c r="G24" i="28"/>
  <c r="F25" i="28"/>
  <c r="G25" i="28"/>
  <c r="F26" i="28"/>
  <c r="G26" i="28"/>
  <c r="F27" i="28"/>
  <c r="G27" i="28"/>
  <c r="F28" i="28"/>
  <c r="G28" i="28"/>
  <c r="F29" i="28"/>
  <c r="G29" i="28"/>
  <c r="F30" i="28"/>
  <c r="G30" i="28"/>
  <c r="F31" i="28"/>
  <c r="G31" i="28"/>
  <c r="F36" i="28"/>
  <c r="G36" i="28"/>
  <c r="F37" i="28"/>
  <c r="G37" i="28"/>
  <c r="F38" i="28"/>
  <c r="G38" i="28"/>
  <c r="F39" i="28"/>
  <c r="G39" i="28"/>
  <c r="F40" i="28"/>
  <c r="G40" i="28"/>
  <c r="F41" i="28"/>
  <c r="G41" i="28"/>
  <c r="F42" i="28"/>
  <c r="G42" i="28"/>
  <c r="F43" i="28"/>
  <c r="G43" i="28"/>
  <c r="F44" i="28"/>
  <c r="G44" i="28"/>
  <c r="C53" i="28"/>
  <c r="E53" i="28" s="1"/>
  <c r="D25" i="18" s="1"/>
  <c r="C19" i="26"/>
  <c r="D19" i="26"/>
  <c r="E19" i="26"/>
  <c r="E19" i="18" s="1"/>
  <c r="E43" i="26"/>
  <c r="F43" i="26" s="1"/>
  <c r="C17" i="26"/>
  <c r="D17" i="26"/>
  <c r="E17" i="26"/>
  <c r="E17" i="18" s="1"/>
  <c r="E18" i="26"/>
  <c r="E18" i="18" s="1"/>
  <c r="D18" i="26"/>
  <c r="C18" i="26"/>
  <c r="E16" i="26"/>
  <c r="E16" i="18" s="1"/>
  <c r="D16" i="26"/>
  <c r="C16" i="26"/>
  <c r="E15" i="26"/>
  <c r="E15" i="18" s="1"/>
  <c r="D15" i="26"/>
  <c r="C15" i="26"/>
  <c r="E14" i="26"/>
  <c r="E14" i="18" s="1"/>
  <c r="D14" i="26"/>
  <c r="C14" i="26"/>
  <c r="E13" i="26"/>
  <c r="E13" i="18" s="1"/>
  <c r="D13" i="26"/>
  <c r="C13" i="26"/>
  <c r="E12" i="26"/>
  <c r="E12" i="18" s="1"/>
  <c r="D12" i="26"/>
  <c r="C12" i="26"/>
  <c r="E11" i="26"/>
  <c r="E11" i="18" s="1"/>
  <c r="D11" i="26"/>
  <c r="C11" i="26"/>
  <c r="D11" i="18"/>
  <c r="G10" i="28"/>
  <c r="G11" i="28"/>
  <c r="D12" i="18" s="1"/>
  <c r="G12" i="28"/>
  <c r="D13" i="18" s="1"/>
  <c r="G13" i="28"/>
  <c r="D14" i="18" s="1"/>
  <c r="G14" i="28"/>
  <c r="D15" i="18" s="1"/>
  <c r="G15" i="28"/>
  <c r="D16" i="18" s="1"/>
  <c r="G16" i="28"/>
  <c r="D17" i="18" s="1"/>
  <c r="G17" i="28"/>
  <c r="D18" i="18" s="1"/>
  <c r="G18" i="28"/>
  <c r="D19" i="18" s="1"/>
  <c r="F18" i="28"/>
  <c r="F17" i="28"/>
  <c r="F16" i="28"/>
  <c r="F15" i="28"/>
  <c r="F14" i="28"/>
  <c r="F13" i="28"/>
  <c r="F12" i="28"/>
  <c r="F11" i="28"/>
  <c r="F10" i="28"/>
  <c r="E45" i="26"/>
  <c r="G45" i="26" s="1"/>
  <c r="E44" i="26"/>
  <c r="G44" i="26" s="1"/>
  <c r="E42" i="26"/>
  <c r="F42" i="26" s="1"/>
  <c r="E41" i="26"/>
  <c r="G41" i="26" s="1"/>
  <c r="E40" i="26"/>
  <c r="G40" i="26" s="1"/>
  <c r="E39" i="26"/>
  <c r="G39" i="26" s="1"/>
  <c r="E38" i="26"/>
  <c r="G38" i="26" s="1"/>
  <c r="E37" i="26"/>
  <c r="G37" i="26" s="1"/>
  <c r="F22" i="18" l="1"/>
  <c r="H22" i="18" s="1"/>
  <c r="F28" i="18"/>
  <c r="H28" i="18" s="1"/>
  <c r="F34" i="18"/>
  <c r="H34" i="18" s="1"/>
  <c r="F32" i="18"/>
  <c r="H32" i="18" s="1"/>
  <c r="F31" i="18"/>
  <c r="H31" i="18" s="1"/>
  <c r="F15" i="26"/>
  <c r="F33" i="18"/>
  <c r="H33" i="18" s="1"/>
  <c r="F27" i="18"/>
  <c r="H27" i="18" s="1"/>
  <c r="F26" i="18"/>
  <c r="H26" i="18" s="1"/>
  <c r="F25" i="18"/>
  <c r="H25" i="18" s="1"/>
  <c r="G17" i="26"/>
  <c r="C20" i="26"/>
  <c r="D20" i="26"/>
  <c r="F17" i="26"/>
  <c r="F14" i="26"/>
  <c r="E20" i="26"/>
  <c r="F16" i="26"/>
  <c r="G16" i="26"/>
  <c r="F11" i="26"/>
  <c r="G11" i="26"/>
  <c r="F12" i="26"/>
  <c r="F18" i="26"/>
  <c r="G12" i="26"/>
  <c r="G18" i="26"/>
  <c r="F13" i="26"/>
  <c r="F19" i="26"/>
  <c r="G15" i="26"/>
  <c r="G13" i="26"/>
  <c r="G19" i="26"/>
  <c r="G14" i="26"/>
  <c r="F19" i="18"/>
  <c r="G43" i="26"/>
  <c r="F17" i="18"/>
  <c r="F18" i="18"/>
  <c r="F15" i="18"/>
  <c r="F16" i="18"/>
  <c r="F13" i="18"/>
  <c r="F14" i="18"/>
  <c r="F11" i="18"/>
  <c r="F12" i="18"/>
  <c r="F37" i="26"/>
  <c r="G42" i="26"/>
  <c r="F38" i="26"/>
  <c r="F44" i="26"/>
  <c r="F39" i="26"/>
  <c r="F45" i="26"/>
  <c r="F40" i="26"/>
  <c r="F41" i="26"/>
  <c r="H17" i="26" l="1"/>
  <c r="I17" i="26" s="1"/>
  <c r="J17" i="26" s="1"/>
  <c r="H15" i="26"/>
  <c r="I15" i="26" s="1"/>
  <c r="J15" i="26" s="1"/>
  <c r="K15" i="26" s="1"/>
  <c r="L15" i="26" s="1"/>
  <c r="F20" i="26"/>
  <c r="H16" i="26"/>
  <c r="I16" i="26" s="1"/>
  <c r="J16" i="26" s="1"/>
  <c r="K16" i="26" s="1"/>
  <c r="L16" i="26" s="1"/>
  <c r="G20" i="26"/>
  <c r="H20" i="26" s="1"/>
  <c r="I20" i="26" s="1"/>
  <c r="J20" i="26" s="1"/>
  <c r="K20" i="26" s="1"/>
  <c r="L20" i="26" s="1"/>
  <c r="H12" i="26"/>
  <c r="I12" i="26" s="1"/>
  <c r="J12" i="26" s="1"/>
  <c r="K12" i="26" s="1"/>
  <c r="L12" i="26" s="1"/>
  <c r="H18" i="26"/>
  <c r="I18" i="26" s="1"/>
  <c r="J18" i="26" s="1"/>
  <c r="K18" i="26" s="1"/>
  <c r="L18" i="26" s="1"/>
  <c r="H11" i="26"/>
  <c r="I11" i="26" s="1"/>
  <c r="H14" i="26"/>
  <c r="I14" i="26" s="1"/>
  <c r="J14" i="26" s="1"/>
  <c r="K14" i="26" s="1"/>
  <c r="L14" i="26" s="1"/>
  <c r="K17" i="26"/>
  <c r="L17" i="26" s="1"/>
  <c r="H13" i="26"/>
  <c r="I13" i="26" s="1"/>
  <c r="J13" i="26" s="1"/>
  <c r="K13" i="26" s="1"/>
  <c r="L13" i="26" s="1"/>
  <c r="N15" i="26"/>
  <c r="G15" i="18" s="1"/>
  <c r="H15" i="18" s="1"/>
  <c r="H19" i="26"/>
  <c r="I19" i="26" s="1"/>
  <c r="N16" i="26" l="1"/>
  <c r="G16" i="18" s="1"/>
  <c r="H16" i="18" s="1"/>
  <c r="N18" i="26"/>
  <c r="G18" i="18" s="1"/>
  <c r="H18" i="18" s="1"/>
  <c r="N20" i="26"/>
  <c r="J11" i="26"/>
  <c r="K11" i="26" s="1"/>
  <c r="L11" i="26" s="1"/>
  <c r="N14" i="26"/>
  <c r="G14" i="18" s="1"/>
  <c r="H14" i="18" s="1"/>
  <c r="N13" i="26"/>
  <c r="G13" i="18" s="1"/>
  <c r="H13" i="18" s="1"/>
  <c r="J19" i="26"/>
  <c r="K19" i="26" s="1"/>
  <c r="L19" i="26" s="1"/>
  <c r="N12" i="26"/>
  <c r="G12" i="18" s="1"/>
  <c r="H12" i="18" s="1"/>
  <c r="N17" i="26"/>
  <c r="G17" i="18" s="1"/>
  <c r="H17" i="18" s="1"/>
  <c r="N19" i="26" l="1"/>
  <c r="G19" i="18" s="1"/>
  <c r="H19" i="18" s="1"/>
  <c r="N11" i="26"/>
  <c r="G11" i="18" s="1"/>
  <c r="H11" i="18" s="1"/>
</calcChain>
</file>

<file path=xl/sharedStrings.xml><?xml version="1.0" encoding="utf-8"?>
<sst xmlns="http://schemas.openxmlformats.org/spreadsheetml/2006/main" count="209" uniqueCount="103">
  <si>
    <t>Valuation model</t>
  </si>
  <si>
    <t>Revenues</t>
  </si>
  <si>
    <t>Q1 2021</t>
  </si>
  <si>
    <t>Q3 2020</t>
  </si>
  <si>
    <t>Q4 2020</t>
  </si>
  <si>
    <t>Price (USD)</t>
  </si>
  <si>
    <t>Discounted cash flows</t>
  </si>
  <si>
    <t>Total</t>
  </si>
  <si>
    <t>Prime</t>
  </si>
  <si>
    <t>Acquisitions</t>
  </si>
  <si>
    <t>Company</t>
  </si>
  <si>
    <t>Tagomi</t>
  </si>
  <si>
    <t>Acqusition date</t>
  </si>
  <si>
    <t>Business description</t>
  </si>
  <si>
    <t>Institutional brokerage for crypto assets, offering an advanced trading platform with suite of prime services</t>
  </si>
  <si>
    <t>Bison Trails</t>
  </si>
  <si>
    <t>Infrastructure services to allow customers to stake crypto assets on multiple blockchains through its infrastructure</t>
  </si>
  <si>
    <t>Xapo</t>
  </si>
  <si>
    <t>Customer relationships of Xapo's institutional custody business, which includes high net worth individuals and institutions</t>
  </si>
  <si>
    <t>Neutrino</t>
  </si>
  <si>
    <t>Solutions for analysing crypto asset flows across multiple blockchains</t>
  </si>
  <si>
    <t>Consideration ($mn)</t>
  </si>
  <si>
    <t>Form S-1/A (No. 2), page F-23</t>
  </si>
  <si>
    <t>Form S-1/A (No. 2), page F-24</t>
  </si>
  <si>
    <t>Form S-1/A (No. 2), page F-22</t>
  </si>
  <si>
    <t>https://fortune.com/2021/01/19/coinbase-acquires-bison-trails-crypto-builder-deal/</t>
  </si>
  <si>
    <t>Relevant to</t>
  </si>
  <si>
    <t>Custody</t>
  </si>
  <si>
    <t>Analytics</t>
  </si>
  <si>
    <t>S&amp;P 500</t>
  </si>
  <si>
    <t>Custody, Staking</t>
  </si>
  <si>
    <t>Coinbase</t>
  </si>
  <si>
    <t>Copyright © 2021 Open Source Finance.</t>
  </si>
  <si>
    <t>DeFi</t>
  </si>
  <si>
    <t>DeFi Protocol Valuation Metrics</t>
  </si>
  <si>
    <t>Project / Asset</t>
  </si>
  <si>
    <t>% In Circulation</t>
  </si>
  <si>
    <t>Uniswap</t>
  </si>
  <si>
    <t>Sushiswap</t>
  </si>
  <si>
    <t>Compound</t>
  </si>
  <si>
    <t>Aave</t>
  </si>
  <si>
    <t>Bancor</t>
  </si>
  <si>
    <t>Balancer</t>
  </si>
  <si>
    <t>Curve</t>
  </si>
  <si>
    <t>Synthetix</t>
  </si>
  <si>
    <t>Maker</t>
  </si>
  <si>
    <t>Supply-side</t>
  </si>
  <si>
    <t>Protocol</t>
  </si>
  <si>
    <t>Supply-side %</t>
  </si>
  <si>
    <t>Protocol %</t>
  </si>
  <si>
    <t>Source: The Block, Monthly DeFi Revenue (obtained 18 May 2021).</t>
  </si>
  <si>
    <t>Source: The Block, Annualised DeFi revenue by protocol (30-day sample) (obtained 18 May 2021).</t>
  </si>
  <si>
    <t>Market</t>
  </si>
  <si>
    <t>Circulating supply (million)</t>
  </si>
  <si>
    <t>Fully diluted supply (million)</t>
  </si>
  <si>
    <t>Market data as at 31 March 2021</t>
  </si>
  <si>
    <t>Source: CoinMarketCap (accessed on 31 March 2021 11:37pm via Wayback Machine).</t>
  </si>
  <si>
    <t>Market data as at 31 December 2020</t>
  </si>
  <si>
    <t>Source: CoinMarketCap (accessed on 31 December 2021 5:47pm via Wayback Machine).</t>
  </si>
  <si>
    <t>Market data as at 30 September 2020</t>
  </si>
  <si>
    <t>Market cap (USD million)</t>
  </si>
  <si>
    <t>Period</t>
  </si>
  <si>
    <t>Market cap 
(USD million)</t>
  </si>
  <si>
    <t>P/E</t>
  </si>
  <si>
    <t>Nasdaq</t>
  </si>
  <si>
    <t>JP Morgan</t>
  </si>
  <si>
    <t>Bank of America</t>
  </si>
  <si>
    <t>Citigroup</t>
  </si>
  <si>
    <t>HSBC</t>
  </si>
  <si>
    <t>Paypal</t>
  </si>
  <si>
    <t>Square</t>
  </si>
  <si>
    <t>Visa</t>
  </si>
  <si>
    <t>Average annual</t>
  </si>
  <si>
    <t>Earnings 
(USD million)</t>
  </si>
  <si>
    <t>Year 1</t>
  </si>
  <si>
    <t>Year 2</t>
  </si>
  <si>
    <t>Year 3</t>
  </si>
  <si>
    <t>Year 4</t>
  </si>
  <si>
    <t>Year 5</t>
  </si>
  <si>
    <t>Valuation</t>
  </si>
  <si>
    <t>DeFi protocols</t>
  </si>
  <si>
    <t>Banks</t>
  </si>
  <si>
    <t>Fintech</t>
  </si>
  <si>
    <t>Equities</t>
  </si>
  <si>
    <r>
      <t>Earnings 
growth (%)</t>
    </r>
    <r>
      <rPr>
        <vertAlign val="superscript"/>
        <sz val="10"/>
        <color theme="1"/>
        <rFont val="Calibri"/>
        <family val="2"/>
        <scheme val="minor"/>
      </rPr>
      <t>(1)</t>
    </r>
  </si>
  <si>
    <t>Total earnings</t>
  </si>
  <si>
    <t>Growth of earnings (%)</t>
  </si>
  <si>
    <t>DeFi monthly total earnings - protocol and token holders (USD million)</t>
  </si>
  <si>
    <t>Split of DeFi earnings between liquidity suppliers and protocols (30-day sample, annualised) (USD million)</t>
  </si>
  <si>
    <t>Summary of earnings and implied growth rates</t>
  </si>
  <si>
    <t>Q1 2021 Earnings and forecast 5-year growth rates as at 21 May 2021</t>
  </si>
  <si>
    <t>5-yr forecast growth rate (%)</t>
  </si>
  <si>
    <t>Extrapolated growth rates (%)</t>
  </si>
  <si>
    <t>5-yr annualised</t>
  </si>
  <si>
    <t>Index / Company</t>
  </si>
  <si>
    <t>Mastercard</t>
  </si>
  <si>
    <t>PayPal</t>
  </si>
  <si>
    <t>LTM Earnings (USD million)</t>
  </si>
  <si>
    <t>Source: Yahoo Finance; Ycharts.com</t>
  </si>
  <si>
    <t>Index</t>
  </si>
  <si>
    <t>LTM EPS (USD)</t>
  </si>
  <si>
    <t>Source: Yahoo Finance; Ycharts.com; S&amp;P 500 Earnings and Estimate Report 20 May 2021.</t>
  </si>
  <si>
    <t>PEG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</si>
</sst>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F800]dddd\,\ mmmm\ dd\,\ yyyy"/>
    <numFmt numFmtId="167" formatCode="#,##0.0"/>
    <numFmt numFmtId="169" formatCode="#,##0;\(#,##0\);\-"/>
    <numFmt numFmtId="171" formatCode="mmm\ yyyy"/>
    <numFmt numFmtId="174" formatCode="0.0%"/>
    <numFmt numFmtId="177" formatCode="0.00;\(0.00\);\-"/>
    <numFmt numFmtId="178" formatCode="0.0;\(0.0\);\-"/>
    <numFmt numFmtId="189" formatCode="0\x;0\x;\-"/>
    <numFmt numFmtId="192" formatCode="0.00;0.00;\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440AA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1440AA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Arial"/>
      <family val="2"/>
    </font>
    <font>
      <b/>
      <u val="singleAccounting"/>
      <sz val="8"/>
      <color indexed="8"/>
      <name val="Arial"/>
      <family val="2"/>
    </font>
    <font>
      <sz val="10"/>
      <name val="Arial"/>
      <family val="2"/>
    </font>
    <font>
      <i/>
      <sz val="10"/>
      <color rgb="FF1440AA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440A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2" fillId="4" borderId="0" applyAlignment="0"/>
    <xf numFmtId="0" fontId="11" fillId="0" borderId="0" applyAlignment="0"/>
    <xf numFmtId="0" fontId="13" fillId="0" borderId="0">
      <alignment vertical="center"/>
    </xf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4" fillId="0" borderId="2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/>
    <xf numFmtId="0" fontId="4" fillId="0" borderId="6" xfId="0" applyFont="1" applyBorder="1"/>
    <xf numFmtId="0" fontId="4" fillId="0" borderId="4" xfId="0" applyFont="1" applyBorder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3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71" fontId="4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9" fontId="3" fillId="0" borderId="0" xfId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164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3" fillId="0" borderId="14" xfId="0" applyFont="1" applyBorder="1" applyAlignment="1">
      <alignment vertical="center"/>
    </xf>
    <xf numFmtId="164" fontId="3" fillId="0" borderId="14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/>
    </xf>
    <xf numFmtId="164" fontId="3" fillId="0" borderId="15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 wrapText="1"/>
    </xf>
    <xf numFmtId="2" fontId="3" fillId="3" borderId="13" xfId="0" applyNumberFormat="1" applyFont="1" applyFill="1" applyBorder="1" applyAlignment="1">
      <alignment horizontal="center" vertical="center"/>
    </xf>
    <xf numFmtId="2" fontId="3" fillId="3" borderId="14" xfId="0" applyNumberFormat="1" applyFont="1" applyFill="1" applyBorder="1" applyAlignment="1">
      <alignment horizontal="center" vertical="center"/>
    </xf>
    <xf numFmtId="2" fontId="3" fillId="3" borderId="1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9" fontId="3" fillId="0" borderId="0" xfId="1" applyFont="1" applyBorder="1" applyAlignment="1">
      <alignment horizontal="center"/>
    </xf>
    <xf numFmtId="9" fontId="3" fillId="0" borderId="0" xfId="1" applyFont="1" applyAlignment="1">
      <alignment horizontal="right"/>
    </xf>
    <xf numFmtId="9" fontId="4" fillId="0" borderId="3" xfId="1" applyFont="1" applyBorder="1" applyAlignment="1">
      <alignment horizontal="center"/>
    </xf>
    <xf numFmtId="0" fontId="14" fillId="0" borderId="0" xfId="0" applyFont="1"/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Fill="1" applyAlignment="1">
      <alignment horizontal="right"/>
    </xf>
    <xf numFmtId="0" fontId="4" fillId="0" borderId="10" xfId="0" applyFont="1" applyBorder="1"/>
    <xf numFmtId="0" fontId="3" fillId="0" borderId="4" xfId="0" applyFont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15" fillId="0" borderId="0" xfId="0" applyFont="1"/>
    <xf numFmtId="0" fontId="15" fillId="0" borderId="0" xfId="0" applyFont="1" applyBorder="1"/>
    <xf numFmtId="0" fontId="3" fillId="0" borderId="6" xfId="0" applyFont="1" applyBorder="1" applyAlignment="1">
      <alignment horizontal="centerContinuous"/>
    </xf>
    <xf numFmtId="171" fontId="3" fillId="0" borderId="4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Continuous"/>
    </xf>
    <xf numFmtId="171" fontId="3" fillId="0" borderId="8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189" fontId="3" fillId="0" borderId="0" xfId="0" applyNumberFormat="1" applyFont="1" applyAlignment="1">
      <alignment horizontal="center"/>
    </xf>
    <xf numFmtId="189" fontId="3" fillId="0" borderId="4" xfId="0" applyNumberFormat="1" applyFont="1" applyBorder="1" applyAlignment="1">
      <alignment horizontal="center"/>
    </xf>
    <xf numFmtId="189" fontId="3" fillId="0" borderId="5" xfId="0" applyNumberFormat="1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174" fontId="3" fillId="0" borderId="0" xfId="1" applyNumberFormat="1" applyFont="1" applyAlignment="1">
      <alignment horizontal="center"/>
    </xf>
    <xf numFmtId="167" fontId="4" fillId="0" borderId="11" xfId="0" applyNumberFormat="1" applyFont="1" applyBorder="1" applyAlignment="1">
      <alignment horizontal="center"/>
    </xf>
    <xf numFmtId="9" fontId="4" fillId="0" borderId="11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3" fillId="0" borderId="9" xfId="1" applyFont="1" applyBorder="1" applyAlignment="1">
      <alignment horizontal="center"/>
    </xf>
    <xf numFmtId="9" fontId="3" fillId="3" borderId="9" xfId="1" applyFont="1" applyFill="1" applyBorder="1" applyAlignment="1">
      <alignment horizontal="center"/>
    </xf>
    <xf numFmtId="177" fontId="3" fillId="3" borderId="0" xfId="0" applyNumberFormat="1" applyFont="1" applyFill="1" applyBorder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177" fontId="3" fillId="3" borderId="5" xfId="0" applyNumberFormat="1" applyFont="1" applyFill="1" applyBorder="1" applyAlignment="1">
      <alignment horizontal="center" vertical="center"/>
    </xf>
    <xf numFmtId="169" fontId="3" fillId="3" borderId="0" xfId="0" applyNumberFormat="1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 vertical="center"/>
    </xf>
    <xf numFmtId="169" fontId="3" fillId="3" borderId="5" xfId="0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171" fontId="4" fillId="0" borderId="2" xfId="0" applyNumberFormat="1" applyFont="1" applyBorder="1" applyAlignment="1">
      <alignment horizontal="center" wrapText="1"/>
    </xf>
    <xf numFmtId="174" fontId="3" fillId="0" borderId="5" xfId="1" applyNumberFormat="1" applyFont="1" applyBorder="1" applyAlignment="1">
      <alignment horizontal="center"/>
    </xf>
    <xf numFmtId="171" fontId="4" fillId="0" borderId="17" xfId="0" applyNumberFormat="1" applyFont="1" applyBorder="1" applyAlignment="1">
      <alignment horizontal="center"/>
    </xf>
    <xf numFmtId="169" fontId="3" fillId="0" borderId="9" xfId="0" applyNumberFormat="1" applyFont="1" applyFill="1" applyBorder="1" applyAlignment="1">
      <alignment horizontal="center" vertical="center"/>
    </xf>
    <xf numFmtId="169" fontId="3" fillId="0" borderId="1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10" fontId="3" fillId="3" borderId="0" xfId="1" applyNumberFormat="1" applyFont="1" applyFill="1" applyBorder="1" applyAlignment="1">
      <alignment horizontal="center"/>
    </xf>
    <xf numFmtId="10" fontId="3" fillId="3" borderId="5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9" fontId="4" fillId="0" borderId="2" xfId="1" applyFont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0" fontId="3" fillId="3" borderId="4" xfId="1" applyNumberFormat="1" applyFont="1" applyFill="1" applyBorder="1" applyAlignment="1">
      <alignment horizontal="center"/>
    </xf>
    <xf numFmtId="178" fontId="3" fillId="3" borderId="0" xfId="0" applyNumberFormat="1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178" fontId="3" fillId="3" borderId="5" xfId="0" applyNumberFormat="1" applyFont="1" applyFill="1" applyBorder="1" applyAlignment="1">
      <alignment horizontal="center" vertical="center"/>
    </xf>
    <xf numFmtId="167" fontId="3" fillId="3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 wrapText="1"/>
    </xf>
    <xf numFmtId="171" fontId="4" fillId="0" borderId="0" xfId="0" applyNumberFormat="1" applyFont="1" applyFill="1" applyBorder="1" applyAlignment="1">
      <alignment horizontal="center" wrapText="1"/>
    </xf>
    <xf numFmtId="174" fontId="3" fillId="0" borderId="0" xfId="0" applyNumberFormat="1" applyFont="1" applyAlignment="1">
      <alignment horizontal="center"/>
    </xf>
    <xf numFmtId="3" fontId="4" fillId="0" borderId="10" xfId="0" applyNumberFormat="1" applyFont="1" applyFill="1" applyBorder="1" applyAlignment="1">
      <alignment horizontal="center" wrapText="1"/>
    </xf>
    <xf numFmtId="10" fontId="4" fillId="0" borderId="10" xfId="1" applyNumberFormat="1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vertical="center" wrapText="1"/>
    </xf>
    <xf numFmtId="192" fontId="3" fillId="3" borderId="0" xfId="0" applyNumberFormat="1" applyFont="1" applyFill="1" applyAlignment="1">
      <alignment horizontal="center"/>
    </xf>
    <xf numFmtId="192" fontId="3" fillId="3" borderId="4" xfId="0" applyNumberFormat="1" applyFont="1" applyFill="1" applyBorder="1" applyAlignment="1">
      <alignment horizontal="center"/>
    </xf>
    <xf numFmtId="192" fontId="3" fillId="3" borderId="5" xfId="0" applyNumberFormat="1" applyFont="1" applyFill="1" applyBorder="1" applyAlignment="1">
      <alignment horizontal="center"/>
    </xf>
  </cellXfs>
  <cellStyles count="5">
    <cellStyle name="ColumnHeaderNormal" xfId="2" xr:uid="{6D58AD96-48AC-4F60-820C-D99C32B43D3F}"/>
    <cellStyle name="Normal" xfId="0" builtinId="0"/>
    <cellStyle name="Normal 2" xfId="4" xr:uid="{123C7B6A-6DD9-4602-A728-656E931FDAAD}"/>
    <cellStyle name="Percent" xfId="1" builtinId="5"/>
    <cellStyle name="TextNormal" xfId="3" xr:uid="{E40A3EDA-F98E-4ED8-9148-88BBF9AE7243}"/>
  </cellStyles>
  <dxfs count="0"/>
  <tableStyles count="0" defaultTableStyle="TableStyleMedium2" defaultPivotStyle="PivotStyleLight16"/>
  <colors>
    <mruColors>
      <color rgb="FF1440AA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EF-48BE-A09B-D971CF8FCE67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2EF-48BE-A09B-D971CF8FC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070449267574"/>
          <c:y val="4.7016072266345937E-2"/>
          <c:w val="0.70761634344782187"/>
          <c:h val="0.65117736911794766"/>
        </c:manualLayout>
      </c:layout>
      <c:lineChart>
        <c:grouping val="standard"/>
        <c:varyColors val="0"/>
        <c:ser>
          <c:idx val="0"/>
          <c:order val="0"/>
          <c:tx>
            <c:v>RevPTA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67-4FB2-B443-FA49AB05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lineChart>
        <c:grouping val="standard"/>
        <c:varyColors val="0"/>
        <c:ser>
          <c:idx val="1"/>
          <c:order val="1"/>
          <c:tx>
            <c:v>Price Index (BTC, ETH)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767-4FB2-B443-FA49AB05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7407"/>
        <c:axId val="1845543647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Revenue</a:t>
                </a:r>
                <a:r>
                  <a:rPr lang="en-GB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per transacting user (USD)</a:t>
                </a:r>
                <a:endParaRPr lang="en-GB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8431356403405612E-3"/>
              <c:y val="5.1806742882060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valAx>
        <c:axId val="184554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7407"/>
        <c:crosses val="max"/>
        <c:crossBetween val="between"/>
      </c:valAx>
      <c:catAx>
        <c:axId val="184553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54364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D87-464F-80F5-7131008263D9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D87-464F-80F5-71310082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070449267574"/>
          <c:y val="4.7016072266345937E-2"/>
          <c:w val="0.70761634344782187"/>
          <c:h val="0.65117736911794766"/>
        </c:manualLayout>
      </c:layout>
      <c:lineChart>
        <c:grouping val="standard"/>
        <c:varyColors val="0"/>
        <c:ser>
          <c:idx val="0"/>
          <c:order val="0"/>
          <c:tx>
            <c:v>RevPTA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4E-4B71-8B76-4806C3C7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lineChart>
        <c:grouping val="standard"/>
        <c:varyColors val="0"/>
        <c:ser>
          <c:idx val="1"/>
          <c:order val="1"/>
          <c:tx>
            <c:v>Price Index (BTC, ETH)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4E-4B71-8B76-4806C3C7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7407"/>
        <c:axId val="1845543647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Revenue</a:t>
                </a:r>
                <a:r>
                  <a:rPr lang="en-GB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per transacting user (USD)</a:t>
                </a:r>
                <a:endParaRPr lang="en-GB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8431356403405612E-3"/>
              <c:y val="5.1806742882060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valAx>
        <c:axId val="184554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7407"/>
        <c:crosses val="max"/>
        <c:crossBetween val="between"/>
      </c:valAx>
      <c:catAx>
        <c:axId val="184553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54364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BC9-41B6-89D5-CE2F10984179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BC9-41B6-89D5-CE2F1098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070449267574"/>
          <c:y val="4.7016072266345937E-2"/>
          <c:w val="0.70761634344782187"/>
          <c:h val="0.65117736911794766"/>
        </c:manualLayout>
      </c:layout>
      <c:lineChart>
        <c:grouping val="standard"/>
        <c:varyColors val="0"/>
        <c:ser>
          <c:idx val="0"/>
          <c:order val="0"/>
          <c:tx>
            <c:v>RevPTA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10A-446D-9B99-5EEDF50D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lineChart>
        <c:grouping val="standard"/>
        <c:varyColors val="0"/>
        <c:ser>
          <c:idx val="1"/>
          <c:order val="1"/>
          <c:tx>
            <c:v>Price Index (BTC, ETH)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10A-446D-9B99-5EEDF50D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7407"/>
        <c:axId val="1845543647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Revenue</a:t>
                </a:r>
                <a:r>
                  <a:rPr lang="en-GB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per transacting user (USD)</a:t>
                </a:r>
                <a:endParaRPr lang="en-GB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8431356403405612E-3"/>
              <c:y val="5.1806742882060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valAx>
        <c:axId val="184554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7407"/>
        <c:crosses val="max"/>
        <c:crossBetween val="between"/>
      </c:valAx>
      <c:catAx>
        <c:axId val="184553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54364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D59-4C35-B2D4-3D09FB3A6CDF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RevPTA!#REF!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D59-4C35-B2D4-3D09FB3A6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5070449267574"/>
          <c:y val="4.7016072266345937E-2"/>
          <c:w val="0.70761634344782187"/>
          <c:h val="0.65117736911794766"/>
        </c:manualLayout>
      </c:layout>
      <c:lineChart>
        <c:grouping val="standard"/>
        <c:varyColors val="0"/>
        <c:ser>
          <c:idx val="0"/>
          <c:order val="0"/>
          <c:tx>
            <c:v>RevPTA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EE1-4B57-9DE7-D127AEB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lineChart>
        <c:grouping val="standard"/>
        <c:varyColors val="0"/>
        <c:ser>
          <c:idx val="1"/>
          <c:order val="1"/>
          <c:tx>
            <c:v>Price Index (BTC, ETH)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Revenues!#REF!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Revenues!#REF!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EE1-4B57-9DE7-D127AEB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537407"/>
        <c:axId val="1845543647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Revenue</a:t>
                </a:r>
                <a:r>
                  <a:rPr lang="en-GB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per transacting user (USD)</a:t>
                </a:r>
                <a:endParaRPr lang="en-GB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7.8431356403405612E-3"/>
              <c:y val="5.18067428820607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valAx>
        <c:axId val="184554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37407"/>
        <c:crosses val="max"/>
        <c:crossBetween val="between"/>
      </c:valAx>
      <c:catAx>
        <c:axId val="1845537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554364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92716950276"/>
          <c:y val="4.7016072266345937E-2"/>
          <c:w val="0.83146612373198769"/>
          <c:h val="0.65117736911794766"/>
        </c:manualLayout>
      </c:layout>
      <c:lineChart>
        <c:grouping val="standard"/>
        <c:varyColors val="0"/>
        <c:ser>
          <c:idx val="2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1440AA"/>
              </a:solidFill>
              <a:ln w="9525">
                <a:noFill/>
              </a:ln>
              <a:effectLst/>
            </c:spPr>
          </c:marker>
          <c:val>
            <c:numRef>
              <c:f>RevPTU!#REF!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793-4D36-9E2C-15D6432B9D5F}"/>
            </c:ext>
          </c:extLst>
        </c:ser>
        <c:ser>
          <c:idx val="0"/>
          <c:order val="1"/>
          <c:tx>
            <c:v>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RevPTU!#REF!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RevPTU!#REF!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793-4D36-9E2C-15D6432B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945471"/>
        <c:axId val="949948799"/>
      </c:lineChart>
      <c:catAx>
        <c:axId val="94994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8799"/>
        <c:crosses val="autoZero"/>
        <c:auto val="1"/>
        <c:lblAlgn val="ctr"/>
        <c:lblOffset val="100"/>
        <c:noMultiLvlLbl val="0"/>
      </c:catAx>
      <c:valAx>
        <c:axId val="949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bg1">
                        <a:lumMod val="50000"/>
                      </a:schemeClr>
                    </a:solidFill>
                  </a:rPr>
                  <a:t>MTUs</a:t>
                </a:r>
                <a:r>
                  <a:rPr lang="en-GB" baseline="0">
                    <a:solidFill>
                      <a:schemeClr val="bg1">
                        <a:lumMod val="50000"/>
                      </a:schemeClr>
                    </a:solidFill>
                  </a:rPr>
                  <a:t> (millions)</a:t>
                </a:r>
                <a:endParaRPr lang="en-GB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6143785467801868E-3"/>
              <c:y val="0.2193712139677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;\(#,##0.0\);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45471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185059</xdr:colOff>
      <xdr:row>6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578D3-7B53-4D15-9E5D-B5FF33397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195944</xdr:colOff>
      <xdr:row>6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C36B4-1327-4053-BDB8-B00DFA610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185059</xdr:colOff>
      <xdr:row>8</xdr:row>
      <xdr:rowOff>0</xdr:rowOff>
    </xdr:from>
    <xdr:to>
      <xdr:col>8</xdr:col>
      <xdr:colOff>0</xdr:colOff>
      <xdr:row>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E8057-C743-421B-8CB5-BD107536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195944</xdr:colOff>
      <xdr:row>8</xdr:row>
      <xdr:rowOff>0</xdr:rowOff>
    </xdr:from>
    <xdr:to>
      <xdr:col>8</xdr:col>
      <xdr:colOff>0</xdr:colOff>
      <xdr:row>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B0B19E-AB8E-48FC-A320-FF7237BD2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185059</xdr:colOff>
      <xdr:row>22</xdr:row>
      <xdr:rowOff>0</xdr:rowOff>
    </xdr:from>
    <xdr:to>
      <xdr:col>18</xdr:col>
      <xdr:colOff>136071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BC7B9-1720-4122-BF30-102B4701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195944</xdr:colOff>
      <xdr:row>22</xdr:row>
      <xdr:rowOff>0</xdr:rowOff>
    </xdr:from>
    <xdr:to>
      <xdr:col>18</xdr:col>
      <xdr:colOff>274866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8C54E-A6D7-4DAB-A989-EE159319B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185059</xdr:colOff>
      <xdr:row>9</xdr:row>
      <xdr:rowOff>0</xdr:rowOff>
    </xdr:from>
    <xdr:to>
      <xdr:col>11</xdr:col>
      <xdr:colOff>136071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98A6A-7FD1-4388-911F-405DE6C86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195944</xdr:colOff>
      <xdr:row>9</xdr:row>
      <xdr:rowOff>0</xdr:rowOff>
    </xdr:from>
    <xdr:to>
      <xdr:col>11</xdr:col>
      <xdr:colOff>274866</xdr:colOff>
      <xdr:row>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DB0B9-0F2E-4966-A735-42858A542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185059</xdr:colOff>
      <xdr:row>6</xdr:row>
      <xdr:rowOff>0</xdr:rowOff>
    </xdr:from>
    <xdr:to>
      <xdr:col>8</xdr:col>
      <xdr:colOff>136071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C4F03-55EE-43A1-B01E-0FD3BCEB7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649C-C8B8-48AB-92E9-BA8F2A304D33}">
  <dimension ref="B2:N34"/>
  <sheetViews>
    <sheetView showGridLines="0" tabSelected="1" zoomScaleNormal="100" workbookViewId="0">
      <selection activeCell="K13" sqref="K13"/>
    </sheetView>
  </sheetViews>
  <sheetFormatPr defaultRowHeight="12.9" x14ac:dyDescent="0.35"/>
  <cols>
    <col min="1" max="1" width="3.07421875" style="2" customWidth="1"/>
    <col min="2" max="2" width="14.3046875" style="2" customWidth="1"/>
    <col min="3" max="3" width="3" style="2" customWidth="1"/>
    <col min="4" max="4" width="13.23046875" style="21" customWidth="1"/>
    <col min="5" max="5" width="11.84375" style="21" customWidth="1"/>
    <col min="6" max="6" width="9.3046875" style="21" customWidth="1"/>
    <col min="7" max="7" width="13.4609375" style="21" customWidth="1"/>
    <col min="8" max="8" width="11.921875" style="21" customWidth="1"/>
    <col min="9" max="14" width="11.15234375" style="13" customWidth="1"/>
    <col min="15" max="22" width="11.15234375" style="2" customWidth="1"/>
    <col min="23" max="16384" width="9.23046875" style="2"/>
  </cols>
  <sheetData>
    <row r="2" spans="2:8" ht="15.9" x14ac:dyDescent="0.45">
      <c r="B2" s="1" t="s">
        <v>34</v>
      </c>
      <c r="C2" s="1"/>
    </row>
    <row r="3" spans="2:8" x14ac:dyDescent="0.35">
      <c r="B3" s="5" t="s">
        <v>79</v>
      </c>
      <c r="C3" s="5"/>
    </row>
    <row r="4" spans="2:8" x14ac:dyDescent="0.35">
      <c r="B4" s="59" t="s">
        <v>32</v>
      </c>
      <c r="C4" s="59"/>
    </row>
    <row r="6" spans="2:8" x14ac:dyDescent="0.35">
      <c r="B6" s="4" t="s">
        <v>6</v>
      </c>
      <c r="C6" s="4"/>
      <c r="D6" s="66"/>
      <c r="E6" s="66"/>
      <c r="F6" s="66"/>
      <c r="G6" s="66"/>
      <c r="H6" s="66"/>
    </row>
    <row r="7" spans="2:8" ht="13.3" thickBot="1" x14ac:dyDescent="0.4"/>
    <row r="8" spans="2:8" x14ac:dyDescent="0.35">
      <c r="B8" s="18" t="s">
        <v>61</v>
      </c>
      <c r="C8" s="18"/>
      <c r="D8" s="69" t="s">
        <v>2</v>
      </c>
      <c r="E8" s="69"/>
      <c r="F8" s="69"/>
      <c r="G8" s="69"/>
      <c r="H8" s="69"/>
    </row>
    <row r="9" spans="2:8" ht="27" x14ac:dyDescent="0.35">
      <c r="B9" s="19"/>
      <c r="D9" s="77" t="s">
        <v>62</v>
      </c>
      <c r="E9" s="77" t="s">
        <v>73</v>
      </c>
      <c r="F9" s="77" t="s">
        <v>63</v>
      </c>
      <c r="G9" s="77" t="s">
        <v>84</v>
      </c>
      <c r="H9" s="132" t="s">
        <v>102</v>
      </c>
    </row>
    <row r="10" spans="2:8" x14ac:dyDescent="0.35">
      <c r="B10" s="70" t="s">
        <v>80</v>
      </c>
      <c r="E10" s="26"/>
      <c r="F10" s="26"/>
      <c r="G10" s="26"/>
      <c r="H10" s="24"/>
    </row>
    <row r="11" spans="2:8" x14ac:dyDescent="0.35">
      <c r="B11" s="7" t="s">
        <v>37</v>
      </c>
      <c r="D11" s="26">
        <f>INDEX('Market cap'!$G$10:$G$18,MATCH($B11,'Market cap'!$B$10:$B$18,0))</f>
        <v>14480.177140080001</v>
      </c>
      <c r="E11" s="26">
        <f>INDEX(Earnings!$E$11:$E$19,MATCH($B11,Earnings!$B$11:$B$19,0))</f>
        <v>254.61</v>
      </c>
      <c r="F11" s="78">
        <f>D11/E11</f>
        <v>56.871989081654291</v>
      </c>
      <c r="G11" s="31">
        <f>Earnings!N11</f>
        <v>1.9089741974739656</v>
      </c>
      <c r="H11" s="133">
        <f>F11/(G11)/100</f>
        <v>0.29791910837197111</v>
      </c>
    </row>
    <row r="12" spans="2:8" x14ac:dyDescent="0.35">
      <c r="B12" s="7" t="s">
        <v>39</v>
      </c>
      <c r="D12" s="26">
        <f>INDEX('Market cap'!$G$10:$G$18,MATCH($B12,'Market cap'!$B$10:$B$18,0))</f>
        <v>1697.8912095600001</v>
      </c>
      <c r="E12" s="26">
        <f>INDEX(Earnings!$E$11:$E$19,MATCH($B12,Earnings!$B$11:$B$19,0))</f>
        <v>89</v>
      </c>
      <c r="F12" s="78">
        <f>D12/E12</f>
        <v>19.077429320898876</v>
      </c>
      <c r="G12" s="31">
        <f>Earnings!N12</f>
        <v>2.5200237835270323</v>
      </c>
      <c r="H12" s="133">
        <f>F12/(G12)/100</f>
        <v>7.5703370125332917E-2</v>
      </c>
    </row>
    <row r="13" spans="2:8" x14ac:dyDescent="0.35">
      <c r="B13" s="7" t="s">
        <v>38</v>
      </c>
      <c r="D13" s="26">
        <f>INDEX('Market cap'!$G$10:$G$18,MATCH($B13,'Market cap'!$B$10:$B$18,0))</f>
        <v>1921.3910893</v>
      </c>
      <c r="E13" s="26">
        <f>INDEX(Earnings!$E$11:$E$19,MATCH($B13,Earnings!$B$11:$B$19,0))</f>
        <v>109.17999999999999</v>
      </c>
      <c r="F13" s="78">
        <f>D13/E13</f>
        <v>17.598379641875802</v>
      </c>
      <c r="G13" s="31">
        <f>Earnings!N13</f>
        <v>3.5549244328813221</v>
      </c>
      <c r="H13" s="133">
        <f>F13/(G13)/100</f>
        <v>4.9504229904577854E-2</v>
      </c>
    </row>
    <row r="14" spans="2:8" x14ac:dyDescent="0.35">
      <c r="B14" s="7" t="s">
        <v>40</v>
      </c>
      <c r="D14" s="26">
        <f>INDEX('Market cap'!$G$10:$G$18,MATCH($B14,'Market cap'!$B$10:$B$18,0))</f>
        <v>4240.6060279799995</v>
      </c>
      <c r="E14" s="26">
        <f>INDEX(Earnings!$E$11:$E$19,MATCH($B14,Earnings!$B$11:$B$19,0))</f>
        <v>35.950000000000003</v>
      </c>
      <c r="F14" s="78">
        <f>D14/E14</f>
        <v>117.95844305924894</v>
      </c>
      <c r="G14" s="31">
        <f>Earnings!N14</f>
        <v>3.5049474099203271</v>
      </c>
      <c r="H14" s="133">
        <f>F14/(G14)/100</f>
        <v>0.33654839649057761</v>
      </c>
    </row>
    <row r="15" spans="2:8" x14ac:dyDescent="0.35">
      <c r="B15" s="7" t="s">
        <v>45</v>
      </c>
      <c r="D15" s="26">
        <f>INDEX('Market cap'!$G$10:$G$18,MATCH($B15,'Market cap'!$B$10:$B$18,0))</f>
        <v>2045.2061926099998</v>
      </c>
      <c r="E15" s="26">
        <f>INDEX(Earnings!$E$11:$E$19,MATCH($B15,Earnings!$B$11:$B$19,0))</f>
        <v>16.09</v>
      </c>
      <c r="F15" s="78">
        <f>D15/E15</f>
        <v>127.11039108825356</v>
      </c>
      <c r="G15" s="31">
        <f>Earnings!N15</f>
        <v>3.938926853281254</v>
      </c>
      <c r="H15" s="133">
        <f>F15/(G15)/100</f>
        <v>0.3227031011819031</v>
      </c>
    </row>
    <row r="16" spans="2:8" x14ac:dyDescent="0.35">
      <c r="B16" s="7" t="s">
        <v>42</v>
      </c>
      <c r="D16" s="26">
        <f>INDEX('Market cap'!$G$10:$G$18,MATCH($B16,'Market cap'!$B$10:$B$18,0))</f>
        <v>368.57854947999999</v>
      </c>
      <c r="E16" s="26">
        <f>INDEX(Earnings!$E$11:$E$19,MATCH($B16,Earnings!$B$11:$B$19,0))</f>
        <v>18.75</v>
      </c>
      <c r="F16" s="78">
        <f>D16/E16</f>
        <v>19.657522638933333</v>
      </c>
      <c r="G16" s="31">
        <f>Earnings!N16</f>
        <v>1.4543324268030464</v>
      </c>
      <c r="H16" s="133">
        <f>F16/(G16)/100</f>
        <v>0.13516526398400563</v>
      </c>
    </row>
    <row r="17" spans="2:8" x14ac:dyDescent="0.35">
      <c r="B17" s="7" t="s">
        <v>41</v>
      </c>
      <c r="D17" s="26">
        <f>INDEX('Market cap'!$G$10:$G$18,MATCH($B17,'Market cap'!$B$10:$B$18,0))</f>
        <v>1233.6805717</v>
      </c>
      <c r="E17" s="26">
        <f>INDEX(Earnings!$E$11:$E$19,MATCH($B17,Earnings!$B$11:$B$19,0))</f>
        <v>7.46767</v>
      </c>
      <c r="F17" s="78">
        <f>D17/E17</f>
        <v>165.20287743030957</v>
      </c>
      <c r="G17" s="31">
        <f>Earnings!N17</f>
        <v>5.3730365800906572</v>
      </c>
      <c r="H17" s="133">
        <f>F17/(G17)/100</f>
        <v>0.30746650421561461</v>
      </c>
    </row>
    <row r="18" spans="2:8" x14ac:dyDescent="0.35">
      <c r="B18" s="7" t="s">
        <v>43</v>
      </c>
      <c r="D18" s="26">
        <f>INDEX('Market cap'!$G$10:$G$18,MATCH($B18,'Market cap'!$B$10:$B$18,0))</f>
        <v>742.24314549000007</v>
      </c>
      <c r="E18" s="26">
        <f>INDEX(Earnings!$E$11:$E$19,MATCH($B18,Earnings!$B$11:$B$19,0))</f>
        <v>16.649999999999999</v>
      </c>
      <c r="F18" s="78">
        <f>D18/E18</f>
        <v>44.579167897297303</v>
      </c>
      <c r="G18" s="31">
        <f>Earnings!N18</f>
        <v>1.8315061681078999</v>
      </c>
      <c r="H18" s="133">
        <f>F18/(G18)/100</f>
        <v>0.24340168039592974</v>
      </c>
    </row>
    <row r="19" spans="2:8" x14ac:dyDescent="0.35">
      <c r="B19" s="36" t="s">
        <v>44</v>
      </c>
      <c r="D19" s="68">
        <f>INDEX('Market cap'!$G$10:$G$18,MATCH($B19,'Market cap'!$B$10:$B$18,0))</f>
        <v>1906.3694478000002</v>
      </c>
      <c r="E19" s="68">
        <f>INDEX(Earnings!$E$11:$E$19,MATCH($B19,Earnings!$B$11:$B$19,0))</f>
        <v>9.6900000000000013</v>
      </c>
      <c r="F19" s="79">
        <f>D19/E19</f>
        <v>196.73575312693498</v>
      </c>
      <c r="G19" s="81">
        <f>Earnings!N19</f>
        <v>2.11636390399463</v>
      </c>
      <c r="H19" s="134">
        <f>F19/(G19)/100</f>
        <v>0.92959321766732506</v>
      </c>
    </row>
    <row r="20" spans="2:8" x14ac:dyDescent="0.35">
      <c r="F20" s="78"/>
      <c r="H20" s="133"/>
    </row>
    <row r="21" spans="2:8" x14ac:dyDescent="0.35">
      <c r="B21" s="70" t="s">
        <v>52</v>
      </c>
      <c r="F21" s="78"/>
      <c r="H21" s="133"/>
    </row>
    <row r="22" spans="2:8" x14ac:dyDescent="0.35">
      <c r="B22" s="2" t="s">
        <v>29</v>
      </c>
      <c r="D22" s="26">
        <f>'Market cap'!C51</f>
        <v>3972.89</v>
      </c>
      <c r="E22" s="26">
        <f>Earnings!C52</f>
        <v>172.46</v>
      </c>
      <c r="F22" s="78">
        <f t="shared" ref="F22" si="0">D22/E22</f>
        <v>23.036588194363908</v>
      </c>
      <c r="G22" s="82">
        <f>Earnings!D52</f>
        <v>7.9399999999999998E-2</v>
      </c>
      <c r="H22" s="133">
        <f t="shared" ref="H22" si="1">F22/(G22)/100</f>
        <v>2.9013335257385275</v>
      </c>
    </row>
    <row r="23" spans="2:8" x14ac:dyDescent="0.35">
      <c r="F23" s="78"/>
      <c r="H23" s="133"/>
    </row>
    <row r="24" spans="2:8" x14ac:dyDescent="0.35">
      <c r="B24" s="71" t="s">
        <v>81</v>
      </c>
      <c r="F24" s="78"/>
      <c r="H24" s="133"/>
    </row>
    <row r="25" spans="2:8" x14ac:dyDescent="0.35">
      <c r="B25" s="10" t="s">
        <v>65</v>
      </c>
      <c r="D25" s="26">
        <f>'Market cap'!E53</f>
        <v>430956.89999999997</v>
      </c>
      <c r="E25" s="26">
        <f>Earnings!C55</f>
        <v>40556</v>
      </c>
      <c r="F25" s="78">
        <f>D25/E25</f>
        <v>10.62621806884308</v>
      </c>
      <c r="G25" s="82">
        <f>Earnings!D55</f>
        <v>1.2800000000000001E-2</v>
      </c>
      <c r="H25" s="133">
        <f>F25/(G25)/100</f>
        <v>8.3017328662836558</v>
      </c>
    </row>
    <row r="26" spans="2:8" x14ac:dyDescent="0.35">
      <c r="B26" s="10" t="s">
        <v>66</v>
      </c>
      <c r="D26" s="26">
        <f>'Market cap'!E54</f>
        <v>331573.3</v>
      </c>
      <c r="E26" s="26">
        <f>Earnings!C56</f>
        <v>21934</v>
      </c>
      <c r="F26" s="78">
        <f>D26/E26</f>
        <v>15.116864229050789</v>
      </c>
      <c r="G26" s="82">
        <f>Earnings!D56</f>
        <v>1.11E-2</v>
      </c>
      <c r="H26" s="133">
        <f>F26/(G26)/100</f>
        <v>13.618796602748457</v>
      </c>
    </row>
    <row r="27" spans="2:8" x14ac:dyDescent="0.35">
      <c r="B27" s="2" t="s">
        <v>67</v>
      </c>
      <c r="D27" s="26">
        <f>'Market cap'!E55</f>
        <v>150592.5</v>
      </c>
      <c r="E27" s="26">
        <f>Earnings!C57</f>
        <v>16453</v>
      </c>
      <c r="F27" s="78">
        <f>D27/E27</f>
        <v>9.152890050446727</v>
      </c>
      <c r="G27" s="82">
        <f>Earnings!D57</f>
        <v>0.1091</v>
      </c>
      <c r="H27" s="133">
        <f>F27/(G27)/100</f>
        <v>0.83894500920684933</v>
      </c>
    </row>
    <row r="28" spans="2:8" x14ac:dyDescent="0.35">
      <c r="B28" s="2" t="s">
        <v>68</v>
      </c>
      <c r="D28" s="26">
        <f>'Market cap'!E56</f>
        <v>118891.2</v>
      </c>
      <c r="E28" s="26">
        <f>Earnings!C58</f>
        <v>7322</v>
      </c>
      <c r="F28" s="78">
        <f>D28/E28</f>
        <v>16.237530729308933</v>
      </c>
      <c r="G28" s="82">
        <f>Earnings!D58</f>
        <v>6.4500000000000002E-2</v>
      </c>
      <c r="H28" s="133">
        <f>F28/(G28)/100</f>
        <v>2.5174466246990592</v>
      </c>
    </row>
    <row r="29" spans="2:8" x14ac:dyDescent="0.35">
      <c r="D29" s="26"/>
      <c r="F29" s="78"/>
      <c r="G29" s="129"/>
      <c r="H29" s="133"/>
    </row>
    <row r="30" spans="2:8" x14ac:dyDescent="0.35">
      <c r="B30" s="71" t="s">
        <v>82</v>
      </c>
      <c r="E30" s="26"/>
      <c r="F30" s="78"/>
      <c r="G30" s="82"/>
      <c r="H30" s="133"/>
    </row>
    <row r="31" spans="2:8" x14ac:dyDescent="0.35">
      <c r="B31" s="9" t="s">
        <v>71</v>
      </c>
      <c r="D31" s="26">
        <f>'Market cap'!E57</f>
        <v>357823.7</v>
      </c>
      <c r="E31" s="26">
        <f>Earnings!C59</f>
        <v>10662</v>
      </c>
      <c r="F31" s="78">
        <f>D31/E31</f>
        <v>33.560654661414368</v>
      </c>
      <c r="G31" s="82">
        <f>Earnings!D59</f>
        <v>0.17499999999999999</v>
      </c>
      <c r="H31" s="133">
        <f>F31/(G31)/100</f>
        <v>1.917751694937964</v>
      </c>
    </row>
    <row r="32" spans="2:8" x14ac:dyDescent="0.35">
      <c r="B32" s="9" t="s">
        <v>95</v>
      </c>
      <c r="D32" s="26">
        <f>'Market cap'!E58</f>
        <v>349965.10550000001</v>
      </c>
      <c r="E32" s="26">
        <f>Earnings!C60</f>
        <v>6546</v>
      </c>
      <c r="F32" s="78">
        <f>D32/E32</f>
        <v>53.462435915062635</v>
      </c>
      <c r="G32" s="82">
        <f>Earnings!D60</f>
        <v>0.14860000000000001</v>
      </c>
      <c r="H32" s="133">
        <f>F32/(G32)/100</f>
        <v>3.5977413132612805</v>
      </c>
    </row>
    <row r="33" spans="2:8" x14ac:dyDescent="0.35">
      <c r="B33" s="9" t="s">
        <v>96</v>
      </c>
      <c r="D33" s="26">
        <f>'Market cap'!E59</f>
        <v>284122.8</v>
      </c>
      <c r="E33" s="26">
        <f>Earnings!C61</f>
        <v>5215</v>
      </c>
      <c r="F33" s="78">
        <f>D33/E33</f>
        <v>54.481840843720036</v>
      </c>
      <c r="G33" s="82">
        <f>Earnings!D61</f>
        <v>0.2344</v>
      </c>
      <c r="H33" s="133">
        <f>F33/(G33)/100</f>
        <v>2.3243106161996603</v>
      </c>
    </row>
    <row r="34" spans="2:8" ht="13.3" thickBot="1" x14ac:dyDescent="0.4">
      <c r="B34" s="16" t="s">
        <v>70</v>
      </c>
      <c r="C34" s="16"/>
      <c r="D34" s="27">
        <f>'Market cap'!E60</f>
        <v>89003.6</v>
      </c>
      <c r="E34" s="27">
        <f>Earnings!C62</f>
        <v>358.00400000000002</v>
      </c>
      <c r="F34" s="80">
        <f>D34/E34</f>
        <v>248.61063004882627</v>
      </c>
      <c r="G34" s="96">
        <f>Earnings!D62</f>
        <v>0.5675</v>
      </c>
      <c r="H34" s="135">
        <f>F34/(G34)/100</f>
        <v>4.3808040537238107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CEBC9-E093-4BF8-AEB6-19D1E0BE021B}">
  <sheetPr>
    <tabColor rgb="FF1440AA"/>
  </sheetPr>
  <dimension ref="A1"/>
  <sheetViews>
    <sheetView topLeftCell="A1048576" workbookViewId="0">
      <selection activeCell="F22" sqref="A1:XFD1048576"/>
    </sheetView>
  </sheetViews>
  <sheetFormatPr defaultRowHeight="14.6" zeroHeight="1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7967-199F-442E-8615-DF9611C51F6D}">
  <dimension ref="B2:AE63"/>
  <sheetViews>
    <sheetView showGridLines="0" topLeftCell="A31" zoomScaleNormal="100" workbookViewId="0">
      <selection activeCell="C53" sqref="C53"/>
    </sheetView>
  </sheetViews>
  <sheetFormatPr defaultRowHeight="12.9" x14ac:dyDescent="0.35"/>
  <cols>
    <col min="1" max="1" width="3.07421875" style="2" customWidth="1"/>
    <col min="2" max="2" width="19.3046875" style="2" customWidth="1"/>
    <col min="3" max="14" width="13" style="13" customWidth="1"/>
    <col min="15" max="15" width="11.921875" style="13" customWidth="1"/>
    <col min="16" max="19" width="12.61328125" style="13" customWidth="1"/>
    <col min="20" max="31" width="11.15234375" style="13" customWidth="1"/>
    <col min="32" max="39" width="11.15234375" style="2" customWidth="1"/>
    <col min="40" max="16384" width="9.23046875" style="2"/>
  </cols>
  <sheetData>
    <row r="2" spans="2:14" ht="15.9" x14ac:dyDescent="0.45">
      <c r="B2" s="1" t="s">
        <v>34</v>
      </c>
    </row>
    <row r="3" spans="2:14" x14ac:dyDescent="0.35">
      <c r="B3" s="5" t="s">
        <v>1</v>
      </c>
    </row>
    <row r="4" spans="2:14" x14ac:dyDescent="0.35">
      <c r="B4" s="59" t="s">
        <v>32</v>
      </c>
    </row>
    <row r="6" spans="2:14" x14ac:dyDescent="0.35">
      <c r="B6" s="4" t="s">
        <v>33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8" spans="2:14" ht="13.3" thickBot="1" x14ac:dyDescent="0.4">
      <c r="B8" s="3" t="s">
        <v>89</v>
      </c>
    </row>
    <row r="9" spans="2:14" x14ac:dyDescent="0.35">
      <c r="B9" s="18" t="s">
        <v>35</v>
      </c>
      <c r="C9" s="69" t="s">
        <v>85</v>
      </c>
      <c r="D9" s="72"/>
      <c r="E9" s="74"/>
      <c r="F9" s="69" t="s">
        <v>86</v>
      </c>
      <c r="G9" s="72"/>
      <c r="H9" s="74"/>
      <c r="I9" s="69" t="s">
        <v>92</v>
      </c>
      <c r="J9" s="69"/>
      <c r="K9" s="69"/>
      <c r="L9" s="69"/>
      <c r="M9" s="100"/>
      <c r="N9" s="35" t="s">
        <v>93</v>
      </c>
    </row>
    <row r="10" spans="2:14" x14ac:dyDescent="0.35">
      <c r="B10" s="12"/>
      <c r="C10" s="73" t="s">
        <v>3</v>
      </c>
      <c r="D10" s="73" t="s">
        <v>4</v>
      </c>
      <c r="E10" s="75" t="s">
        <v>2</v>
      </c>
      <c r="F10" s="73" t="s">
        <v>4</v>
      </c>
      <c r="G10" s="73" t="s">
        <v>2</v>
      </c>
      <c r="H10" s="75" t="s">
        <v>72</v>
      </c>
      <c r="I10" s="67" t="s">
        <v>74</v>
      </c>
      <c r="J10" s="67" t="s">
        <v>75</v>
      </c>
      <c r="K10" s="67" t="s">
        <v>76</v>
      </c>
      <c r="L10" s="67" t="s">
        <v>77</v>
      </c>
      <c r="M10" s="101" t="s">
        <v>78</v>
      </c>
      <c r="N10" s="65"/>
    </row>
    <row r="11" spans="2:14" x14ac:dyDescent="0.35">
      <c r="B11" s="9" t="s">
        <v>37</v>
      </c>
      <c r="C11" s="34">
        <f>E24+F24+G24</f>
        <v>62.01</v>
      </c>
      <c r="D11" s="34">
        <f>H24+I24+J24</f>
        <v>90.5</v>
      </c>
      <c r="E11" s="76">
        <f>K24+L24+M24</f>
        <v>254.61</v>
      </c>
      <c r="F11" s="56">
        <f>D11/C11-1</f>
        <v>0.45944202547976132</v>
      </c>
      <c r="G11" s="56">
        <f>E11/D11-1</f>
        <v>1.8133701657458565</v>
      </c>
      <c r="H11" s="86">
        <f>(1+AVERAGE(F11:G11))^2-1</f>
        <v>3.5642310053715658</v>
      </c>
      <c r="I11" s="56">
        <f>H11</f>
        <v>3.5642310053715658</v>
      </c>
      <c r="J11" s="56">
        <f>($M11/$I11)^(1/5)*I11</f>
        <v>1.5183317577739854</v>
      </c>
      <c r="K11" s="56">
        <f t="shared" ref="K11:L11" si="0">($M11/$I11)^(1/5)*J11</f>
        <v>0.64679627195620359</v>
      </c>
      <c r="L11" s="56">
        <f t="shared" si="0"/>
        <v>0.2755296497451758</v>
      </c>
      <c r="M11" s="87">
        <v>0.05</v>
      </c>
      <c r="N11" s="56">
        <f>((1+I11)*(1+J11)*(1+K11)*(1+L11)*(1+M11))^(1/5)</f>
        <v>1.9089741974739656</v>
      </c>
    </row>
    <row r="12" spans="2:14" x14ac:dyDescent="0.35">
      <c r="B12" s="9" t="s">
        <v>39</v>
      </c>
      <c r="C12" s="33">
        <f t="shared" ref="C12:C16" si="1">E25+F25+G25</f>
        <v>12.46</v>
      </c>
      <c r="D12" s="33">
        <f t="shared" ref="D12:D16" si="2">H25+I25+J25</f>
        <v>20.68</v>
      </c>
      <c r="E12" s="76">
        <f t="shared" ref="E12:E16" si="3">K25+L25+M25</f>
        <v>89</v>
      </c>
      <c r="F12" s="31">
        <f>D12/C12-1</f>
        <v>0.65971107544141239</v>
      </c>
      <c r="G12" s="31">
        <f>E12/D12-1</f>
        <v>3.3036750483558999</v>
      </c>
      <c r="H12" s="86">
        <f>(1+AVERAGE(F12:G12))^2-1</f>
        <v>7.8904935153745814</v>
      </c>
      <c r="I12" s="31">
        <f t="shared" ref="I12:I20" si="4">H12</f>
        <v>7.8904935153745814</v>
      </c>
      <c r="J12" s="31">
        <f t="shared" ref="J12:L12" si="5">($M12/$I12)^(1/5)*I12</f>
        <v>2.8673277291323416</v>
      </c>
      <c r="K12" s="56">
        <f t="shared" si="5"/>
        <v>1.0419586924736144</v>
      </c>
      <c r="L12" s="56">
        <f t="shared" si="5"/>
        <v>0.37863753968223651</v>
      </c>
      <c r="M12" s="86">
        <f>$M$11</f>
        <v>0.05</v>
      </c>
      <c r="N12" s="56">
        <f t="shared" ref="N12:N20" si="6">((1+I12)*(1+J12)*(1+K12)*(1+L12)*(1+M12))^(1/5)</f>
        <v>2.5200237835270323</v>
      </c>
    </row>
    <row r="13" spans="2:14" x14ac:dyDescent="0.35">
      <c r="B13" s="9" t="s">
        <v>38</v>
      </c>
      <c r="C13" s="34">
        <f t="shared" si="1"/>
        <v>6.64</v>
      </c>
      <c r="D13" s="33">
        <f t="shared" si="2"/>
        <v>17.8</v>
      </c>
      <c r="E13" s="76">
        <f t="shared" si="3"/>
        <v>109.17999999999999</v>
      </c>
      <c r="F13" s="31">
        <f>D13/C13-1</f>
        <v>1.6807228915662651</v>
      </c>
      <c r="G13" s="31">
        <f>E13/D13-1</f>
        <v>5.1337078651685388</v>
      </c>
      <c r="H13" s="86">
        <f>(1+AVERAGE(F13:G13))^2-1</f>
        <v>18.423547391318124</v>
      </c>
      <c r="I13" s="56">
        <f t="shared" si="4"/>
        <v>18.423547391318124</v>
      </c>
      <c r="J13" s="31">
        <f t="shared" ref="J13:L13" si="7">($M13/$I13)^(1/5)*I13</f>
        <v>5.6505745036923196</v>
      </c>
      <c r="K13" s="56">
        <f t="shared" si="7"/>
        <v>1.7330534420761909</v>
      </c>
      <c r="L13" s="56">
        <f t="shared" si="7"/>
        <v>0.531534312330461</v>
      </c>
      <c r="M13" s="86">
        <f t="shared" ref="M13:M20" si="8">$M$11</f>
        <v>0.05</v>
      </c>
      <c r="N13" s="56">
        <f t="shared" si="6"/>
        <v>3.5549244328813221</v>
      </c>
    </row>
    <row r="14" spans="2:14" x14ac:dyDescent="0.35">
      <c r="B14" s="9" t="s">
        <v>40</v>
      </c>
      <c r="C14" s="33">
        <f t="shared" si="1"/>
        <v>2.5783300000000002</v>
      </c>
      <c r="D14" s="33">
        <f t="shared" si="2"/>
        <v>5.49</v>
      </c>
      <c r="E14" s="76">
        <f t="shared" si="3"/>
        <v>35.950000000000003</v>
      </c>
      <c r="F14" s="31">
        <f>D14/C14-1</f>
        <v>1.1292852350164639</v>
      </c>
      <c r="G14" s="31">
        <f>E14/D14-1</f>
        <v>5.5482695810564664</v>
      </c>
      <c r="H14" s="86">
        <f>(1+AVERAGE(F14:G14))^2-1</f>
        <v>17.824989396487627</v>
      </c>
      <c r="I14" s="31">
        <f t="shared" si="4"/>
        <v>17.824989396487627</v>
      </c>
      <c r="J14" s="31">
        <f t="shared" ref="J14:L14" si="9">($M14/$I14)^(1/5)*I14</f>
        <v>5.5032269723814027</v>
      </c>
      <c r="K14" s="56">
        <f t="shared" si="9"/>
        <v>1.6990476928706542</v>
      </c>
      <c r="L14" s="56">
        <f t="shared" si="9"/>
        <v>0.52455824139848417</v>
      </c>
      <c r="M14" s="86">
        <f t="shared" si="8"/>
        <v>0.05</v>
      </c>
      <c r="N14" s="56">
        <f t="shared" si="6"/>
        <v>3.5049474099203271</v>
      </c>
    </row>
    <row r="15" spans="2:14" x14ac:dyDescent="0.35">
      <c r="B15" s="9" t="s">
        <v>45</v>
      </c>
      <c r="C15" s="33">
        <f t="shared" si="1"/>
        <v>0.93551999999999991</v>
      </c>
      <c r="D15" s="33">
        <f t="shared" si="2"/>
        <v>7.1099999999999994</v>
      </c>
      <c r="E15" s="76">
        <f t="shared" si="3"/>
        <v>16.09</v>
      </c>
      <c r="F15" s="31">
        <f>D15/C15-1</f>
        <v>6.6000513083632635</v>
      </c>
      <c r="G15" s="31">
        <f>E15/D15-1</f>
        <v>1.2630098452883263</v>
      </c>
      <c r="H15" s="86">
        <f>(1+AVERAGE(F15:G15))^2-1</f>
        <v>23.319993830167753</v>
      </c>
      <c r="I15" s="31">
        <f t="shared" si="4"/>
        <v>23.319993830167753</v>
      </c>
      <c r="J15" s="31">
        <f t="shared" ref="J15:L15" si="10">($M15/$I15)^(1/5)*I15</f>
        <v>6.8230215947177353</v>
      </c>
      <c r="K15" s="56">
        <f t="shared" si="10"/>
        <v>1.996296569416788</v>
      </c>
      <c r="L15" s="56">
        <f t="shared" si="10"/>
        <v>0.58408139821080285</v>
      </c>
      <c r="M15" s="86">
        <f t="shared" si="8"/>
        <v>0.05</v>
      </c>
      <c r="N15" s="56">
        <f t="shared" si="6"/>
        <v>3.938926853281254</v>
      </c>
    </row>
    <row r="16" spans="2:14" x14ac:dyDescent="0.35">
      <c r="B16" s="9" t="s">
        <v>42</v>
      </c>
      <c r="C16" s="33">
        <f t="shared" si="1"/>
        <v>24.18</v>
      </c>
      <c r="D16" s="33">
        <f t="shared" si="2"/>
        <v>6.8100000000000005</v>
      </c>
      <c r="E16" s="76">
        <f t="shared" si="3"/>
        <v>18.75</v>
      </c>
      <c r="F16" s="31">
        <f>D16/C16-1</f>
        <v>-0.71836228287841186</v>
      </c>
      <c r="G16" s="31">
        <f>E16/D16-1</f>
        <v>1.7533039647577091</v>
      </c>
      <c r="H16" s="86">
        <f>(1+AVERAGE(F16:G16))^2-1</f>
        <v>1.3027177531020846</v>
      </c>
      <c r="I16" s="31">
        <f t="shared" si="4"/>
        <v>1.3027177531020846</v>
      </c>
      <c r="J16" s="31">
        <f t="shared" ref="J16:L16" si="11">($M16/$I16)^(1/5)*I16</f>
        <v>0.67869440061711916</v>
      </c>
      <c r="K16" s="56">
        <f t="shared" si="11"/>
        <v>0.35358855617970125</v>
      </c>
      <c r="L16" s="56">
        <f t="shared" si="11"/>
        <v>0.18421378892703974</v>
      </c>
      <c r="M16" s="86">
        <f t="shared" si="8"/>
        <v>0.05</v>
      </c>
      <c r="N16" s="56">
        <f t="shared" si="6"/>
        <v>1.4543324268030464</v>
      </c>
    </row>
    <row r="17" spans="2:15" x14ac:dyDescent="0.35">
      <c r="B17" s="9" t="s">
        <v>41</v>
      </c>
      <c r="C17" s="34">
        <f>E30+F30+G30</f>
        <v>0.42085</v>
      </c>
      <c r="D17" s="33">
        <f>H30+I30+J30</f>
        <v>0.60773999999999995</v>
      </c>
      <c r="E17" s="76">
        <f>K30+L30+M30</f>
        <v>7.46767</v>
      </c>
      <c r="F17" s="31">
        <f>D17/C17-1</f>
        <v>0.44407746227872158</v>
      </c>
      <c r="G17" s="31">
        <f>E17/D17-1</f>
        <v>11.287606542271368</v>
      </c>
      <c r="H17" s="86">
        <f>(1+AVERAGE(F17:G17))^2-1</f>
        <v>46.139786400204194</v>
      </c>
      <c r="I17" s="56">
        <f t="shared" si="4"/>
        <v>46.139786400204194</v>
      </c>
      <c r="J17" s="31">
        <f t="shared" ref="J17:L17" si="12">($M17/$I17)^(1/5)*I17</f>
        <v>11.777536656083559</v>
      </c>
      <c r="K17" s="56">
        <f t="shared" si="12"/>
        <v>3.0063071485042254</v>
      </c>
      <c r="L17" s="56">
        <f t="shared" si="12"/>
        <v>0.76738310693171874</v>
      </c>
      <c r="M17" s="86">
        <f t="shared" si="8"/>
        <v>0.05</v>
      </c>
      <c r="N17" s="56">
        <f t="shared" si="6"/>
        <v>5.3730365800906572</v>
      </c>
    </row>
    <row r="18" spans="2:15" x14ac:dyDescent="0.35">
      <c r="B18" s="9" t="s">
        <v>43</v>
      </c>
      <c r="C18" s="33">
        <f>E31+F31+G31</f>
        <v>5.4461499999999994</v>
      </c>
      <c r="D18" s="33">
        <f>H31+I31+J31</f>
        <v>5.4399999999999995</v>
      </c>
      <c r="E18" s="76">
        <f>K31+L31+M31</f>
        <v>16.649999999999999</v>
      </c>
      <c r="F18" s="31">
        <f>D18/C18-1</f>
        <v>-1.1292380856200435E-3</v>
      </c>
      <c r="G18" s="31">
        <f>E18/D18-1</f>
        <v>2.0606617647058822</v>
      </c>
      <c r="H18" s="86">
        <f>(1+AVERAGE(F18:G18))^2-1</f>
        <v>3.1199510836719719</v>
      </c>
      <c r="I18" s="31">
        <f t="shared" si="4"/>
        <v>3.1199510836719719</v>
      </c>
      <c r="J18" s="31">
        <f t="shared" ref="J18:L18" si="13">($M18/$I18)^(1/5)*I18</f>
        <v>1.3649358128794962</v>
      </c>
      <c r="K18" s="56">
        <f t="shared" si="13"/>
        <v>0.59714069974723039</v>
      </c>
      <c r="L18" s="56">
        <f t="shared" si="13"/>
        <v>0.2612408671015598</v>
      </c>
      <c r="M18" s="86">
        <f t="shared" si="8"/>
        <v>0.05</v>
      </c>
      <c r="N18" s="56">
        <f t="shared" si="6"/>
        <v>1.8315061681078999</v>
      </c>
    </row>
    <row r="19" spans="2:15" x14ac:dyDescent="0.35">
      <c r="B19" s="9" t="s">
        <v>44</v>
      </c>
      <c r="C19" s="34">
        <f>E32+F32+G32</f>
        <v>1.6558299999999999</v>
      </c>
      <c r="D19" s="34">
        <f>H32+I32+J32</f>
        <v>3.7887500000000003</v>
      </c>
      <c r="E19" s="76">
        <f>K32+L32+M32</f>
        <v>9.6900000000000013</v>
      </c>
      <c r="F19" s="56">
        <f>D19/C19-1</f>
        <v>1.2881274043833004</v>
      </c>
      <c r="G19" s="56">
        <f>E19/D19-1</f>
        <v>1.5575717584955462</v>
      </c>
      <c r="H19" s="86">
        <f>(1+AVERAGE(F19:G19))^2-1</f>
        <v>4.8702000942811878</v>
      </c>
      <c r="I19" s="56">
        <f t="shared" si="4"/>
        <v>4.8702000942811878</v>
      </c>
      <c r="J19" s="56">
        <f t="shared" ref="J19:L19" si="14">($M19/$I19)^(1/5)*I19</f>
        <v>1.9490879865919706</v>
      </c>
      <c r="K19" s="56">
        <f t="shared" ref="K19:L20" si="15">($M19/$I19)^(1/5)*J19</f>
        <v>0.78003858279622551</v>
      </c>
      <c r="L19" s="56">
        <f t="shared" si="15"/>
        <v>0.31217687186849474</v>
      </c>
      <c r="M19" s="86">
        <f t="shared" si="8"/>
        <v>0.05</v>
      </c>
      <c r="N19" s="56">
        <f t="shared" si="6"/>
        <v>2.11636390399463</v>
      </c>
    </row>
    <row r="20" spans="2:15" ht="13.3" thickBot="1" x14ac:dyDescent="0.4">
      <c r="B20" s="11" t="s">
        <v>7</v>
      </c>
      <c r="C20" s="38">
        <f>SUM(C11:C19)</f>
        <v>116.32667999999998</v>
      </c>
      <c r="D20" s="38">
        <f t="shared" ref="D20:E20" si="16">SUM(D11:D19)</f>
        <v>158.22649000000004</v>
      </c>
      <c r="E20" s="83">
        <f t="shared" si="16"/>
        <v>557.38766999999996</v>
      </c>
      <c r="F20" s="58">
        <f>D20/C20-1</f>
        <v>0.36019088656187948</v>
      </c>
      <c r="G20" s="58">
        <f t="shared" ref="G20" si="17">E20/D20-1</f>
        <v>2.5227203106129688</v>
      </c>
      <c r="H20" s="84">
        <f>(1+AVERAGE(F20:G20))^2-1</f>
        <v>4.9607054398738768</v>
      </c>
      <c r="I20" s="58">
        <f t="shared" si="4"/>
        <v>4.9607054398738768</v>
      </c>
      <c r="J20" s="58">
        <f t="shared" ref="J20:L20" si="18">($M20/$I20)^(1/5)*I20</f>
        <v>1.9780112295581365</v>
      </c>
      <c r="K20" s="58">
        <f t="shared" si="18"/>
        <v>0.78870404052000409</v>
      </c>
      <c r="L20" s="58">
        <f t="shared" si="18"/>
        <v>0.31448459656699701</v>
      </c>
      <c r="M20" s="84">
        <f t="shared" si="8"/>
        <v>0.05</v>
      </c>
      <c r="N20" s="58">
        <f t="shared" si="6"/>
        <v>2.129812914162529</v>
      </c>
      <c r="O20" s="2"/>
    </row>
    <row r="21" spans="2:15" x14ac:dyDescent="0.35">
      <c r="B21" s="9"/>
      <c r="F21" s="85"/>
      <c r="G21" s="85"/>
      <c r="H21" s="85"/>
    </row>
    <row r="22" spans="2:15" ht="13.3" thickBot="1" x14ac:dyDescent="0.4">
      <c r="B22" s="3" t="s">
        <v>87</v>
      </c>
    </row>
    <row r="23" spans="2:15" x14ac:dyDescent="0.35">
      <c r="B23" s="8" t="s">
        <v>35</v>
      </c>
      <c r="C23" s="29">
        <v>43952</v>
      </c>
      <c r="D23" s="29">
        <v>43983</v>
      </c>
      <c r="E23" s="29">
        <v>44013</v>
      </c>
      <c r="F23" s="29">
        <v>44044</v>
      </c>
      <c r="G23" s="29">
        <v>44075</v>
      </c>
      <c r="H23" s="29">
        <v>44105</v>
      </c>
      <c r="I23" s="29">
        <v>44136</v>
      </c>
      <c r="J23" s="29">
        <v>44166</v>
      </c>
      <c r="K23" s="29">
        <v>44197</v>
      </c>
      <c r="L23" s="29">
        <v>44228</v>
      </c>
      <c r="M23" s="29">
        <v>44256</v>
      </c>
      <c r="N23" s="29">
        <v>44287</v>
      </c>
    </row>
    <row r="24" spans="2:15" x14ac:dyDescent="0.35">
      <c r="B24" s="9" t="s">
        <v>37</v>
      </c>
      <c r="C24" s="88">
        <v>0</v>
      </c>
      <c r="D24" s="88">
        <v>0.79425999999999997</v>
      </c>
      <c r="E24" s="88">
        <v>4.0199999999999996</v>
      </c>
      <c r="F24" s="88">
        <v>16.7</v>
      </c>
      <c r="G24" s="88">
        <v>41.29</v>
      </c>
      <c r="H24" s="88">
        <v>29.08</v>
      </c>
      <c r="I24" s="88">
        <v>26.65</v>
      </c>
      <c r="J24" s="88">
        <v>34.770000000000003</v>
      </c>
      <c r="K24" s="88">
        <v>72.540000000000006</v>
      </c>
      <c r="L24" s="88">
        <v>89.55</v>
      </c>
      <c r="M24" s="88">
        <v>92.52</v>
      </c>
      <c r="N24" s="88">
        <v>113.66</v>
      </c>
    </row>
    <row r="25" spans="2:15" x14ac:dyDescent="0.35">
      <c r="B25" s="9" t="s">
        <v>39</v>
      </c>
      <c r="C25" s="88">
        <v>0</v>
      </c>
      <c r="D25" s="88">
        <v>2.31</v>
      </c>
      <c r="E25" s="88">
        <v>4.26</v>
      </c>
      <c r="F25" s="88">
        <v>4.66</v>
      </c>
      <c r="G25" s="88">
        <v>3.54</v>
      </c>
      <c r="H25" s="88">
        <v>4.53</v>
      </c>
      <c r="I25" s="88">
        <v>6.42</v>
      </c>
      <c r="J25" s="88">
        <v>9.73</v>
      </c>
      <c r="K25" s="88">
        <v>17.760000000000002</v>
      </c>
      <c r="L25" s="88">
        <v>33.14</v>
      </c>
      <c r="M25" s="88">
        <v>38.1</v>
      </c>
      <c r="N25" s="88">
        <v>46.08</v>
      </c>
    </row>
    <row r="26" spans="2:15" x14ac:dyDescent="0.35">
      <c r="B26" s="9" t="s">
        <v>38</v>
      </c>
      <c r="C26" s="89">
        <v>0</v>
      </c>
      <c r="D26" s="89">
        <v>0</v>
      </c>
      <c r="E26" s="89">
        <v>0</v>
      </c>
      <c r="F26" s="89">
        <v>0</v>
      </c>
      <c r="G26" s="88">
        <v>6.64</v>
      </c>
      <c r="H26" s="88">
        <v>2.59</v>
      </c>
      <c r="I26" s="88">
        <v>5.99</v>
      </c>
      <c r="J26" s="88">
        <v>9.2200000000000006</v>
      </c>
      <c r="K26" s="88">
        <v>37.14</v>
      </c>
      <c r="L26" s="88">
        <v>43.16</v>
      </c>
      <c r="M26" s="88">
        <v>28.88</v>
      </c>
      <c r="N26" s="88">
        <v>35.229999999999997</v>
      </c>
    </row>
    <row r="27" spans="2:15" x14ac:dyDescent="0.35">
      <c r="B27" s="9" t="s">
        <v>40</v>
      </c>
      <c r="C27" s="88">
        <v>0</v>
      </c>
      <c r="D27" s="88">
        <v>0.15006</v>
      </c>
      <c r="E27" s="88">
        <v>0.35572999999999999</v>
      </c>
      <c r="F27" s="88">
        <v>0.7026</v>
      </c>
      <c r="G27" s="88">
        <v>1.52</v>
      </c>
      <c r="H27" s="88">
        <v>1.1399999999999999</v>
      </c>
      <c r="I27" s="88">
        <v>1.6</v>
      </c>
      <c r="J27" s="88">
        <v>2.75</v>
      </c>
      <c r="K27" s="88">
        <v>6.38</v>
      </c>
      <c r="L27" s="88">
        <v>12.01</v>
      </c>
      <c r="M27" s="88">
        <v>17.559999999999999</v>
      </c>
      <c r="N27" s="88">
        <v>24.72</v>
      </c>
    </row>
    <row r="28" spans="2:15" x14ac:dyDescent="0.35">
      <c r="B28" s="9" t="s">
        <v>45</v>
      </c>
      <c r="C28" s="88">
        <v>0</v>
      </c>
      <c r="D28" s="88">
        <v>0</v>
      </c>
      <c r="E28" s="88">
        <v>0.12672</v>
      </c>
      <c r="F28" s="88">
        <v>0</v>
      </c>
      <c r="G28" s="88">
        <v>0.80879999999999996</v>
      </c>
      <c r="H28" s="88">
        <v>2.4500000000000002</v>
      </c>
      <c r="I28" s="88">
        <v>2.59</v>
      </c>
      <c r="J28" s="88">
        <v>2.0699999999999998</v>
      </c>
      <c r="K28" s="88">
        <v>2.5499999999999998</v>
      </c>
      <c r="L28" s="88">
        <v>5.01</v>
      </c>
      <c r="M28" s="88">
        <v>8.5299999999999994</v>
      </c>
      <c r="N28" s="88">
        <v>10.45</v>
      </c>
    </row>
    <row r="29" spans="2:15" x14ac:dyDescent="0.35">
      <c r="B29" s="9" t="s">
        <v>42</v>
      </c>
      <c r="C29" s="88">
        <v>0</v>
      </c>
      <c r="D29" s="88">
        <v>0</v>
      </c>
      <c r="E29" s="88">
        <v>5.59</v>
      </c>
      <c r="F29" s="88">
        <v>6.49</v>
      </c>
      <c r="G29" s="88">
        <v>12.1</v>
      </c>
      <c r="H29" s="88">
        <v>2.54</v>
      </c>
      <c r="I29" s="88">
        <v>2.08</v>
      </c>
      <c r="J29" s="88">
        <v>2.19</v>
      </c>
      <c r="K29" s="88">
        <v>5.05</v>
      </c>
      <c r="L29" s="88">
        <v>7.39</v>
      </c>
      <c r="M29" s="88">
        <v>6.31</v>
      </c>
      <c r="N29" s="88">
        <v>8.0299999999999994</v>
      </c>
    </row>
    <row r="30" spans="2:15" x14ac:dyDescent="0.35">
      <c r="B30" s="9" t="s">
        <v>41</v>
      </c>
      <c r="C30" s="88">
        <v>1.9689999999999999E-2</v>
      </c>
      <c r="D30" s="88">
        <v>3.322E-2</v>
      </c>
      <c r="E30" s="88">
        <v>6.7879999999999996E-2</v>
      </c>
      <c r="F30" s="88">
        <v>0.31791000000000003</v>
      </c>
      <c r="G30" s="88">
        <v>3.5060000000000001E-2</v>
      </c>
      <c r="H30" s="88">
        <v>2.7969999999999998E-2</v>
      </c>
      <c r="I30" s="88">
        <v>0.15744</v>
      </c>
      <c r="J30" s="88">
        <v>0.42232999999999998</v>
      </c>
      <c r="K30" s="88">
        <v>0.70767000000000002</v>
      </c>
      <c r="L30" s="88">
        <v>2.59</v>
      </c>
      <c r="M30" s="88">
        <v>4.17</v>
      </c>
      <c r="N30" s="88">
        <v>5.14</v>
      </c>
    </row>
    <row r="31" spans="2:15" x14ac:dyDescent="0.35">
      <c r="B31" s="9" t="s">
        <v>43</v>
      </c>
      <c r="C31" s="88">
        <v>0</v>
      </c>
      <c r="D31" s="88">
        <v>0.16453999999999999</v>
      </c>
      <c r="E31" s="88">
        <v>0.71614999999999995</v>
      </c>
      <c r="F31" s="88">
        <v>1.52</v>
      </c>
      <c r="G31" s="88">
        <v>3.21</v>
      </c>
      <c r="H31" s="88">
        <v>2.59</v>
      </c>
      <c r="I31" s="88">
        <v>1.41</v>
      </c>
      <c r="J31" s="88">
        <v>1.44</v>
      </c>
      <c r="K31" s="88">
        <v>3.45</v>
      </c>
      <c r="L31" s="88">
        <v>9.73</v>
      </c>
      <c r="M31" s="88">
        <v>3.47</v>
      </c>
      <c r="N31" s="88">
        <v>4.33</v>
      </c>
    </row>
    <row r="32" spans="2:15" ht="13.3" thickBot="1" x14ac:dyDescent="0.4">
      <c r="B32" s="15" t="s">
        <v>44</v>
      </c>
      <c r="C32" s="90">
        <v>5.389E-2</v>
      </c>
      <c r="D32" s="90">
        <v>6.7629999999999996E-2</v>
      </c>
      <c r="E32" s="90">
        <v>0.25591000000000003</v>
      </c>
      <c r="F32" s="90">
        <v>0.54913999999999996</v>
      </c>
      <c r="G32" s="90">
        <v>0.85077999999999998</v>
      </c>
      <c r="H32" s="90">
        <v>0.39874999999999999</v>
      </c>
      <c r="I32" s="90">
        <v>1.04</v>
      </c>
      <c r="J32" s="90">
        <v>2.35</v>
      </c>
      <c r="K32" s="90">
        <v>4.92</v>
      </c>
      <c r="L32" s="90">
        <v>2.72</v>
      </c>
      <c r="M32" s="90">
        <v>2.0499999999999998</v>
      </c>
      <c r="N32" s="90">
        <v>1.47</v>
      </c>
    </row>
    <row r="33" spans="2:14" x14ac:dyDescent="0.35">
      <c r="B33" s="17" t="s">
        <v>50</v>
      </c>
    </row>
    <row r="35" spans="2:14" ht="13.3" thickBot="1" x14ac:dyDescent="0.4">
      <c r="B35" s="3" t="s">
        <v>88</v>
      </c>
    </row>
    <row r="36" spans="2:14" x14ac:dyDescent="0.35">
      <c r="B36" s="8" t="s">
        <v>35</v>
      </c>
      <c r="C36" s="29" t="s">
        <v>46</v>
      </c>
      <c r="D36" s="29" t="s">
        <v>47</v>
      </c>
      <c r="E36" s="97" t="s">
        <v>7</v>
      </c>
      <c r="F36" s="29" t="s">
        <v>48</v>
      </c>
      <c r="G36" s="29" t="s">
        <v>49</v>
      </c>
    </row>
    <row r="37" spans="2:14" x14ac:dyDescent="0.35">
      <c r="B37" s="9" t="s">
        <v>37</v>
      </c>
      <c r="C37" s="91">
        <v>1830</v>
      </c>
      <c r="D37" s="91">
        <v>0</v>
      </c>
      <c r="E37" s="98">
        <f>SUM(C37:D37)</f>
        <v>1830</v>
      </c>
      <c r="F37" s="92">
        <f>C37/$E37</f>
        <v>1</v>
      </c>
      <c r="G37" s="92">
        <f t="shared" ref="G37:G45" si="19">D37/$E37</f>
        <v>0</v>
      </c>
    </row>
    <row r="38" spans="2:14" x14ac:dyDescent="0.35">
      <c r="B38" s="9" t="s">
        <v>39</v>
      </c>
      <c r="C38" s="91">
        <v>400.58</v>
      </c>
      <c r="D38" s="91">
        <v>49.49</v>
      </c>
      <c r="E38" s="98">
        <f t="shared" ref="E38:E45" si="20">SUM(C38:D38)</f>
        <v>450.07</v>
      </c>
      <c r="F38" s="92">
        <f t="shared" ref="F38:F45" si="21">C38/$E38</f>
        <v>0.8900393272157664</v>
      </c>
      <c r="G38" s="92">
        <f t="shared" si="19"/>
        <v>0.10996067278423358</v>
      </c>
    </row>
    <row r="39" spans="2:14" x14ac:dyDescent="0.35">
      <c r="B39" s="9" t="s">
        <v>38</v>
      </c>
      <c r="C39" s="91">
        <v>540.74</v>
      </c>
      <c r="D39" s="91">
        <v>108.15</v>
      </c>
      <c r="E39" s="98">
        <f t="shared" si="20"/>
        <v>648.89</v>
      </c>
      <c r="F39" s="92">
        <f t="shared" si="21"/>
        <v>0.8333307648445808</v>
      </c>
      <c r="G39" s="92">
        <f t="shared" si="19"/>
        <v>0.16666923515541926</v>
      </c>
    </row>
    <row r="40" spans="2:14" x14ac:dyDescent="0.35">
      <c r="B40" s="9" t="s">
        <v>40</v>
      </c>
      <c r="C40" s="91">
        <v>602.24</v>
      </c>
      <c r="D40" s="91">
        <v>33.32</v>
      </c>
      <c r="E40" s="98">
        <f t="shared" si="20"/>
        <v>635.56000000000006</v>
      </c>
      <c r="F40" s="92">
        <f t="shared" si="21"/>
        <v>0.94757379319025736</v>
      </c>
      <c r="G40" s="92">
        <f t="shared" si="19"/>
        <v>5.2426206809742582E-2</v>
      </c>
    </row>
    <row r="41" spans="2:14" x14ac:dyDescent="0.35">
      <c r="B41" s="9" t="s">
        <v>45</v>
      </c>
      <c r="C41" s="91">
        <v>0</v>
      </c>
      <c r="D41" s="91">
        <v>151.88999999999999</v>
      </c>
      <c r="E41" s="98">
        <f t="shared" si="20"/>
        <v>151.88999999999999</v>
      </c>
      <c r="F41" s="92">
        <f t="shared" si="21"/>
        <v>0</v>
      </c>
      <c r="G41" s="92">
        <f t="shared" si="19"/>
        <v>1</v>
      </c>
    </row>
    <row r="42" spans="2:14" x14ac:dyDescent="0.35">
      <c r="B42" s="9" t="s">
        <v>42</v>
      </c>
      <c r="C42" s="91">
        <v>129.02000000000001</v>
      </c>
      <c r="D42" s="91">
        <v>0</v>
      </c>
      <c r="E42" s="98">
        <f t="shared" si="20"/>
        <v>129.02000000000001</v>
      </c>
      <c r="F42" s="92">
        <f t="shared" si="21"/>
        <v>1</v>
      </c>
      <c r="G42" s="92">
        <f t="shared" si="19"/>
        <v>0</v>
      </c>
    </row>
    <row r="43" spans="2:14" x14ac:dyDescent="0.35">
      <c r="B43" s="9" t="s">
        <v>41</v>
      </c>
      <c r="C43" s="91">
        <v>35.92</v>
      </c>
      <c r="D43" s="91">
        <v>35.92</v>
      </c>
      <c r="E43" s="98">
        <f t="shared" si="20"/>
        <v>71.84</v>
      </c>
      <c r="F43" s="92">
        <f t="shared" si="21"/>
        <v>0.5</v>
      </c>
      <c r="G43" s="92">
        <f t="shared" si="19"/>
        <v>0.5</v>
      </c>
    </row>
    <row r="44" spans="2:14" x14ac:dyDescent="0.35">
      <c r="B44" s="9" t="s">
        <v>43</v>
      </c>
      <c r="C44" s="91">
        <v>28.3</v>
      </c>
      <c r="D44" s="91">
        <v>28.3</v>
      </c>
      <c r="E44" s="98">
        <f t="shared" si="20"/>
        <v>56.6</v>
      </c>
      <c r="F44" s="92">
        <f t="shared" si="21"/>
        <v>0.5</v>
      </c>
      <c r="G44" s="92">
        <f t="shared" si="19"/>
        <v>0.5</v>
      </c>
    </row>
    <row r="45" spans="2:14" ht="13.3" thickBot="1" x14ac:dyDescent="0.4">
      <c r="B45" s="15" t="s">
        <v>44</v>
      </c>
      <c r="C45" s="93">
        <v>36.43</v>
      </c>
      <c r="D45" s="93">
        <v>36.43</v>
      </c>
      <c r="E45" s="99">
        <f t="shared" si="20"/>
        <v>72.86</v>
      </c>
      <c r="F45" s="94">
        <f t="shared" si="21"/>
        <v>0.5</v>
      </c>
      <c r="G45" s="94">
        <f t="shared" si="19"/>
        <v>0.5</v>
      </c>
    </row>
    <row r="46" spans="2:14" x14ac:dyDescent="0.35">
      <c r="B46" s="17" t="s">
        <v>51</v>
      </c>
      <c r="E46" s="63"/>
    </row>
    <row r="47" spans="2:14" x14ac:dyDescent="0.35">
      <c r="E47" s="63"/>
    </row>
    <row r="48" spans="2:14" x14ac:dyDescent="0.35">
      <c r="B48" s="4" t="s">
        <v>83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2:14" x14ac:dyDescent="0.35"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</row>
    <row r="50" spans="2:14" ht="13.3" thickBot="1" x14ac:dyDescent="0.4">
      <c r="B50" s="3" t="s">
        <v>90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</row>
    <row r="51" spans="2:14" ht="25.75" x14ac:dyDescent="0.35">
      <c r="B51" s="8" t="s">
        <v>99</v>
      </c>
      <c r="C51" s="95" t="s">
        <v>100</v>
      </c>
      <c r="D51" s="108" t="s">
        <v>91</v>
      </c>
      <c r="F51" s="57"/>
      <c r="G51" s="57"/>
      <c r="H51" s="57"/>
      <c r="I51" s="57"/>
      <c r="J51" s="57"/>
      <c r="K51" s="57"/>
      <c r="L51" s="57"/>
      <c r="M51" s="57"/>
      <c r="N51" s="57"/>
    </row>
    <row r="52" spans="2:14" x14ac:dyDescent="0.35">
      <c r="B52" s="2" t="s">
        <v>29</v>
      </c>
      <c r="C52" s="25">
        <v>172.46</v>
      </c>
      <c r="D52" s="104">
        <v>7.9399999999999998E-2</v>
      </c>
      <c r="F52" s="57"/>
      <c r="G52" s="57"/>
      <c r="H52" s="57"/>
      <c r="I52" s="57"/>
      <c r="J52" s="57"/>
      <c r="K52" s="57"/>
      <c r="L52" s="57"/>
      <c r="M52" s="57"/>
      <c r="N52" s="57"/>
    </row>
    <row r="53" spans="2:14" x14ac:dyDescent="0.35">
      <c r="B53" s="2" t="s">
        <v>64</v>
      </c>
      <c r="C53" s="25"/>
      <c r="D53" s="104">
        <v>0.06</v>
      </c>
      <c r="F53" s="57"/>
      <c r="G53" s="57"/>
      <c r="H53" s="57"/>
      <c r="I53" s="57"/>
      <c r="J53" s="57"/>
      <c r="K53" s="57"/>
      <c r="L53" s="57"/>
      <c r="M53" s="57"/>
      <c r="N53" s="57"/>
    </row>
    <row r="54" spans="2:14" ht="25.75" x14ac:dyDescent="0.35">
      <c r="B54" s="64" t="s">
        <v>10</v>
      </c>
      <c r="C54" s="130" t="s">
        <v>97</v>
      </c>
      <c r="D54" s="131" t="s">
        <v>91</v>
      </c>
      <c r="F54" s="57"/>
      <c r="G54" s="57"/>
      <c r="H54" s="57"/>
      <c r="I54" s="57"/>
      <c r="J54" s="57"/>
      <c r="K54" s="57"/>
      <c r="L54" s="57"/>
      <c r="M54" s="57"/>
      <c r="N54" s="57"/>
    </row>
    <row r="55" spans="2:14" x14ac:dyDescent="0.35">
      <c r="B55" s="6" t="s">
        <v>65</v>
      </c>
      <c r="C55" s="102">
        <v>40556</v>
      </c>
      <c r="D55" s="103">
        <v>1.2800000000000001E-2</v>
      </c>
      <c r="F55" s="57"/>
      <c r="G55" s="57"/>
      <c r="H55" s="57"/>
      <c r="I55" s="57"/>
      <c r="J55" s="57"/>
      <c r="K55" s="57"/>
      <c r="L55" s="57"/>
      <c r="M55" s="57"/>
      <c r="N55" s="57"/>
    </row>
    <row r="56" spans="2:14" x14ac:dyDescent="0.35">
      <c r="B56" s="10" t="s">
        <v>66</v>
      </c>
      <c r="C56" s="25">
        <v>21934</v>
      </c>
      <c r="D56" s="104">
        <v>1.11E-2</v>
      </c>
      <c r="F56" s="57"/>
      <c r="G56" s="57"/>
      <c r="H56" s="57"/>
      <c r="I56" s="57"/>
      <c r="J56" s="57"/>
      <c r="K56" s="57"/>
      <c r="L56" s="57"/>
      <c r="M56" s="57"/>
      <c r="N56" s="57"/>
    </row>
    <row r="57" spans="2:14" x14ac:dyDescent="0.35">
      <c r="B57" s="10" t="s">
        <v>67</v>
      </c>
      <c r="C57" s="25">
        <v>16453</v>
      </c>
      <c r="D57" s="104">
        <v>0.1091</v>
      </c>
      <c r="F57" s="57"/>
      <c r="G57" s="57"/>
      <c r="H57" s="57"/>
      <c r="I57" s="57"/>
      <c r="J57" s="57"/>
      <c r="K57" s="57"/>
      <c r="L57" s="57"/>
      <c r="M57" s="57"/>
      <c r="N57" s="57"/>
    </row>
    <row r="58" spans="2:14" x14ac:dyDescent="0.35">
      <c r="B58" s="12" t="s">
        <v>68</v>
      </c>
      <c r="C58" s="112">
        <v>7322</v>
      </c>
      <c r="D58" s="113">
        <v>6.4500000000000002E-2</v>
      </c>
      <c r="F58" s="57"/>
      <c r="G58" s="57"/>
      <c r="H58" s="57"/>
      <c r="I58" s="57"/>
      <c r="J58" s="57"/>
      <c r="K58" s="57"/>
      <c r="L58" s="57"/>
      <c r="M58" s="57"/>
      <c r="N58" s="57"/>
    </row>
    <row r="59" spans="2:14" x14ac:dyDescent="0.35">
      <c r="B59" s="10" t="s">
        <v>71</v>
      </c>
      <c r="C59" s="25">
        <v>10662</v>
      </c>
      <c r="D59" s="104">
        <v>0.17499999999999999</v>
      </c>
      <c r="F59" s="57"/>
      <c r="G59" s="57"/>
      <c r="H59" s="57"/>
      <c r="I59" s="57"/>
      <c r="J59" s="57"/>
      <c r="K59" s="57"/>
    </row>
    <row r="60" spans="2:14" x14ac:dyDescent="0.35">
      <c r="B60" s="10" t="s">
        <v>95</v>
      </c>
      <c r="C60" s="25">
        <v>6546</v>
      </c>
      <c r="D60" s="104">
        <v>0.14860000000000001</v>
      </c>
      <c r="F60" s="57"/>
      <c r="G60" s="57"/>
      <c r="H60" s="57"/>
      <c r="I60" s="57"/>
      <c r="J60" s="57"/>
      <c r="K60" s="57"/>
    </row>
    <row r="61" spans="2:14" x14ac:dyDescent="0.35">
      <c r="B61" s="10" t="s">
        <v>96</v>
      </c>
      <c r="C61" s="25">
        <v>5215</v>
      </c>
      <c r="D61" s="104">
        <v>0.2344</v>
      </c>
      <c r="F61" s="57"/>
      <c r="G61" s="57"/>
      <c r="H61" s="57"/>
      <c r="I61" s="57"/>
      <c r="J61" s="57"/>
      <c r="K61" s="57"/>
      <c r="L61" s="57"/>
      <c r="M61" s="57"/>
      <c r="N61" s="57"/>
    </row>
    <row r="62" spans="2:14" ht="13.3" thickBot="1" x14ac:dyDescent="0.4">
      <c r="B62" s="16" t="s">
        <v>70</v>
      </c>
      <c r="C62" s="28">
        <v>358.00400000000002</v>
      </c>
      <c r="D62" s="105">
        <v>0.5675</v>
      </c>
      <c r="F62" s="57"/>
      <c r="G62" s="57"/>
      <c r="H62" s="57"/>
      <c r="I62" s="57"/>
      <c r="J62" s="57"/>
      <c r="K62" s="57"/>
    </row>
    <row r="63" spans="2:14" x14ac:dyDescent="0.35">
      <c r="B63" s="17" t="s">
        <v>101</v>
      </c>
      <c r="C63" s="21"/>
    </row>
  </sheetData>
  <phoneticPr fontId="1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2E51-C270-440D-B989-10F9F55E1ECC}">
  <dimension ref="B2:X61"/>
  <sheetViews>
    <sheetView showGridLines="0" topLeftCell="A25" zoomScaleNormal="100" workbookViewId="0">
      <selection activeCell="C52" sqref="C52"/>
    </sheetView>
  </sheetViews>
  <sheetFormatPr defaultRowHeight="12.9" x14ac:dyDescent="0.35"/>
  <cols>
    <col min="1" max="1" width="3.07421875" style="2" customWidth="1"/>
    <col min="2" max="2" width="16.84375" style="2" customWidth="1"/>
    <col min="3" max="3" width="12.23046875" style="13" customWidth="1"/>
    <col min="4" max="6" width="14.3828125" style="13" customWidth="1"/>
    <col min="7" max="7" width="12.765625" style="13" customWidth="1"/>
    <col min="8" max="8" width="11.921875" style="13" customWidth="1"/>
    <col min="9" max="12" width="12.61328125" style="13" customWidth="1"/>
    <col min="13" max="24" width="11.15234375" style="13" customWidth="1"/>
    <col min="25" max="32" width="11.15234375" style="2" customWidth="1"/>
    <col min="33" max="16384" width="9.23046875" style="2"/>
  </cols>
  <sheetData>
    <row r="2" spans="2:7" ht="15.9" x14ac:dyDescent="0.45">
      <c r="B2" s="1" t="s">
        <v>34</v>
      </c>
    </row>
    <row r="3" spans="2:7" x14ac:dyDescent="0.35">
      <c r="B3" s="5" t="s">
        <v>52</v>
      </c>
    </row>
    <row r="4" spans="2:7" x14ac:dyDescent="0.35">
      <c r="B4" s="59" t="s">
        <v>32</v>
      </c>
    </row>
    <row r="6" spans="2:7" x14ac:dyDescent="0.35">
      <c r="B6" s="4" t="s">
        <v>33</v>
      </c>
      <c r="C6" s="14"/>
      <c r="D6" s="14"/>
      <c r="E6" s="14"/>
      <c r="F6" s="14"/>
      <c r="G6" s="14"/>
    </row>
    <row r="8" spans="2:7" ht="13.3" thickBot="1" x14ac:dyDescent="0.4">
      <c r="B8" s="3" t="s">
        <v>55</v>
      </c>
    </row>
    <row r="9" spans="2:7" s="13" customFormat="1" ht="25.75" x14ac:dyDescent="0.35">
      <c r="B9" s="8" t="s">
        <v>35</v>
      </c>
      <c r="C9" s="29" t="s">
        <v>5</v>
      </c>
      <c r="D9" s="95" t="s">
        <v>53</v>
      </c>
      <c r="E9" s="95" t="s">
        <v>54</v>
      </c>
      <c r="F9" s="95" t="s">
        <v>36</v>
      </c>
      <c r="G9" s="95" t="s">
        <v>60</v>
      </c>
    </row>
    <row r="10" spans="2:7" s="13" customFormat="1" x14ac:dyDescent="0.35">
      <c r="B10" s="9" t="s">
        <v>37</v>
      </c>
      <c r="C10" s="114">
        <v>27.74</v>
      </c>
      <c r="D10" s="115">
        <v>521.99629200000004</v>
      </c>
      <c r="E10" s="116">
        <v>1000</v>
      </c>
      <c r="F10" s="92">
        <f t="shared" ref="F10:F18" si="0">D10/E10</f>
        <v>0.52199629200000008</v>
      </c>
      <c r="G10" s="117">
        <f t="shared" ref="G10:G18" si="1">C10*D10</f>
        <v>14480.177140080001</v>
      </c>
    </row>
    <row r="11" spans="2:7" s="13" customFormat="1" x14ac:dyDescent="0.35">
      <c r="B11" s="9" t="s">
        <v>39</v>
      </c>
      <c r="C11" s="116">
        <v>362.04</v>
      </c>
      <c r="D11" s="115">
        <v>4.6897890000000002</v>
      </c>
      <c r="E11" s="116">
        <v>10</v>
      </c>
      <c r="F11" s="92">
        <f t="shared" si="0"/>
        <v>0.46897890000000003</v>
      </c>
      <c r="G11" s="117">
        <f t="shared" si="1"/>
        <v>1697.8912095600001</v>
      </c>
    </row>
    <row r="12" spans="2:7" s="13" customFormat="1" x14ac:dyDescent="0.35">
      <c r="B12" s="9" t="s">
        <v>38</v>
      </c>
      <c r="C12" s="118">
        <v>15.1</v>
      </c>
      <c r="D12" s="119">
        <v>127.244443</v>
      </c>
      <c r="E12" s="120">
        <v>250</v>
      </c>
      <c r="F12" s="121">
        <f t="shared" si="0"/>
        <v>0.50897777200000005</v>
      </c>
      <c r="G12" s="122">
        <f t="shared" si="1"/>
        <v>1921.3910893</v>
      </c>
    </row>
    <row r="13" spans="2:7" s="13" customFormat="1" x14ac:dyDescent="0.35">
      <c r="B13" s="9" t="s">
        <v>40</v>
      </c>
      <c r="C13" s="116">
        <v>340.27</v>
      </c>
      <c r="D13" s="115">
        <v>12.462474</v>
      </c>
      <c r="E13" s="116">
        <v>16</v>
      </c>
      <c r="F13" s="92">
        <f t="shared" si="0"/>
        <v>0.77890462500000002</v>
      </c>
      <c r="G13" s="117">
        <f t="shared" si="1"/>
        <v>4240.6060279799995</v>
      </c>
    </row>
    <row r="14" spans="2:7" s="13" customFormat="1" x14ac:dyDescent="0.35">
      <c r="B14" s="9" t="s">
        <v>45</v>
      </c>
      <c r="C14" s="116">
        <v>2054.9899999999998</v>
      </c>
      <c r="D14" s="115">
        <v>0.99523899999999998</v>
      </c>
      <c r="E14" s="116">
        <v>1.0055769999999999</v>
      </c>
      <c r="F14" s="92">
        <f t="shared" si="0"/>
        <v>0.98971933526721478</v>
      </c>
      <c r="G14" s="117">
        <f t="shared" si="1"/>
        <v>2045.2061926099998</v>
      </c>
    </row>
    <row r="15" spans="2:7" s="13" customFormat="1" x14ac:dyDescent="0.35">
      <c r="B15" s="9" t="s">
        <v>42</v>
      </c>
      <c r="C15" s="114">
        <v>53.08</v>
      </c>
      <c r="D15" s="115">
        <v>6.9438310000000003</v>
      </c>
      <c r="E15" s="116">
        <v>100</v>
      </c>
      <c r="F15" s="92">
        <f t="shared" si="0"/>
        <v>6.9438310000000003E-2</v>
      </c>
      <c r="G15" s="117">
        <f t="shared" si="1"/>
        <v>368.57854947999999</v>
      </c>
    </row>
    <row r="16" spans="2:7" s="13" customFormat="1" x14ac:dyDescent="0.35">
      <c r="B16" s="9" t="s">
        <v>41</v>
      </c>
      <c r="C16" s="88">
        <v>7.1</v>
      </c>
      <c r="D16" s="115">
        <v>173.75782699999999</v>
      </c>
      <c r="E16" s="116">
        <v>198.16394199999999</v>
      </c>
      <c r="F16" s="92">
        <f t="shared" si="0"/>
        <v>0.87683876918435544</v>
      </c>
      <c r="G16" s="117">
        <f t="shared" si="1"/>
        <v>1233.6805717</v>
      </c>
    </row>
    <row r="17" spans="2:7" s="13" customFormat="1" x14ac:dyDescent="0.35">
      <c r="B17" s="9" t="s">
        <v>43</v>
      </c>
      <c r="C17" s="88">
        <v>2.97</v>
      </c>
      <c r="D17" s="115">
        <v>249.91351700000001</v>
      </c>
      <c r="E17" s="116">
        <v>1500.4420110000001</v>
      </c>
      <c r="F17" s="92">
        <f t="shared" si="0"/>
        <v>0.16655993045238721</v>
      </c>
      <c r="G17" s="117">
        <f t="shared" si="1"/>
        <v>742.24314549000007</v>
      </c>
    </row>
    <row r="18" spans="2:7" s="13" customFormat="1" ht="13.3" thickBot="1" x14ac:dyDescent="0.4">
      <c r="B18" s="15" t="s">
        <v>44</v>
      </c>
      <c r="C18" s="123">
        <v>16.600000000000001</v>
      </c>
      <c r="D18" s="124">
        <v>114.841533</v>
      </c>
      <c r="E18" s="125">
        <v>215.25883400000001</v>
      </c>
      <c r="F18" s="94">
        <f t="shared" si="0"/>
        <v>0.53350439034711117</v>
      </c>
      <c r="G18" s="126">
        <f t="shared" si="1"/>
        <v>1906.3694478000002</v>
      </c>
    </row>
    <row r="19" spans="2:7" s="13" customFormat="1" x14ac:dyDescent="0.35">
      <c r="B19" s="17" t="s">
        <v>56</v>
      </c>
      <c r="C19" s="21"/>
      <c r="D19" s="21"/>
      <c r="E19" s="21"/>
      <c r="F19" s="20"/>
      <c r="G19" s="20"/>
    </row>
    <row r="20" spans="2:7" x14ac:dyDescent="0.35">
      <c r="C20" s="21"/>
      <c r="D20" s="21"/>
      <c r="E20" s="21"/>
      <c r="F20" s="21"/>
      <c r="G20" s="21"/>
    </row>
    <row r="21" spans="2:7" ht="13.3" thickBot="1" x14ac:dyDescent="0.4">
      <c r="B21" s="3" t="s">
        <v>57</v>
      </c>
      <c r="C21" s="21"/>
      <c r="D21" s="21"/>
      <c r="E21" s="21"/>
      <c r="F21" s="21"/>
      <c r="G21" s="21"/>
    </row>
    <row r="22" spans="2:7" ht="25.75" x14ac:dyDescent="0.35">
      <c r="B22" s="8" t="s">
        <v>35</v>
      </c>
      <c r="C22" s="29" t="s">
        <v>5</v>
      </c>
      <c r="D22" s="95" t="s">
        <v>53</v>
      </c>
      <c r="E22" s="95" t="s">
        <v>54</v>
      </c>
      <c r="F22" s="95" t="s">
        <v>36</v>
      </c>
      <c r="G22" s="95" t="s">
        <v>60</v>
      </c>
    </row>
    <row r="23" spans="2:7" x14ac:dyDescent="0.35">
      <c r="B23" s="9" t="s">
        <v>37</v>
      </c>
      <c r="C23" s="114">
        <v>3.46</v>
      </c>
      <c r="D23" s="115">
        <v>257.11198300000001</v>
      </c>
      <c r="E23" s="116">
        <v>1000</v>
      </c>
      <c r="F23" s="92">
        <f t="shared" ref="F23:F31" si="2">D23/E23</f>
        <v>0.25711198299999999</v>
      </c>
      <c r="G23" s="117">
        <f t="shared" ref="G23:G31" si="3">C23*D23</f>
        <v>889.60746117999997</v>
      </c>
    </row>
    <row r="24" spans="2:7" x14ac:dyDescent="0.35">
      <c r="B24" s="9" t="s">
        <v>39</v>
      </c>
      <c r="C24" s="116">
        <v>135.97</v>
      </c>
      <c r="D24" s="115">
        <v>4.4006020000000001</v>
      </c>
      <c r="E24" s="116">
        <v>10</v>
      </c>
      <c r="F24" s="92">
        <f t="shared" si="2"/>
        <v>0.44006020000000001</v>
      </c>
      <c r="G24" s="117">
        <f t="shared" si="3"/>
        <v>598.34985394</v>
      </c>
    </row>
    <row r="25" spans="2:7" x14ac:dyDescent="0.35">
      <c r="B25" s="9" t="s">
        <v>38</v>
      </c>
      <c r="C25" s="118">
        <v>2.46</v>
      </c>
      <c r="D25" s="119">
        <v>175.18225100000001</v>
      </c>
      <c r="E25" s="120">
        <v>250</v>
      </c>
      <c r="F25" s="121">
        <f t="shared" si="2"/>
        <v>0.70072900400000004</v>
      </c>
      <c r="G25" s="122">
        <f t="shared" si="3"/>
        <v>430.94833746</v>
      </c>
    </row>
    <row r="26" spans="2:7" x14ac:dyDescent="0.35">
      <c r="B26" s="9" t="s">
        <v>40</v>
      </c>
      <c r="C26" s="116">
        <v>78.22</v>
      </c>
      <c r="D26" s="115">
        <v>12.006067</v>
      </c>
      <c r="E26" s="116">
        <v>16</v>
      </c>
      <c r="F26" s="92">
        <f t="shared" si="2"/>
        <v>0.75037918749999999</v>
      </c>
      <c r="G26" s="117">
        <f t="shared" si="3"/>
        <v>939.11456074</v>
      </c>
    </row>
    <row r="27" spans="2:7" x14ac:dyDescent="0.35">
      <c r="B27" s="9" t="s">
        <v>45</v>
      </c>
      <c r="C27" s="116">
        <v>530.26</v>
      </c>
      <c r="D27" s="115">
        <v>0.99773699999999999</v>
      </c>
      <c r="E27" s="116">
        <v>1.0055769999999999</v>
      </c>
      <c r="F27" s="92">
        <f t="shared" si="2"/>
        <v>0.99220348118542889</v>
      </c>
      <c r="G27" s="117">
        <f t="shared" si="3"/>
        <v>529.06002161999993</v>
      </c>
    </row>
    <row r="28" spans="2:7" x14ac:dyDescent="0.35">
      <c r="B28" s="9" t="s">
        <v>42</v>
      </c>
      <c r="C28" s="114">
        <v>12.02</v>
      </c>
      <c r="D28" s="115">
        <v>6.9438310000000003</v>
      </c>
      <c r="E28" s="116">
        <v>100</v>
      </c>
      <c r="F28" s="92">
        <f t="shared" si="2"/>
        <v>6.9438310000000003E-2</v>
      </c>
      <c r="G28" s="117">
        <f t="shared" si="3"/>
        <v>83.464848619999998</v>
      </c>
    </row>
    <row r="29" spans="2:7" x14ac:dyDescent="0.35">
      <c r="B29" s="9" t="s">
        <v>41</v>
      </c>
      <c r="C29" s="88">
        <v>1.23</v>
      </c>
      <c r="D29" s="115">
        <v>95.105328</v>
      </c>
      <c r="E29" s="116">
        <v>198.16394199999999</v>
      </c>
      <c r="F29" s="92">
        <f t="shared" si="2"/>
        <v>0.47993256008199514</v>
      </c>
      <c r="G29" s="117">
        <f t="shared" si="3"/>
        <v>116.97955344</v>
      </c>
    </row>
    <row r="30" spans="2:7" x14ac:dyDescent="0.35">
      <c r="B30" s="9" t="s">
        <v>43</v>
      </c>
      <c r="C30" s="88">
        <v>0.485844</v>
      </c>
      <c r="D30" s="115">
        <v>155.29796099999999</v>
      </c>
      <c r="E30" s="116">
        <v>1500.4420110000001</v>
      </c>
      <c r="F30" s="92">
        <f t="shared" si="2"/>
        <v>0.10350147480641288</v>
      </c>
      <c r="G30" s="117">
        <f t="shared" si="3"/>
        <v>75.450582564083987</v>
      </c>
    </row>
    <row r="31" spans="2:7" ht="13.3" thickBot="1" x14ac:dyDescent="0.4">
      <c r="B31" s="15" t="s">
        <v>44</v>
      </c>
      <c r="C31" s="123">
        <v>7.64</v>
      </c>
      <c r="D31" s="124">
        <v>110.519345</v>
      </c>
      <c r="E31" s="125">
        <v>215.25883400000001</v>
      </c>
      <c r="F31" s="94">
        <f t="shared" si="2"/>
        <v>0.51342536306779396</v>
      </c>
      <c r="G31" s="126">
        <f t="shared" si="3"/>
        <v>844.36779579999995</v>
      </c>
    </row>
    <row r="32" spans="2:7" x14ac:dyDescent="0.35">
      <c r="B32" s="17" t="s">
        <v>58</v>
      </c>
      <c r="C32" s="21"/>
      <c r="D32" s="21"/>
      <c r="E32" s="21"/>
      <c r="F32" s="20"/>
      <c r="G32" s="20"/>
    </row>
    <row r="33" spans="2:7" x14ac:dyDescent="0.35">
      <c r="C33" s="21"/>
      <c r="D33" s="21"/>
      <c r="E33" s="21"/>
      <c r="F33" s="21"/>
      <c r="G33" s="21"/>
    </row>
    <row r="34" spans="2:7" ht="13.3" thickBot="1" x14ac:dyDescent="0.4">
      <c r="B34" s="3" t="s">
        <v>59</v>
      </c>
      <c r="C34" s="21"/>
      <c r="D34" s="21"/>
      <c r="E34" s="21"/>
      <c r="F34" s="21"/>
      <c r="G34" s="21"/>
    </row>
    <row r="35" spans="2:7" ht="25.75" x14ac:dyDescent="0.35">
      <c r="B35" s="8" t="s">
        <v>35</v>
      </c>
      <c r="C35" s="29" t="s">
        <v>5</v>
      </c>
      <c r="D35" s="95" t="s">
        <v>53</v>
      </c>
      <c r="E35" s="95" t="s">
        <v>54</v>
      </c>
      <c r="F35" s="95" t="s">
        <v>36</v>
      </c>
      <c r="G35" s="95" t="s">
        <v>60</v>
      </c>
    </row>
    <row r="36" spans="2:7" x14ac:dyDescent="0.35">
      <c r="B36" s="9" t="s">
        <v>37</v>
      </c>
      <c r="C36" s="114">
        <v>4.0599999999999996</v>
      </c>
      <c r="D36" s="115">
        <v>96.866285000000005</v>
      </c>
      <c r="E36" s="116">
        <v>1000</v>
      </c>
      <c r="F36" s="92">
        <f t="shared" ref="F36:F44" si="4">D36/E36</f>
        <v>9.686628500000001E-2</v>
      </c>
      <c r="G36" s="117">
        <f t="shared" ref="G36:G44" si="5">C36*D36</f>
        <v>393.2771171</v>
      </c>
    </row>
    <row r="37" spans="2:7" x14ac:dyDescent="0.35">
      <c r="B37" s="9" t="s">
        <v>39</v>
      </c>
      <c r="C37" s="116">
        <v>132.86000000000001</v>
      </c>
      <c r="D37" s="115">
        <v>2.5612789999999999</v>
      </c>
      <c r="E37" s="116">
        <v>10</v>
      </c>
      <c r="F37" s="92">
        <f t="shared" si="4"/>
        <v>0.25612789999999996</v>
      </c>
      <c r="G37" s="117">
        <f t="shared" si="5"/>
        <v>340.29152794000004</v>
      </c>
    </row>
    <row r="38" spans="2:7" x14ac:dyDescent="0.35">
      <c r="B38" s="9" t="s">
        <v>38</v>
      </c>
      <c r="C38" s="118">
        <v>1.3</v>
      </c>
      <c r="D38" s="127">
        <v>122.047066</v>
      </c>
      <c r="E38" s="120">
        <v>250</v>
      </c>
      <c r="F38" s="121">
        <f t="shared" si="4"/>
        <v>0.48818826399999998</v>
      </c>
      <c r="G38" s="122">
        <f t="shared" si="5"/>
        <v>158.6611858</v>
      </c>
    </row>
    <row r="39" spans="2:7" x14ac:dyDescent="0.35">
      <c r="B39" s="9" t="s">
        <v>40</v>
      </c>
      <c r="C39" s="116">
        <v>0.51794300000000004</v>
      </c>
      <c r="D39" s="115">
        <v>1299.9999419999999</v>
      </c>
      <c r="E39" s="116">
        <v>16</v>
      </c>
      <c r="F39" s="92">
        <f t="shared" si="4"/>
        <v>81.249996374999995</v>
      </c>
      <c r="G39" s="117">
        <f t="shared" si="5"/>
        <v>673.32586995930603</v>
      </c>
    </row>
    <row r="40" spans="2:7" x14ac:dyDescent="0.35">
      <c r="B40" s="9" t="s">
        <v>45</v>
      </c>
      <c r="C40" s="116">
        <v>525.07000000000005</v>
      </c>
      <c r="D40" s="115">
        <v>1.0055769999999999</v>
      </c>
      <c r="E40" s="116">
        <v>1.0055769999999999</v>
      </c>
      <c r="F40" s="92">
        <f t="shared" si="4"/>
        <v>1</v>
      </c>
      <c r="G40" s="117">
        <f t="shared" si="5"/>
        <v>527.99831539000002</v>
      </c>
    </row>
    <row r="41" spans="2:7" x14ac:dyDescent="0.35">
      <c r="B41" s="9" t="s">
        <v>42</v>
      </c>
      <c r="C41" s="114">
        <v>15.11</v>
      </c>
      <c r="D41" s="115">
        <v>6.9438310000000003</v>
      </c>
      <c r="E41" s="116">
        <v>100</v>
      </c>
      <c r="F41" s="92">
        <f t="shared" si="4"/>
        <v>6.9438310000000003E-2</v>
      </c>
      <c r="G41" s="117">
        <f t="shared" si="5"/>
        <v>104.92128641000001</v>
      </c>
    </row>
    <row r="42" spans="2:7" x14ac:dyDescent="0.35">
      <c r="B42" s="9" t="s">
        <v>41</v>
      </c>
      <c r="C42" s="88">
        <v>1.02</v>
      </c>
      <c r="D42" s="115">
        <v>69.148528999999996</v>
      </c>
      <c r="E42" s="116">
        <v>198.16394199999999</v>
      </c>
      <c r="F42" s="92">
        <f t="shared" si="4"/>
        <v>0.3489460711273093</v>
      </c>
      <c r="G42" s="117">
        <f t="shared" si="5"/>
        <v>70.531499580000002</v>
      </c>
    </row>
    <row r="43" spans="2:7" x14ac:dyDescent="0.35">
      <c r="B43" s="9" t="s">
        <v>43</v>
      </c>
      <c r="C43" s="88">
        <v>0.93571300000000002</v>
      </c>
      <c r="D43" s="115">
        <v>67.595192999999995</v>
      </c>
      <c r="E43" s="116">
        <v>1500.4420110000001</v>
      </c>
      <c r="F43" s="92">
        <f t="shared" si="4"/>
        <v>4.5050186881230955E-2</v>
      </c>
      <c r="G43" s="117">
        <f t="shared" si="5"/>
        <v>63.249700827608997</v>
      </c>
    </row>
    <row r="44" spans="2:7" ht="13.3" thickBot="1" x14ac:dyDescent="0.4">
      <c r="B44" s="15" t="s">
        <v>44</v>
      </c>
      <c r="C44" s="123">
        <v>4.54</v>
      </c>
      <c r="D44" s="124">
        <v>101.85858399999999</v>
      </c>
      <c r="E44" s="125">
        <v>215.25883400000001</v>
      </c>
      <c r="F44" s="94">
        <f t="shared" si="4"/>
        <v>0.47319119084329886</v>
      </c>
      <c r="G44" s="126">
        <f t="shared" si="5"/>
        <v>462.43797135999995</v>
      </c>
    </row>
    <row r="45" spans="2:7" x14ac:dyDescent="0.35">
      <c r="B45" s="17" t="s">
        <v>58</v>
      </c>
      <c r="F45" s="63"/>
      <c r="G45" s="63"/>
    </row>
    <row r="47" spans="2:7" x14ac:dyDescent="0.35">
      <c r="B47" s="4" t="s">
        <v>83</v>
      </c>
      <c r="C47" s="14"/>
      <c r="D47" s="14"/>
      <c r="E47" s="14"/>
      <c r="F47" s="14"/>
      <c r="G47" s="14"/>
    </row>
    <row r="49" spans="2:5" ht="13.3" thickBot="1" x14ac:dyDescent="0.4">
      <c r="B49" s="3" t="s">
        <v>55</v>
      </c>
    </row>
    <row r="50" spans="2:5" ht="25.75" x14ac:dyDescent="0.35">
      <c r="B50" s="8" t="s">
        <v>94</v>
      </c>
      <c r="C50" s="29" t="s">
        <v>5</v>
      </c>
      <c r="D50" s="95" t="s">
        <v>53</v>
      </c>
      <c r="E50" s="95" t="s">
        <v>60</v>
      </c>
    </row>
    <row r="51" spans="2:5" x14ac:dyDescent="0.35">
      <c r="B51" s="2" t="s">
        <v>29</v>
      </c>
      <c r="C51" s="25">
        <v>3972.89</v>
      </c>
      <c r="D51" s="128"/>
    </row>
    <row r="52" spans="2:5" x14ac:dyDescent="0.35">
      <c r="B52" s="2" t="s">
        <v>64</v>
      </c>
      <c r="C52" s="25">
        <v>13246.87</v>
      </c>
      <c r="D52" s="128"/>
    </row>
    <row r="53" spans="2:5" x14ac:dyDescent="0.35">
      <c r="B53" s="6" t="s">
        <v>65</v>
      </c>
      <c r="C53" s="109">
        <f>142.23</f>
        <v>142.22999999999999</v>
      </c>
      <c r="D53" s="102">
        <v>3030</v>
      </c>
      <c r="E53" s="32">
        <f>C53*D53</f>
        <v>430956.89999999997</v>
      </c>
    </row>
    <row r="54" spans="2:5" x14ac:dyDescent="0.35">
      <c r="B54" s="10" t="s">
        <v>66</v>
      </c>
      <c r="C54" s="110">
        <v>38.69</v>
      </c>
      <c r="D54" s="25">
        <v>8570</v>
      </c>
      <c r="E54" s="30">
        <f t="shared" ref="E54:E60" si="6">C54*D54</f>
        <v>331573.3</v>
      </c>
    </row>
    <row r="55" spans="2:5" x14ac:dyDescent="0.35">
      <c r="B55" s="10" t="s">
        <v>67</v>
      </c>
      <c r="C55" s="110">
        <v>72.75</v>
      </c>
      <c r="D55" s="25">
        <v>2070</v>
      </c>
      <c r="E55" s="30">
        <f t="shared" si="6"/>
        <v>150592.5</v>
      </c>
    </row>
    <row r="56" spans="2:5" x14ac:dyDescent="0.35">
      <c r="B56" s="12" t="s">
        <v>68</v>
      </c>
      <c r="C56" s="111">
        <v>29.14</v>
      </c>
      <c r="D56" s="112">
        <v>4080</v>
      </c>
      <c r="E56" s="68">
        <f t="shared" si="6"/>
        <v>118891.2</v>
      </c>
    </row>
    <row r="57" spans="2:5" x14ac:dyDescent="0.35">
      <c r="B57" s="9" t="s">
        <v>71</v>
      </c>
      <c r="C57" s="106">
        <v>211.73</v>
      </c>
      <c r="D57" s="24">
        <v>1690</v>
      </c>
      <c r="E57" s="26">
        <f t="shared" si="6"/>
        <v>357823.7</v>
      </c>
    </row>
    <row r="58" spans="2:5" x14ac:dyDescent="0.35">
      <c r="B58" s="9" t="s">
        <v>95</v>
      </c>
      <c r="C58" s="106">
        <v>356.05</v>
      </c>
      <c r="D58" s="24">
        <v>982.91</v>
      </c>
      <c r="E58" s="26">
        <f t="shared" si="6"/>
        <v>349965.10550000001</v>
      </c>
    </row>
    <row r="59" spans="2:5" x14ac:dyDescent="0.35">
      <c r="B59" s="2" t="s">
        <v>69</v>
      </c>
      <c r="C59" s="106">
        <v>242.84</v>
      </c>
      <c r="D59" s="24">
        <v>1170</v>
      </c>
      <c r="E59" s="26">
        <f t="shared" si="6"/>
        <v>284122.8</v>
      </c>
    </row>
    <row r="60" spans="2:5" ht="13.3" thickBot="1" x14ac:dyDescent="0.4">
      <c r="B60" s="16" t="s">
        <v>70</v>
      </c>
      <c r="C60" s="107">
        <v>227.05</v>
      </c>
      <c r="D60" s="28">
        <v>392</v>
      </c>
      <c r="E60" s="27">
        <f t="shared" si="6"/>
        <v>89003.6</v>
      </c>
    </row>
    <row r="61" spans="2:5" x14ac:dyDescent="0.35">
      <c r="B61" s="17" t="s">
        <v>98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B697-1A72-48DE-B4F7-9A14CF351A1A}">
  <dimension ref="B2:Q12"/>
  <sheetViews>
    <sheetView showGridLines="0" zoomScaleNormal="100" workbookViewId="0">
      <selection activeCell="N45" sqref="N45"/>
    </sheetView>
  </sheetViews>
  <sheetFormatPr defaultRowHeight="12.9" x14ac:dyDescent="0.35"/>
  <cols>
    <col min="1" max="1" width="3.07421875" style="2" customWidth="1"/>
    <col min="2" max="2" width="28.69140625" style="2" customWidth="1"/>
    <col min="3" max="3" width="16.921875" style="7" customWidth="1"/>
    <col min="4" max="6" width="18" style="7" customWidth="1"/>
    <col min="7" max="7" width="14.3046875" style="7" customWidth="1"/>
    <col min="8" max="8" width="16.921875" style="7" customWidth="1"/>
    <col min="9" max="9" width="15.23046875" style="13" customWidth="1"/>
    <col min="10" max="10" width="17.3046875" style="13" customWidth="1"/>
    <col min="11" max="12" width="11.3046875" style="13" customWidth="1"/>
    <col min="13" max="13" width="9.23046875" style="13" customWidth="1"/>
    <col min="14" max="17" width="10.23046875" style="13" customWidth="1"/>
    <col min="18" max="21" width="14.69140625" style="2" customWidth="1"/>
    <col min="22" max="16384" width="9.23046875" style="2"/>
  </cols>
  <sheetData>
    <row r="2" spans="2:13" ht="15.9" x14ac:dyDescent="0.45">
      <c r="B2" s="1" t="s">
        <v>31</v>
      </c>
    </row>
    <row r="3" spans="2:13" x14ac:dyDescent="0.35">
      <c r="B3" s="5" t="s">
        <v>0</v>
      </c>
    </row>
    <row r="4" spans="2:13" x14ac:dyDescent="0.35">
      <c r="B4" s="59" t="s">
        <v>32</v>
      </c>
    </row>
    <row r="6" spans="2:13" x14ac:dyDescent="0.35">
      <c r="B6" s="4" t="s">
        <v>9</v>
      </c>
      <c r="C6" s="22"/>
      <c r="D6" s="22"/>
      <c r="E6" s="22"/>
      <c r="F6" s="22"/>
      <c r="G6" s="22"/>
      <c r="H6" s="22"/>
      <c r="I6" s="14"/>
      <c r="J6" s="14"/>
      <c r="K6" s="14"/>
      <c r="L6" s="14"/>
      <c r="M6" s="14"/>
    </row>
    <row r="7" spans="2:13" ht="13.3" thickBot="1" x14ac:dyDescent="0.4"/>
    <row r="8" spans="2:13" x14ac:dyDescent="0.35">
      <c r="B8" s="8" t="s">
        <v>10</v>
      </c>
      <c r="C8" s="23" t="s">
        <v>12</v>
      </c>
      <c r="D8" s="23" t="s">
        <v>13</v>
      </c>
      <c r="E8" s="23"/>
      <c r="F8" s="23"/>
      <c r="G8" s="23" t="s">
        <v>26</v>
      </c>
      <c r="H8" s="37" t="s">
        <v>21</v>
      </c>
    </row>
    <row r="9" spans="2:13" x14ac:dyDescent="0.35">
      <c r="B9" s="39" t="s">
        <v>15</v>
      </c>
      <c r="C9" s="40">
        <v>44215</v>
      </c>
      <c r="D9" s="60" t="s">
        <v>16</v>
      </c>
      <c r="E9" s="60"/>
      <c r="F9" s="60"/>
      <c r="G9" s="41" t="s">
        <v>30</v>
      </c>
      <c r="H9" s="52">
        <v>80</v>
      </c>
      <c r="I9" s="55" t="s">
        <v>25</v>
      </c>
      <c r="J9" s="42"/>
    </row>
    <row r="10" spans="2:13" x14ac:dyDescent="0.35">
      <c r="B10" s="43" t="s">
        <v>11</v>
      </c>
      <c r="C10" s="44">
        <v>44043</v>
      </c>
      <c r="D10" s="61" t="s">
        <v>14</v>
      </c>
      <c r="E10" s="61"/>
      <c r="F10" s="61"/>
      <c r="G10" s="45" t="s">
        <v>8</v>
      </c>
      <c r="H10" s="53">
        <v>41.792000000000002</v>
      </c>
      <c r="I10" s="55" t="s">
        <v>24</v>
      </c>
      <c r="J10" s="42"/>
    </row>
    <row r="11" spans="2:13" x14ac:dyDescent="0.35">
      <c r="B11" s="46" t="s">
        <v>17</v>
      </c>
      <c r="C11" s="47">
        <v>43679</v>
      </c>
      <c r="D11" s="61" t="s">
        <v>18</v>
      </c>
      <c r="E11" s="61"/>
      <c r="F11" s="61"/>
      <c r="G11" s="48" t="s">
        <v>27</v>
      </c>
      <c r="H11" s="53">
        <v>68.313000000000002</v>
      </c>
      <c r="I11" s="55" t="s">
        <v>23</v>
      </c>
      <c r="J11" s="42"/>
    </row>
    <row r="12" spans="2:13" ht="13.3" thickBot="1" x14ac:dyDescent="0.4">
      <c r="B12" s="49" t="s">
        <v>19</v>
      </c>
      <c r="C12" s="50">
        <v>43482</v>
      </c>
      <c r="D12" s="62" t="s">
        <v>20</v>
      </c>
      <c r="E12" s="62"/>
      <c r="F12" s="62"/>
      <c r="G12" s="51" t="s">
        <v>28</v>
      </c>
      <c r="H12" s="54">
        <v>6.4260000000000002</v>
      </c>
      <c r="I12" s="55" t="s">
        <v>22</v>
      </c>
    </row>
  </sheetData>
  <mergeCells count="4">
    <mergeCell ref="D9:F9"/>
    <mergeCell ref="D10:F10"/>
    <mergeCell ref="D11:F11"/>
    <mergeCell ref="D12:F12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Valuation</vt:lpstr>
      <vt:lpstr>Input &gt;</vt:lpstr>
      <vt:lpstr>Earnings</vt:lpstr>
      <vt:lpstr>Market cap</vt:lpstr>
      <vt:lpstr>Acquisitions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Yeung</dc:creator>
  <cp:lastModifiedBy>Park Yeung</cp:lastModifiedBy>
  <cp:lastPrinted>2021-05-21T19:27:06Z</cp:lastPrinted>
  <dcterms:created xsi:type="dcterms:W3CDTF">2021-04-18T13:08:30Z</dcterms:created>
  <dcterms:modified xsi:type="dcterms:W3CDTF">2021-05-21T21:54:05Z</dcterms:modified>
</cp:coreProperties>
</file>