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Lookup Tables" sheetId="2" r:id="rId5"/>
  </sheets>
  <definedNames>
    <definedName name="cminpc">'Lookup Tables'!$H$12</definedName>
    <definedName name="k_con">'Lookup Tables'!$H$8</definedName>
    <definedName name="c_con">'Lookup Tables'!$H$4</definedName>
    <definedName name="h_con">'Lookup Tables'!$H$6</definedName>
    <definedName name="R_sun">'Lookup Tables'!$H$10</definedName>
  </definedNames>
  <calcPr/>
  <extLst>
    <ext uri="GoogleSheetsCustomDataVersion2">
      <go:sheetsCustomData xmlns:go="http://customooxmlschemas.google.com/" r:id="rId6" roundtripDataChecksum="KgVB2lDvdyf6DpyRpiLeAk38maFgjaogf/RvX6nsk7w="/>
    </ext>
  </extLst>
</workbook>
</file>

<file path=xl/sharedStrings.xml><?xml version="1.0" encoding="utf-8"?>
<sst xmlns="http://schemas.openxmlformats.org/spreadsheetml/2006/main" count="172" uniqueCount="120">
  <si>
    <t>M-dwarf information needed for STIS Bright Object Clearance</t>
  </si>
  <si>
    <t>COMPUTED FLUX FOR ETC</t>
  </si>
  <si>
    <t>SCALED CIV METHOD</t>
  </si>
  <si>
    <t>FLUX EXCESS METHOD</t>
  </si>
  <si>
    <t>Target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</si>
  <si>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</si>
  <si>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</si>
  <si>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</si>
  <si>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</si>
  <si>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</si>
  <si>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</si>
  <si>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</si>
  <si>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</si>
  <si>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</si>
  <si>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</si>
  <si>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</si>
  <si>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</si>
  <si>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</si>
  <si>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</si>
  <si>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</si>
  <si>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</si>
  <si>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</si>
  <si>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</si>
  <si>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</si>
  <si>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</si>
  <si>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</si>
  <si>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</si>
  <si>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</si>
  <si>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</si>
  <si>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</si>
  <si>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</si>
  <si>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</si>
  <si>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</si>
  <si>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(K)</t>
  </si>
  <si>
    <t>(pc)</t>
  </si>
  <si>
    <t>(R_sun)</t>
  </si>
  <si>
    <t>(erg/cm2/s)</t>
  </si>
  <si>
    <t>TOI-244</t>
  </si>
  <si>
    <t>M0-M2</t>
  </si>
  <si>
    <t>TOI-1468</t>
  </si>
  <si>
    <t>M3-5</t>
  </si>
  <si>
    <t>TOI-1695</t>
  </si>
  <si>
    <t>TOI-540</t>
  </si>
  <si>
    <t>active</t>
  </si>
  <si>
    <t>TIC 354518617</t>
  </si>
  <si>
    <t>TOI-700</t>
  </si>
  <si>
    <t>TIC 318022259</t>
  </si>
  <si>
    <t>G 9-40</t>
  </si>
  <si>
    <t>TOI-620</t>
  </si>
  <si>
    <t>GJ 357</t>
  </si>
  <si>
    <t>TIC 407591297</t>
  </si>
  <si>
    <t>LTT 3780</t>
  </si>
  <si>
    <t>TOI-1801</t>
  </si>
  <si>
    <t>TOI-1266</t>
  </si>
  <si>
    <t>TIC 166145361</t>
  </si>
  <si>
    <t>TOI-2136</t>
  </si>
  <si>
    <t>TOI-2095</t>
  </si>
  <si>
    <t>LHS 475</t>
  </si>
  <si>
    <t>TOI-1759</t>
  </si>
  <si>
    <t>EPIC 205530323</t>
  </si>
  <si>
    <t>EXAMPLES BELOW</t>
  </si>
  <si>
    <t>Trappist-1</t>
  </si>
  <si>
    <t>M6-9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</si>
  <si>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</si>
  <si>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</si>
  <si>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</si>
  <si>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</si>
  <si>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</si>
  <si>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</si>
  <si>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</si>
  <si>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</si>
  <si>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</si>
  <si>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</si>
  <si>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</si>
  <si>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</si>
  <si>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</si>
  <si>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</si>
  <si>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</si>
  <si>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</si>
  <si>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</si>
  <si>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</si>
  <si>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</si>
  <si>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</si>
  <si>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</si>
  <si>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</si>
  <si>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</si>
  <si>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</si>
  <si>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</si>
  <si>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</si>
  <si>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</si>
  <si>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</si>
  <si>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</si>
  <si>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</si>
  <si>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</si>
  <si>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</si>
  <si>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</si>
  <si>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</si>
  <si>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</si>
  <si>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</si>
  <si>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</si>
  <si>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</si>
  <si>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</si>
  <si>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</si>
  <si>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</si>
  <si>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</si>
  <si>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</si>
  <si>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</si>
  <si>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</si>
  <si>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</si>
  <si>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</si>
  <si>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</si>
  <si>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</si>
  <si>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SP TYPE</t>
  </si>
  <si>
    <t>inactive</t>
  </si>
  <si>
    <t>Constants</t>
  </si>
  <si>
    <t>c_con</t>
  </si>
  <si>
    <t>h_con</t>
  </si>
  <si>
    <t>k_con</t>
  </si>
  <si>
    <t>R_sun</t>
  </si>
  <si>
    <t>cminpc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</si>
</sst>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color rgb="FF000000"/>
      <name val="System-ui"/>
    </font>
    <font>
      <color rgb="FF000000"/>
      <name val="Calibri"/>
      <scheme val="minor"/>
    </font>
    <font>
      <sz val="12.0"/>
      <color theme="1"/>
      <name val="&quot;gg sans&quot;"/>
    </font>
    <font>
      <sz val="12.0"/>
      <color theme="0"/>
      <name val="Calibri"/>
    </font>
    <font>
      <color theme="1"/>
      <name val="Calibri"/>
      <scheme val="minor"/>
    </font>
    <font>
      <sz val="12.0"/>
      <color rgb="FFFF0000"/>
      <name val="Calibri"/>
    </font>
    <font>
      <b/>
      <sz val="12.0"/>
      <color rgb="FF7F7F7F"/>
      <name val="Calibri"/>
    </font>
    <font>
      <sz val="12.0"/>
      <color rgb="FF7F7F7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FFFC73"/>
        <bgColor rgb="FFFFFC73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18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Border="1" applyFill="1" applyFont="1"/>
    <xf borderId="2" fillId="4" fontId="4" numFmtId="0" xfId="0" applyBorder="1" applyFill="1" applyFont="1"/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6" fontId="4" numFmtId="0" xfId="0" applyBorder="1" applyFill="1" applyFont="1"/>
    <xf quotePrefix="1" borderId="6" fillId="2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6" fontId="4" numFmtId="11" xfId="0" applyBorder="1" applyFont="1" applyNumberFormat="1"/>
    <xf borderId="0" fillId="0" fontId="6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9" fillId="7" fontId="1" numFmtId="11" xfId="0" applyBorder="1" applyFill="1" applyFont="1" applyNumberFormat="1"/>
    <xf borderId="10" fillId="7" fontId="1" numFmtId="11" xfId="0" applyBorder="1" applyFont="1" applyNumberFormat="1"/>
    <xf borderId="11" fillId="7" fontId="1" numFmtId="11" xfId="0" applyBorder="1" applyFont="1" applyNumberFormat="1"/>
    <xf borderId="0" fillId="0" fontId="1" numFmtId="11" xfId="0" applyFont="1" applyNumberFormat="1"/>
    <xf borderId="0" fillId="0" fontId="7" numFmtId="0" xfId="0" applyAlignment="1" applyFont="1">
      <alignment readingOrder="0" shrinkToFit="0" wrapText="1"/>
    </xf>
    <xf borderId="0" fillId="8" fontId="6" numFmtId="0" xfId="0" applyAlignment="1" applyFill="1" applyFont="1">
      <alignment horizontal="right" readingOrder="0"/>
    </xf>
    <xf borderId="0" fillId="0" fontId="8" numFmtId="0" xfId="0" applyAlignment="1" applyFont="1">
      <alignment horizontal="left" readingOrder="0"/>
    </xf>
    <xf borderId="10" fillId="9" fontId="9" numFmtId="0" xfId="0" applyBorder="1" applyFill="1" applyFont="1"/>
    <xf borderId="10" fillId="9" fontId="9" numFmtId="2" xfId="0" applyBorder="1" applyFont="1" applyNumberFormat="1"/>
    <xf borderId="9" fillId="9" fontId="9" numFmtId="11" xfId="0" applyBorder="1" applyFont="1" applyNumberFormat="1"/>
    <xf borderId="10" fillId="9" fontId="9" numFmtId="11" xfId="0" applyBorder="1" applyFont="1" applyNumberFormat="1"/>
    <xf borderId="0" fillId="0" fontId="10" numFmtId="0" xfId="0" applyFont="1"/>
    <xf borderId="0" fillId="0" fontId="1" numFmtId="2" xfId="0" applyFont="1" applyNumberForma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12" fillId="0" fontId="1" numFmtId="11" xfId="0" applyBorder="1" applyFont="1" applyNumberFormat="1"/>
    <xf borderId="1" fillId="0" fontId="1" numFmtId="11" xfId="0" applyBorder="1" applyFont="1" applyNumberFormat="1"/>
    <xf borderId="13" fillId="0" fontId="1" numFmtId="11" xfId="0" applyBorder="1" applyFont="1" applyNumberFormat="1"/>
    <xf borderId="14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4" xfId="0" applyFont="1" applyNumberFormat="1"/>
    <xf borderId="15" fillId="2" fontId="1" numFmtId="0" xfId="0" applyBorder="1" applyFont="1"/>
    <xf borderId="15" fillId="4" fontId="1" numFmtId="0" xfId="0" applyBorder="1" applyFont="1"/>
    <xf borderId="15" fillId="3" fontId="1" numFmtId="0" xfId="0" applyBorder="1" applyFont="1"/>
    <xf borderId="16" fillId="5" fontId="1" numFmtId="0" xfId="0" applyBorder="1" applyFont="1"/>
    <xf borderId="16" fillId="6" fontId="1" numFmtId="0" xfId="0" applyBorder="1" applyFont="1"/>
    <xf borderId="0" fillId="0" fontId="11" numFmtId="0" xfId="0" applyFont="1"/>
    <xf borderId="0" fillId="0" fontId="1" numFmtId="20" xfId="0" applyFont="1" applyNumberFormat="1"/>
    <xf borderId="0" fillId="0" fontId="12" numFmtId="0" xfId="0" applyFont="1"/>
    <xf borderId="17" fillId="0" fontId="12" numFmtId="0" xfId="0" applyBorder="1" applyFont="1"/>
    <xf borderId="0" fillId="0" fontId="13" numFmtId="0" xfId="0" applyFont="1"/>
    <xf borderId="0" fillId="0" fontId="13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3" width="14.0"/>
    <col customWidth="1" min="4" max="5" width="10.56"/>
    <col customWidth="1" min="6" max="7" width="6.44"/>
    <col customWidth="1" min="8" max="8" width="12.11"/>
    <col customWidth="1" min="9" max="9" width="8.33"/>
    <col customWidth="1" min="10" max="13" width="9.0"/>
    <col customWidth="1" min="14" max="14" width="18.44"/>
    <col customWidth="1" min="15" max="16" width="19.78"/>
    <col customWidth="1" min="17" max="17" width="12.33"/>
    <col customWidth="1" min="18" max="18" width="12.67"/>
    <col customWidth="1" min="19" max="19" width="22.33"/>
    <col customWidth="1" min="20" max="21" width="10.56"/>
    <col customWidth="1" min="22" max="22" width="12.44"/>
    <col customWidth="1" min="23" max="26" width="10.56"/>
  </cols>
  <sheetData>
    <row r="1" ht="27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1"/>
      <c r="K1" s="4" t="s">
        <v>1</v>
      </c>
      <c r="L1" s="5"/>
      <c r="M1" s="5"/>
      <c r="N1" s="1" t="s">
        <v>2</v>
      </c>
      <c r="O1" s="1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4</v>
      </c>
      <c r="B2" s="7" t="s">
        <v>5</v>
      </c>
      <c r="C2" s="7" t="s">
        <v>6</v>
      </c>
      <c r="D2" s="8" t="s">
        <v>7</v>
      </c>
      <c r="E2" s="8" t="s">
        <v>8</v>
      </c>
      <c r="F2" s="9" t="s">
        <v>9</v>
      </c>
      <c r="G2" s="9" t="s">
        <v>10</v>
      </c>
      <c r="H2" s="8" t="s">
        <v>11</v>
      </c>
      <c r="I2" s="8" t="s">
        <v>12</v>
      </c>
      <c r="J2" s="8" t="s">
        <v>13</v>
      </c>
      <c r="K2" s="10" t="s">
        <v>14</v>
      </c>
      <c r="L2" s="11" t="s">
        <v>15</v>
      </c>
      <c r="M2" s="12" t="s">
        <v>16</v>
      </c>
      <c r="N2" s="13" t="s">
        <v>17</v>
      </c>
      <c r="O2" s="13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14" t="s">
        <v>26</v>
      </c>
      <c r="X2" s="14" t="s">
        <v>27</v>
      </c>
      <c r="Y2" s="14" t="s">
        <v>28</v>
      </c>
      <c r="Z2" s="14" t="s">
        <v>29</v>
      </c>
    </row>
    <row r="3" ht="15.75" customHeight="1">
      <c r="A3" s="15" t="s">
        <v>30</v>
      </c>
      <c r="B3" s="16" t="s">
        <v>30</v>
      </c>
      <c r="C3" s="16" t="s">
        <v>30</v>
      </c>
      <c r="D3" s="17" t="s">
        <v>31</v>
      </c>
      <c r="E3" s="18" t="s">
        <v>32</v>
      </c>
      <c r="F3" s="19" t="s">
        <v>31</v>
      </c>
      <c r="G3" s="19" t="s">
        <v>31</v>
      </c>
      <c r="H3" s="18" t="s">
        <v>33</v>
      </c>
      <c r="I3" s="18" t="s">
        <v>34</v>
      </c>
      <c r="J3" s="18" t="s">
        <v>35</v>
      </c>
      <c r="K3" s="20" t="s">
        <v>36</v>
      </c>
      <c r="L3" s="21" t="s">
        <v>36</v>
      </c>
      <c r="M3" s="22"/>
      <c r="N3" s="21"/>
      <c r="O3" s="21" t="s">
        <v>36</v>
      </c>
      <c r="P3" s="15" t="s">
        <v>30</v>
      </c>
      <c r="Q3" s="15" t="s">
        <v>30</v>
      </c>
      <c r="R3" s="15" t="s">
        <v>30</v>
      </c>
      <c r="S3" s="15" t="s">
        <v>30</v>
      </c>
      <c r="T3" s="15" t="s">
        <v>30</v>
      </c>
      <c r="U3" s="15" t="s">
        <v>30</v>
      </c>
      <c r="V3" s="15" t="s">
        <v>30</v>
      </c>
      <c r="W3" s="23" t="s">
        <v>36</v>
      </c>
      <c r="X3" s="23" t="s">
        <v>36</v>
      </c>
      <c r="Y3" s="23" t="s">
        <v>36</v>
      </c>
      <c r="Z3" s="23" t="s">
        <v>36</v>
      </c>
    </row>
    <row r="4" ht="15.75" customHeight="1">
      <c r="A4" s="24" t="s">
        <v>37</v>
      </c>
      <c r="B4" s="25" t="s">
        <v>38</v>
      </c>
      <c r="C4" s="1"/>
      <c r="D4" s="1"/>
      <c r="E4" s="1"/>
      <c r="H4" s="24">
        <v>3433.0</v>
      </c>
      <c r="I4" s="24">
        <v>22.034</v>
      </c>
      <c r="J4" s="24">
        <v>0.43</v>
      </c>
      <c r="K4" s="26">
        <f t="shared" ref="K4:K23" si="1">10^(0.32+0.92*LOG10(W4))</f>
        <v>0.00000004112254647</v>
      </c>
      <c r="L4" s="27">
        <f t="shared" ref="L4:L23" si="2">10^(2.4+1.1*LOG10(W4))</f>
        <v>0.0000001536031068</v>
      </c>
      <c r="M4" s="28">
        <f t="shared" ref="M4:M23" si="3">MAX(N4:O4)</f>
        <v>0.000001521534219</v>
      </c>
      <c r="N4" s="29">
        <f t="shared" ref="N4:N23" si="4">37*K4</f>
        <v>0.000001521534219</v>
      </c>
      <c r="O4" s="29">
        <f>Z4*((J4*R_sun)/(I4*cminpc))^2</f>
        <v>0.0000000003373653425</v>
      </c>
      <c r="P4" s="1"/>
      <c r="Q4" s="1"/>
      <c r="R4" s="1"/>
      <c r="S4" s="1"/>
      <c r="T4" s="1"/>
      <c r="U4" s="1"/>
      <c r="V4" s="1"/>
      <c r="W4" s="29">
        <f t="shared" ref="W4:W23" si="5">10^(-0.4*(D4+F4+20.94))</f>
        <v>0.000000004207266284</v>
      </c>
      <c r="X4" s="29">
        <f>(W4*100000000-((J4*R_sun)/(I4*cminpc))^2*PI()*((2*h_con*c_con^2/0.0000365^5)*(1/(EXP(h_con*c_con/(0.0000365*k_con*H4))-1))))/(((J4*R_sun)/(I4*cminpc))^2*PI()*((2*h_con*c_con^2/0.0000365^5)*(1/(EXP(h_con*c_con/(0.0000365*k_con*9000))-1))))</f>
        <v>296.6504834</v>
      </c>
      <c r="Y4" s="29">
        <f>X4*PI()*(((2*h_con*c_con^2/0.0000135^5)*(1/(EXP(h_con*c_con/(0.0000135*k_con*9000))-1)))+((2*h_con*c_con^2/0.0000175^5)*(1/(EXP(h_con*c_con/(0.0000175*k_con*9000))-1))))/2*(1750-1350)/100000000</f>
        <v>1814816617045</v>
      </c>
      <c r="Z4" s="29">
        <f t="shared" ref="Z4:Z23" si="6">10^(0.43*LOG10(Y4)+3.97)</f>
        <v>1743002786</v>
      </c>
    </row>
    <row r="5" ht="15.75" customHeight="1">
      <c r="A5" s="24" t="s">
        <v>39</v>
      </c>
      <c r="B5" s="25" t="s">
        <v>40</v>
      </c>
      <c r="C5" s="1"/>
      <c r="D5" s="1"/>
      <c r="E5" s="1"/>
      <c r="H5" s="24">
        <v>3496.0</v>
      </c>
      <c r="I5" s="24">
        <v>24.74</v>
      </c>
      <c r="J5" s="24">
        <v>0.34</v>
      </c>
      <c r="K5" s="26">
        <f t="shared" si="1"/>
        <v>0.00000004112254647</v>
      </c>
      <c r="L5" s="27">
        <f t="shared" si="2"/>
        <v>0.0000001536031068</v>
      </c>
      <c r="M5" s="28">
        <f t="shared" si="3"/>
        <v>0.000001521534219</v>
      </c>
      <c r="N5" s="29">
        <f t="shared" si="4"/>
        <v>0.000001521534219</v>
      </c>
      <c r="O5" s="29">
        <f>Z5*((J5*R_sun)/(I5*cminpc))^2</f>
        <v>0.0000000002261951829</v>
      </c>
      <c r="P5" s="1"/>
      <c r="Q5" s="1"/>
      <c r="R5" s="1"/>
      <c r="S5" s="1"/>
      <c r="T5" s="1"/>
      <c r="U5" s="1"/>
      <c r="V5" s="1"/>
      <c r="W5" s="29">
        <f t="shared" si="5"/>
        <v>0.000000004207266284</v>
      </c>
      <c r="X5" s="29">
        <f>(W5*100000000-((J5*R_sun)/(I5*cminpc))^2*PI()*((2*h_con*c_con^2/0.0000365^5)*(1/(EXP(h_con*c_con/(0.0000365*k_con*H5))-1))))/(((J5*R_sun)/(I5*cminpc))^2*PI()*((2*h_con*c_con^2/0.0000365^5)*(1/(EXP(h_con*c_con/(0.0000365*k_con*9000))-1))))</f>
        <v>598.1874565</v>
      </c>
      <c r="Y5" s="29">
        <f>X5*PI()*(((2*h_con*c_con^2/0.0000135^5)*(1/(EXP(h_con*c_con/(0.0000135*k_con*9000))-1)))+((2*h_con*c_con^2/0.0000175^5)*(1/(EXP(h_con*c_con/(0.0000175*k_con*9000))-1))))/2*(1750-1350)/100000000</f>
        <v>3659527278729</v>
      </c>
      <c r="Z5" s="29">
        <f t="shared" si="6"/>
        <v>2356528764</v>
      </c>
    </row>
    <row r="6" ht="15.75" customHeight="1">
      <c r="A6" s="24" t="s">
        <v>41</v>
      </c>
      <c r="B6" s="25" t="s">
        <v>38</v>
      </c>
      <c r="C6" s="1"/>
      <c r="D6" s="1"/>
      <c r="E6" s="1"/>
      <c r="H6" s="24">
        <v>3690.0</v>
      </c>
      <c r="I6" s="24">
        <v>45.131</v>
      </c>
      <c r="J6" s="24">
        <v>0.52</v>
      </c>
      <c r="K6" s="26">
        <f t="shared" si="1"/>
        <v>0.00000004112254647</v>
      </c>
      <c r="L6" s="27">
        <f t="shared" si="2"/>
        <v>0.0000001536031068</v>
      </c>
      <c r="M6" s="28">
        <f t="shared" si="3"/>
        <v>0.000001521534219</v>
      </c>
      <c r="N6" s="29">
        <f t="shared" si="4"/>
        <v>0.000001521534219</v>
      </c>
      <c r="O6" s="29">
        <f>Z6*((J6*R_sun)/(I6*cminpc))^2</f>
        <v>0.0000000001850185681</v>
      </c>
      <c r="P6" s="1"/>
      <c r="Q6" s="1"/>
      <c r="R6" s="1"/>
      <c r="S6" s="1"/>
      <c r="T6" s="1"/>
      <c r="U6" s="1"/>
      <c r="V6" s="1"/>
      <c r="W6" s="29">
        <f t="shared" si="5"/>
        <v>0.000000004207266284</v>
      </c>
      <c r="X6" s="29">
        <f>(W6*100000000-((J6*R_sun)/(I6*cminpc))^2*PI()*((2*h_con*c_con^2/0.0000365^5)*(1/(EXP(h_con*c_con/(0.0000365*k_con*H6))-1))))/(((J6*R_sun)/(I6*cminpc))^2*PI()*((2*h_con*c_con^2/0.0000365^5)*(1/(EXP(h_con*c_con/(0.0000365*k_con*9000))-1))))</f>
        <v>851.0180554</v>
      </c>
      <c r="Y6" s="29">
        <f>X6*PI()*(((2*h_con*c_con^2/0.0000135^5)*(1/(EXP(h_con*c_con/(0.0000135*k_con*9000))-1)))+((2*h_con*c_con^2/0.0000175^5)*(1/(EXP(h_con*c_con/(0.0000175*k_con*9000))-1))))/2*(1750-1350)/100000000</f>
        <v>5206267290896</v>
      </c>
      <c r="Z6" s="29">
        <f t="shared" si="6"/>
        <v>2742245789</v>
      </c>
    </row>
    <row r="7" ht="15.75" customHeight="1">
      <c r="A7" s="24" t="s">
        <v>42</v>
      </c>
      <c r="B7" s="25" t="s">
        <v>40</v>
      </c>
      <c r="C7" s="25" t="s">
        <v>43</v>
      </c>
      <c r="D7" s="25">
        <v>17.0</v>
      </c>
      <c r="E7" s="30">
        <v>2.37</v>
      </c>
      <c r="H7" s="24">
        <v>3216.0</v>
      </c>
      <c r="I7" s="24">
        <v>14.002</v>
      </c>
      <c r="J7" s="24">
        <v>0.19</v>
      </c>
      <c r="K7" s="26">
        <f t="shared" si="1"/>
        <v>0</v>
      </c>
      <c r="L7" s="27">
        <f t="shared" si="2"/>
        <v>0</v>
      </c>
      <c r="M7" s="28" t="str">
        <f t="shared" si="3"/>
        <v>#NUM!</v>
      </c>
      <c r="N7" s="29">
        <f t="shared" si="4"/>
        <v>0</v>
      </c>
      <c r="O7" s="29" t="str">
        <f>Z7*((J7*R_sun)/(I7*cminpc))^2</f>
        <v>#NUM!</v>
      </c>
      <c r="P7" s="1"/>
      <c r="Q7" s="1"/>
      <c r="R7" s="1"/>
      <c r="S7" s="1"/>
      <c r="T7" s="1"/>
      <c r="U7" s="1"/>
      <c r="V7" s="1"/>
      <c r="W7" s="29">
        <f t="shared" si="5"/>
        <v>0</v>
      </c>
      <c r="X7" s="29">
        <f>(W7*100000000-((J7*R_sun)/(I7*cminpc))^2*PI()*((2*h_con*c_con^2/0.0000365^5)*(1/(EXP(h_con*c_con/(0.0000365*k_con*H7))-1))))/(((J7*R_sun)/(I7*cminpc))^2*PI()*((2*h_con*c_con^2/0.0000365^5)*(1/(EXP(h_con*c_con/(0.0000365*k_con*9000))-1))))</f>
        <v>-0.0002773155475</v>
      </c>
      <c r="Y7" s="29">
        <f>X7*PI()*(((2*h_con*c_con^2/0.0000135^5)*(1/(EXP(h_con*c_con/(0.0000135*k_con*9000))-1)))+((2*h_con*c_con^2/0.0000175^5)*(1/(EXP(h_con*c_con/(0.0000175*k_con*9000))-1))))/2*(1750-1350)/100000000</f>
        <v>-1696531.413</v>
      </c>
      <c r="Z7" s="29" t="str">
        <f t="shared" si="6"/>
        <v>#NUM!</v>
      </c>
    </row>
    <row r="8" ht="15.75" customHeight="1">
      <c r="A8" s="31" t="s">
        <v>44</v>
      </c>
      <c r="B8" s="25" t="s">
        <v>38</v>
      </c>
      <c r="C8" s="1"/>
      <c r="D8" s="1"/>
      <c r="E8" s="1"/>
      <c r="H8" s="24">
        <v>4036.0</v>
      </c>
      <c r="I8" s="24">
        <v>19.142</v>
      </c>
      <c r="J8" s="24">
        <v>0.661</v>
      </c>
      <c r="K8" s="26">
        <f t="shared" si="1"/>
        <v>0.00000004112254647</v>
      </c>
      <c r="L8" s="27">
        <f t="shared" si="2"/>
        <v>0.0000001536031068</v>
      </c>
      <c r="M8" s="28">
        <f t="shared" si="3"/>
        <v>0.000001521534219</v>
      </c>
      <c r="N8" s="29">
        <f t="shared" si="4"/>
        <v>0.000001521534219</v>
      </c>
      <c r="O8" s="29">
        <f>Z8*((J8*R_sun)/(I8*cminpc))^2</f>
        <v>0.0000000006465893873</v>
      </c>
      <c r="P8" s="1"/>
      <c r="Q8" s="1"/>
      <c r="R8" s="1"/>
      <c r="S8" s="1"/>
      <c r="T8" s="1"/>
      <c r="U8" s="1"/>
      <c r="V8" s="1"/>
      <c r="W8" s="29">
        <f t="shared" si="5"/>
        <v>0.000000004207266284</v>
      </c>
      <c r="X8" s="29">
        <f>(W8*100000000-((J8*R_sun)/(I8*cminpc))^2*PI()*((2*h_con*c_con^2/0.0000365^5)*(1/(EXP(h_con*c_con/(0.0000365*k_con*H8))-1))))/(((J8*R_sun)/(I8*cminpc))^2*PI()*((2*h_con*c_con^2/0.0000365^5)*(1/(EXP(h_con*c_con/(0.0000365*k_con*9000))-1))))</f>
        <v>94.74307174</v>
      </c>
      <c r="Y8" s="29">
        <f>X8*PI()*(((2*h_con*c_con^2/0.0000135^5)*(1/(EXP(h_con*c_con/(0.0000135*k_con*9000))-1)))+((2*h_con*c_con^2/0.0000175^5)*(1/(EXP(h_con*c_con/(0.0000175*k_con*9000))-1))))/2*(1750-1350)/100000000</f>
        <v>579609036843</v>
      </c>
      <c r="Z8" s="29">
        <f t="shared" si="6"/>
        <v>1066959940</v>
      </c>
    </row>
    <row r="9" ht="15.75" customHeight="1">
      <c r="A9" s="24" t="s">
        <v>45</v>
      </c>
      <c r="B9" s="25" t="s">
        <v>38</v>
      </c>
      <c r="C9" s="1"/>
      <c r="D9" s="1"/>
      <c r="E9" s="1"/>
      <c r="H9" s="24">
        <v>3459.0</v>
      </c>
      <c r="I9" s="24">
        <v>31.127</v>
      </c>
      <c r="J9" s="24">
        <v>0.42</v>
      </c>
      <c r="K9" s="26">
        <f t="shared" si="1"/>
        <v>0.00000004112254647</v>
      </c>
      <c r="L9" s="27">
        <f t="shared" si="2"/>
        <v>0.0000001536031068</v>
      </c>
      <c r="M9" s="28">
        <f t="shared" si="3"/>
        <v>0.000001521534219</v>
      </c>
      <c r="N9" s="29">
        <f t="shared" si="4"/>
        <v>0.000001521534219</v>
      </c>
      <c r="O9" s="29">
        <f>Z9*((J9*R_sun)/(I9*cminpc))^2</f>
        <v>0.0000000002215138028</v>
      </c>
      <c r="P9" s="1"/>
      <c r="Q9" s="1"/>
      <c r="R9" s="1"/>
      <c r="S9" s="1"/>
      <c r="T9" s="1"/>
      <c r="U9" s="1"/>
      <c r="V9" s="1"/>
      <c r="W9" s="29">
        <f t="shared" si="5"/>
        <v>0.000000004207266284</v>
      </c>
      <c r="X9" s="29">
        <f>(W9*100000000-((J9*R_sun)/(I9*cminpc))^2*PI()*((2*h_con*c_con^2/0.0000365^5)*(1/(EXP(h_con*c_con/(0.0000365*k_con*H9))-1))))/(((J9*R_sun)/(I9*cminpc))^2*PI()*((2*h_con*c_con^2/0.0000365^5)*(1/(EXP(h_con*c_con/(0.0000365*k_con*9000))-1))))</f>
        <v>620.5428868</v>
      </c>
      <c r="Y9" s="29">
        <f>X9*PI()*(((2*h_con*c_con^2/0.0000135^5)*(1/(EXP(h_con*c_con/(0.0000135*k_con*9000))-1)))+((2*h_con*c_con^2/0.0000175^5)*(1/(EXP(h_con*c_con/(0.0000175*k_con*9000))-1))))/2*(1750-1350)/100000000</f>
        <v>3796290940339</v>
      </c>
      <c r="Z9" s="29">
        <f t="shared" si="6"/>
        <v>2394002392</v>
      </c>
    </row>
    <row r="10" ht="15.75" customHeight="1">
      <c r="A10" s="31" t="s">
        <v>46</v>
      </c>
      <c r="B10" s="25" t="s">
        <v>38</v>
      </c>
      <c r="C10" s="1"/>
      <c r="D10" s="1"/>
      <c r="E10" s="1"/>
      <c r="H10" s="24">
        <v>3691.0</v>
      </c>
      <c r="I10" s="24">
        <v>35.692</v>
      </c>
      <c r="J10" s="24">
        <v>0.53</v>
      </c>
      <c r="K10" s="26">
        <f t="shared" si="1"/>
        <v>0.00000004112254647</v>
      </c>
      <c r="L10" s="27">
        <f t="shared" si="2"/>
        <v>0.0000001536031068</v>
      </c>
      <c r="M10" s="28">
        <f t="shared" si="3"/>
        <v>0.000001521534219</v>
      </c>
      <c r="N10" s="29">
        <f t="shared" si="4"/>
        <v>0.000001521534219</v>
      </c>
      <c r="O10" s="29">
        <f>Z10*((J10*R_sun)/(I10*cminpc))^2</f>
        <v>0.0000000002470679282</v>
      </c>
      <c r="P10" s="1"/>
      <c r="Q10" s="1"/>
      <c r="R10" s="1"/>
      <c r="S10" s="1"/>
      <c r="T10" s="1"/>
      <c r="U10" s="1"/>
      <c r="V10" s="1"/>
      <c r="W10" s="29">
        <f t="shared" si="5"/>
        <v>0.000000004207266284</v>
      </c>
      <c r="X10" s="29">
        <f>(W10*100000000-((J10*R_sun)/(I10*cminpc))^2*PI()*((2*h_con*c_con^2/0.0000365^5)*(1/(EXP(h_con*c_con/(0.0000365*k_con*H10))-1))))/(((J10*R_sun)/(I10*cminpc))^2*PI()*((2*h_con*c_con^2/0.0000365^5)*(1/(EXP(h_con*c_con/(0.0000365*k_con*9000))-1))))</f>
        <v>512.3714984</v>
      </c>
      <c r="Y10" s="29">
        <f>X10*PI()*(((2*h_con*c_con^2/0.0000135^5)*(1/(EXP(h_con*c_con/(0.0000135*k_con*9000))-1)))+((2*h_con*c_con^2/0.0000175^5)*(1/(EXP(h_con*c_con/(0.0000175*k_con*9000))-1))))/2*(1750-1350)/100000000</f>
        <v>3134531583766</v>
      </c>
      <c r="Z10" s="29">
        <f t="shared" si="6"/>
        <v>2204724050</v>
      </c>
    </row>
    <row r="11" ht="15.75" customHeight="1">
      <c r="A11" s="24" t="s">
        <v>47</v>
      </c>
      <c r="B11" s="25" t="s">
        <v>38</v>
      </c>
      <c r="C11" s="1"/>
      <c r="D11" s="1"/>
      <c r="E11" s="1"/>
      <c r="H11" s="24">
        <v>3348.0</v>
      </c>
      <c r="I11" s="24">
        <v>27.928</v>
      </c>
      <c r="J11" s="24">
        <v>0.31</v>
      </c>
      <c r="K11" s="26">
        <f t="shared" si="1"/>
        <v>0.00000004112254647</v>
      </c>
      <c r="L11" s="27">
        <f t="shared" si="2"/>
        <v>0.0000001536031068</v>
      </c>
      <c r="M11" s="28">
        <f t="shared" si="3"/>
        <v>0.000001521534219</v>
      </c>
      <c r="N11" s="29">
        <f t="shared" si="4"/>
        <v>0.000001521534219</v>
      </c>
      <c r="O11" s="29">
        <f>Z11*((J11*R_sun)/(I11*cminpc))^2</f>
        <v>0.0000000001773128236</v>
      </c>
      <c r="P11" s="1"/>
      <c r="Q11" s="1"/>
      <c r="R11" s="1"/>
      <c r="S11" s="1"/>
      <c r="T11" s="1"/>
      <c r="U11" s="1"/>
      <c r="V11" s="1"/>
      <c r="W11" s="29">
        <f t="shared" si="5"/>
        <v>0.000000004207266284</v>
      </c>
      <c r="X11" s="29">
        <f>(W11*100000000-((J11*R_sun)/(I11*cminpc))^2*PI()*((2*h_con*c_con^2/0.0000365^5)*(1/(EXP(h_con*c_con/(0.0000365*k_con*H11))-1))))/(((J11*R_sun)/(I11*cminpc))^2*PI()*((2*h_con*c_con^2/0.0000365^5)*(1/(EXP(h_con*c_con/(0.0000365*k_con*9000))-1))))</f>
        <v>916.9643843</v>
      </c>
      <c r="Y11" s="29">
        <f>X11*PI()*(((2*h_con*c_con^2/0.0000135^5)*(1/(EXP(h_con*c_con/(0.0000135*k_con*9000))-1)))+((2*h_con*c_con^2/0.0000175^5)*(1/(EXP(h_con*c_con/(0.0000175*k_con*9000))-1))))/2*(1750-1350)/100000000</f>
        <v>5609706692007</v>
      </c>
      <c r="Z11" s="29">
        <f t="shared" si="6"/>
        <v>2831680606</v>
      </c>
    </row>
    <row r="12" ht="15.75" customHeight="1">
      <c r="A12" s="24" t="s">
        <v>48</v>
      </c>
      <c r="B12" s="25" t="s">
        <v>38</v>
      </c>
      <c r="C12" s="1"/>
      <c r="D12" s="1"/>
      <c r="E12" s="1"/>
      <c r="H12" s="24">
        <v>3708.0</v>
      </c>
      <c r="I12" s="24">
        <v>33.023</v>
      </c>
      <c r="J12" s="24">
        <v>0.55</v>
      </c>
      <c r="K12" s="26">
        <f t="shared" si="1"/>
        <v>0.00000004112254647</v>
      </c>
      <c r="L12" s="27">
        <f t="shared" si="2"/>
        <v>0.0000001536031068</v>
      </c>
      <c r="M12" s="28">
        <f t="shared" si="3"/>
        <v>0.000001521534219</v>
      </c>
      <c r="N12" s="29">
        <f t="shared" si="4"/>
        <v>0.000001521534219</v>
      </c>
      <c r="O12" s="29">
        <f>Z12*((J12*R_sun)/(I12*cminpc))^2</f>
        <v>0.0000000002816015922</v>
      </c>
      <c r="P12" s="1"/>
      <c r="Q12" s="1"/>
      <c r="R12" s="1"/>
      <c r="S12" s="1"/>
      <c r="T12" s="1"/>
      <c r="U12" s="1"/>
      <c r="V12" s="1"/>
      <c r="W12" s="29">
        <f t="shared" si="5"/>
        <v>0.000000004207266284</v>
      </c>
      <c r="X12" s="29">
        <f>(W12*100000000-((J12*R_sun)/(I12*cminpc))^2*PI()*((2*h_con*c_con^2/0.0000365^5)*(1/(EXP(h_con*c_con/(0.0000365*k_con*H12))-1))))/(((J12*R_sun)/(I12*cminpc))^2*PI()*((2*h_con*c_con^2/0.0000365^5)*(1/(EXP(h_con*c_con/(0.0000365*k_con*9000))-1))))</f>
        <v>407.2884649</v>
      </c>
      <c r="Y12" s="29">
        <f>X12*PI()*(((2*h_con*c_con^2/0.0000135^5)*(1/(EXP(h_con*c_con/(0.0000135*k_con*9000))-1)))+((2*h_con*c_con^2/0.0000175^5)*(1/(EXP(h_con*c_con/(0.0000175*k_con*9000))-1))))/2*(1750-1350)/100000000</f>
        <v>2491665833997</v>
      </c>
      <c r="Z12" s="29">
        <f t="shared" si="6"/>
        <v>1997517592</v>
      </c>
    </row>
    <row r="13" ht="15.75" customHeight="1">
      <c r="A13" s="24" t="s">
        <v>49</v>
      </c>
      <c r="B13" s="25" t="s">
        <v>38</v>
      </c>
      <c r="C13" s="1"/>
      <c r="D13" s="1"/>
      <c r="E13" s="1"/>
      <c r="H13" s="24">
        <v>3505.0</v>
      </c>
      <c r="I13" s="24">
        <v>9.442</v>
      </c>
      <c r="J13" s="24">
        <v>0.34</v>
      </c>
      <c r="K13" s="26">
        <f t="shared" si="1"/>
        <v>0.00000004112254647</v>
      </c>
      <c r="L13" s="27">
        <f t="shared" si="2"/>
        <v>0.0000001536031068</v>
      </c>
      <c r="M13" s="28">
        <f t="shared" si="3"/>
        <v>0.000001521534219</v>
      </c>
      <c r="N13" s="29">
        <f t="shared" si="4"/>
        <v>0.000001521534219</v>
      </c>
      <c r="O13" s="29">
        <f>Z13*((J13*R_sun)/(I13*cminpc))^2</f>
        <v>0.0000000006782411811</v>
      </c>
      <c r="P13" s="1"/>
      <c r="Q13" s="1"/>
      <c r="R13" s="1"/>
      <c r="S13" s="1"/>
      <c r="T13" s="1"/>
      <c r="U13" s="1"/>
      <c r="V13" s="1"/>
      <c r="W13" s="29">
        <f t="shared" si="5"/>
        <v>0.000000004207266284</v>
      </c>
      <c r="X13" s="29">
        <f>(W13*100000000-((J13*R_sun)/(I13*cminpc))^2*PI()*((2*h_con*c_con^2/0.0000365^5)*(1/(EXP(h_con*c_con/(0.0000365*k_con*H13))-1))))/(((J13*R_sun)/(I13*cminpc))^2*PI()*((2*h_con*c_con^2/0.0000365^5)*(1/(EXP(h_con*c_con/(0.0000365*k_con*9000))-1))))</f>
        <v>87.12875334</v>
      </c>
      <c r="Y13" s="29">
        <f>X13*PI()*(((2*h_con*c_con^2/0.0000135^5)*(1/(EXP(h_con*c_con/(0.0000135*k_con*9000))-1)))+((2*h_con*c_con^2/0.0000175^5)*(1/(EXP(h_con*c_con/(0.0000175*k_con*9000))-1))))/2*(1750-1350)/100000000</f>
        <v>533026973637</v>
      </c>
      <c r="Z13" s="29">
        <f t="shared" si="6"/>
        <v>1029205623</v>
      </c>
    </row>
    <row r="14" ht="15.75" customHeight="1">
      <c r="A14" s="31" t="s">
        <v>50</v>
      </c>
      <c r="B14" s="25" t="s">
        <v>38</v>
      </c>
      <c r="C14" s="1"/>
      <c r="D14" s="1"/>
      <c r="E14" s="1"/>
      <c r="H14" s="24">
        <v>3495.0</v>
      </c>
      <c r="I14" s="24">
        <v>18.523</v>
      </c>
      <c r="J14" s="24">
        <v>0.31</v>
      </c>
      <c r="K14" s="26">
        <f t="shared" si="1"/>
        <v>0.00000004112254647</v>
      </c>
      <c r="L14" s="27">
        <f t="shared" si="2"/>
        <v>0.0000001536031068</v>
      </c>
      <c r="M14" s="28">
        <f t="shared" si="3"/>
        <v>0.000001521534219</v>
      </c>
      <c r="N14" s="29">
        <f t="shared" si="4"/>
        <v>0.000001521534219</v>
      </c>
      <c r="O14" s="29">
        <f>Z14*((J14*R_sun)/(I14*cminpc))^2</f>
        <v>0.0000000002831615679</v>
      </c>
      <c r="P14" s="1"/>
      <c r="Q14" s="1"/>
      <c r="R14" s="1"/>
      <c r="S14" s="1"/>
      <c r="T14" s="1"/>
      <c r="U14" s="1"/>
      <c r="V14" s="1"/>
      <c r="W14" s="29">
        <f t="shared" si="5"/>
        <v>0.000000004207266284</v>
      </c>
      <c r="X14" s="29">
        <f>(W14*100000000-((J14*R_sun)/(I14*cminpc))^2*PI()*((2*h_con*c_con^2/0.0000365^5)*(1/(EXP(h_con*c_con/(0.0000365*k_con*H14))-1))))/(((J14*R_sun)/(I14*cminpc))^2*PI()*((2*h_con*c_con^2/0.0000365^5)*(1/(EXP(h_con*c_con/(0.0000365*k_con*9000))-1))))</f>
        <v>403.3617051</v>
      </c>
      <c r="Y14" s="29">
        <f>X14*PI()*(((2*h_con*c_con^2/0.0000135^5)*(1/(EXP(h_con*c_con/(0.0000135*k_con*9000))-1)))+((2*h_con*c_con^2/0.0000175^5)*(1/(EXP(h_con*c_con/(0.0000175*k_con*9000))-1))))/2*(1750-1350)/100000000</f>
        <v>2467643122438</v>
      </c>
      <c r="Z14" s="29">
        <f t="shared" si="6"/>
        <v>1989213559</v>
      </c>
    </row>
    <row r="15" ht="15.75" customHeight="1">
      <c r="A15" s="24" t="s">
        <v>51</v>
      </c>
      <c r="B15" s="25" t="s">
        <v>40</v>
      </c>
      <c r="C15" s="1"/>
      <c r="D15" s="1"/>
      <c r="E15" s="1"/>
      <c r="H15" s="24">
        <v>3360.0</v>
      </c>
      <c r="I15" s="24">
        <v>21.981</v>
      </c>
      <c r="J15" s="24">
        <v>0.38</v>
      </c>
      <c r="K15" s="26">
        <f t="shared" si="1"/>
        <v>0.00000004112254647</v>
      </c>
      <c r="L15" s="27">
        <f t="shared" si="2"/>
        <v>0.0000001536031068</v>
      </c>
      <c r="M15" s="28">
        <f t="shared" si="3"/>
        <v>0.000001521534219</v>
      </c>
      <c r="N15" s="29">
        <f t="shared" si="4"/>
        <v>0.000001521534219</v>
      </c>
      <c r="O15" s="29">
        <f>Z15*((J15*R_sun)/(I15*cminpc))^2</f>
        <v>0.0000000002938273713</v>
      </c>
      <c r="P15" s="1"/>
      <c r="Q15" s="1"/>
      <c r="R15" s="1"/>
      <c r="S15" s="1"/>
      <c r="T15" s="1"/>
      <c r="U15" s="1"/>
      <c r="V15" s="1"/>
      <c r="W15" s="29">
        <f t="shared" si="5"/>
        <v>0.000000004207266284</v>
      </c>
      <c r="X15" s="29">
        <f>(W15*100000000-((J15*R_sun)/(I15*cminpc))^2*PI()*((2*h_con*c_con^2/0.0000365^5)*(1/(EXP(h_con*c_con/(0.0000365*k_con*H15))-1))))/(((J15*R_sun)/(I15*cminpc))^2*PI()*((2*h_con*c_con^2/0.0000365^5)*(1/(EXP(h_con*c_con/(0.0000365*k_con*9000))-1))))</f>
        <v>378.0275424</v>
      </c>
      <c r="Y15" s="29">
        <f>X15*PI()*(((2*h_con*c_con^2/0.0000135^5)*(1/(EXP(h_con*c_con/(0.0000135*k_con*9000))-1)))+((2*h_con*c_con^2/0.0000175^5)*(1/(EXP(h_con*c_con/(0.0000175*k_con*9000))-1))))/2*(1750-1350)/100000000</f>
        <v>2312656490143</v>
      </c>
      <c r="Z15" s="29">
        <f t="shared" si="6"/>
        <v>1934495776</v>
      </c>
    </row>
    <row r="16" ht="15.75" customHeight="1">
      <c r="A16" s="24" t="s">
        <v>52</v>
      </c>
      <c r="B16" s="25" t="s">
        <v>38</v>
      </c>
      <c r="C16" s="1"/>
      <c r="D16" s="1"/>
      <c r="E16" s="1"/>
      <c r="H16" s="24">
        <v>3863.0</v>
      </c>
      <c r="I16" s="24">
        <v>30.68</v>
      </c>
      <c r="J16" s="24">
        <v>0.55</v>
      </c>
      <c r="K16" s="26">
        <f t="shared" si="1"/>
        <v>0.00000004112254647</v>
      </c>
      <c r="L16" s="27">
        <f t="shared" si="2"/>
        <v>0.0000001536031068</v>
      </c>
      <c r="M16" s="28">
        <f t="shared" si="3"/>
        <v>0.000001521534219</v>
      </c>
      <c r="N16" s="29">
        <f t="shared" si="4"/>
        <v>0.000001521534219</v>
      </c>
      <c r="O16" s="29">
        <f>Z16*((J16*R_sun)/(I16*cminpc))^2</f>
        <v>0.0000000003062458147</v>
      </c>
      <c r="P16" s="1"/>
      <c r="Q16" s="1"/>
      <c r="R16" s="1"/>
      <c r="S16" s="1"/>
      <c r="T16" s="1"/>
      <c r="U16" s="1"/>
      <c r="V16" s="1"/>
      <c r="W16" s="29">
        <f t="shared" si="5"/>
        <v>0.000000004207266284</v>
      </c>
      <c r="X16" s="29">
        <f>(W16*100000000-((J16*R_sun)/(I16*cminpc))^2*PI()*((2*h_con*c_con^2/0.0000365^5)*(1/(EXP(h_con*c_con/(0.0000365*k_con*H16))-1))))/(((J16*R_sun)/(I16*cminpc))^2*PI()*((2*h_con*c_con^2/0.0000365^5)*(1/(EXP(h_con*c_con/(0.0000365*k_con*9000))-1))))</f>
        <v>351.5427922</v>
      </c>
      <c r="Y16" s="29">
        <f>X16*PI()*(((2*h_con*c_con^2/0.0000135^5)*(1/(EXP(h_con*c_con/(0.0000135*k_con*9000))-1)))+((2*h_con*c_con^2/0.0000175^5)*(1/(EXP(h_con*c_con/(0.0000175*k_con*9000))-1))))/2*(1750-1350)/100000000</f>
        <v>2150630916598</v>
      </c>
      <c r="Z16" s="29">
        <f t="shared" si="6"/>
        <v>1875008887</v>
      </c>
    </row>
    <row r="17" ht="15.75" customHeight="1">
      <c r="A17" s="24" t="s">
        <v>53</v>
      </c>
      <c r="B17" s="25" t="s">
        <v>40</v>
      </c>
      <c r="C17" s="1"/>
      <c r="D17" s="1"/>
      <c r="E17" s="1"/>
      <c r="H17" s="24">
        <v>3600.0</v>
      </c>
      <c r="I17" s="24">
        <v>36.012</v>
      </c>
      <c r="J17" s="24">
        <v>0.42</v>
      </c>
      <c r="K17" s="26">
        <f t="shared" si="1"/>
        <v>0.00000004112254647</v>
      </c>
      <c r="L17" s="27">
        <f t="shared" si="2"/>
        <v>0.0000001536031068</v>
      </c>
      <c r="M17" s="28">
        <f t="shared" si="3"/>
        <v>0.000001521534219</v>
      </c>
      <c r="N17" s="29">
        <f t="shared" si="4"/>
        <v>0.000001521534219</v>
      </c>
      <c r="O17" s="29">
        <f>Z17*((J17*R_sun)/(I17*cminpc))^2</f>
        <v>0.0000000001875976422</v>
      </c>
      <c r="P17" s="1"/>
      <c r="Q17" s="1"/>
      <c r="R17" s="1"/>
      <c r="S17" s="1"/>
      <c r="T17" s="1"/>
      <c r="U17" s="1"/>
      <c r="V17" s="1"/>
      <c r="W17" s="29">
        <f t="shared" si="5"/>
        <v>0.000000004207266284</v>
      </c>
      <c r="X17" s="29">
        <f>(W17*100000000-((J17*R_sun)/(I17*cminpc))^2*PI()*((2*h_con*c_con^2/0.0000365^5)*(1/(EXP(h_con*c_con/(0.0000365*k_con*H17))-1))))/(((J17*R_sun)/(I17*cminpc))^2*PI()*((2*h_con*c_con^2/0.0000365^5)*(1/(EXP(h_con*c_con/(0.0000365*k_con*9000))-1))))</f>
        <v>830.5994696</v>
      </c>
      <c r="Y17" s="29">
        <f>X17*PI()*(((2*h_con*c_con^2/0.0000135^5)*(1/(EXP(h_con*c_con/(0.0000135*k_con*9000))-1)))+((2*h_con*c_con^2/0.0000175^5)*(1/(EXP(h_con*c_con/(0.0000175*k_con*9000))-1))))/2*(1750-1350)/100000000</f>
        <v>5081352649174</v>
      </c>
      <c r="Z17" s="29">
        <f t="shared" si="6"/>
        <v>2713757987</v>
      </c>
    </row>
    <row r="18" ht="15.75" customHeight="1">
      <c r="A18" s="31" t="s">
        <v>54</v>
      </c>
      <c r="B18" s="25" t="s">
        <v>40</v>
      </c>
      <c r="C18" s="1"/>
      <c r="D18" s="1"/>
      <c r="E18" s="1"/>
      <c r="H18" s="24">
        <v>3087.0</v>
      </c>
      <c r="I18" s="24">
        <v>16.923</v>
      </c>
      <c r="J18" s="24">
        <v>0.202</v>
      </c>
      <c r="K18" s="26">
        <f t="shared" si="1"/>
        <v>0.00000004112254647</v>
      </c>
      <c r="L18" s="27">
        <f t="shared" si="2"/>
        <v>0.0000001536031068</v>
      </c>
      <c r="M18" s="28">
        <f t="shared" si="3"/>
        <v>0.000001521534219</v>
      </c>
      <c r="N18" s="29">
        <f t="shared" si="4"/>
        <v>0.000001521534219</v>
      </c>
      <c r="O18" s="29">
        <f>Z18*((J18*R_sun)/(I18*cminpc))^2</f>
        <v>0.0000000001926236799</v>
      </c>
      <c r="P18" s="1"/>
      <c r="Q18" s="1"/>
      <c r="R18" s="1"/>
      <c r="S18" s="1"/>
      <c r="T18" s="1"/>
      <c r="U18" s="1"/>
      <c r="V18" s="1"/>
      <c r="W18" s="29">
        <f t="shared" si="5"/>
        <v>0.000000004207266284</v>
      </c>
      <c r="X18" s="29">
        <f>(W18*100000000-((J18*R_sun)/(I18*cminpc))^2*PI()*((2*h_con*c_con^2/0.0000365^5)*(1/(EXP(h_con*c_con/(0.0000365*k_con*H18))-1))))/(((J18*R_sun)/(I18*cminpc))^2*PI()*((2*h_con*c_con^2/0.0000365^5)*(1/(EXP(h_con*c_con/(0.0000365*k_con*9000))-1))))</f>
        <v>792.9545918</v>
      </c>
      <c r="Y18" s="29">
        <f>X18*PI()*(((2*h_con*c_con^2/0.0000135^5)*(1/(EXP(h_con*c_con/(0.0000135*k_con*9000))-1)))+((2*h_con*c_con^2/0.0000175^5)*(1/(EXP(h_con*c_con/(0.0000175*k_con*9000))-1))))/2*(1750-1350)/100000000</f>
        <v>4851052839797</v>
      </c>
      <c r="Z18" s="29">
        <f t="shared" si="6"/>
        <v>2660170556</v>
      </c>
    </row>
    <row r="19" ht="15.75" customHeight="1">
      <c r="A19" s="24" t="s">
        <v>55</v>
      </c>
      <c r="B19" s="25" t="s">
        <v>40</v>
      </c>
      <c r="C19" s="1"/>
      <c r="D19" s="1"/>
      <c r="E19" s="1"/>
      <c r="H19" s="24">
        <v>3342.0</v>
      </c>
      <c r="I19" s="24">
        <v>33.363</v>
      </c>
      <c r="J19" s="24">
        <v>0.34</v>
      </c>
      <c r="K19" s="26">
        <f t="shared" si="1"/>
        <v>0.00000004112254647</v>
      </c>
      <c r="L19" s="27">
        <f t="shared" si="2"/>
        <v>0.0000001536031068</v>
      </c>
      <c r="M19" s="28">
        <f t="shared" si="3"/>
        <v>0.000001521534219</v>
      </c>
      <c r="N19" s="29">
        <f t="shared" si="4"/>
        <v>0.000001521534219</v>
      </c>
      <c r="O19" s="29">
        <f>Z19*((J19*R_sun)/(I19*cminpc))^2</f>
        <v>0.000000000160855904</v>
      </c>
      <c r="P19" s="1"/>
      <c r="Q19" s="1"/>
      <c r="R19" s="1"/>
      <c r="S19" s="1"/>
      <c r="T19" s="1"/>
      <c r="U19" s="1"/>
      <c r="V19" s="1"/>
      <c r="W19" s="29">
        <f t="shared" si="5"/>
        <v>0.000000004207266284</v>
      </c>
      <c r="X19" s="29">
        <f>(W19*100000000-((J19*R_sun)/(I19*cminpc))^2*PI()*((2*h_con*c_con^2/0.0000365^5)*(1/(EXP(h_con*c_con/(0.0000365*k_con*H19))-1))))/(((J19*R_sun)/(I19*cminpc))^2*PI()*((2*h_con*c_con^2/0.0000365^5)*(1/(EXP(h_con*c_con/(0.0000365*k_con*9000))-1))))</f>
        <v>1087.848935</v>
      </c>
      <c r="Y19" s="29">
        <f>X19*PI()*(((2*h_con*c_con^2/0.0000135^5)*(1/(EXP(h_con*c_con/(0.0000135*k_con*9000))-1)))+((2*h_con*c_con^2/0.0000175^5)*(1/(EXP(h_con*c_con/(0.0000175*k_con*9000))-1))))/2*(1750-1350)/100000000</f>
        <v>6655125927828</v>
      </c>
      <c r="Z19" s="29">
        <f t="shared" si="6"/>
        <v>3047594628</v>
      </c>
    </row>
    <row r="20" ht="15.75" customHeight="1">
      <c r="A20" s="24" t="s">
        <v>56</v>
      </c>
      <c r="B20" s="25" t="s">
        <v>38</v>
      </c>
      <c r="C20" s="1"/>
      <c r="D20" s="1"/>
      <c r="E20" s="1"/>
      <c r="H20" s="24">
        <v>3759.0</v>
      </c>
      <c r="I20" s="24">
        <v>41.918</v>
      </c>
      <c r="J20" s="24">
        <v>0.44</v>
      </c>
      <c r="K20" s="26">
        <f t="shared" si="1"/>
        <v>0.00000004112254647</v>
      </c>
      <c r="L20" s="27">
        <f t="shared" si="2"/>
        <v>0.0000001536031068</v>
      </c>
      <c r="M20" s="28">
        <f t="shared" si="3"/>
        <v>0.000001521534219</v>
      </c>
      <c r="N20" s="29">
        <f t="shared" si="4"/>
        <v>0.000001521534219</v>
      </c>
      <c r="O20" s="29">
        <f>Z20*((J20*R_sun)/(I20*cminpc))^2</f>
        <v>0.0000000001663689865</v>
      </c>
      <c r="P20" s="1"/>
      <c r="Q20" s="1"/>
      <c r="R20" s="1"/>
      <c r="S20" s="1"/>
      <c r="T20" s="1"/>
      <c r="U20" s="1"/>
      <c r="V20" s="1"/>
      <c r="W20" s="29">
        <f t="shared" si="5"/>
        <v>0.000000004207266284</v>
      </c>
      <c r="X20" s="29">
        <f>(W20*100000000-((J20*R_sun)/(I20*cminpc))^2*PI()*((2*h_con*c_con^2/0.0000365^5)*(1/(EXP(h_con*c_con/(0.0000365*k_con*H20))-1))))/(((J20*R_sun)/(I20*cminpc))^2*PI()*((2*h_con*c_con^2/0.0000365^5)*(1/(EXP(h_con*c_con/(0.0000365*k_con*9000))-1))))</f>
        <v>1025.395231</v>
      </c>
      <c r="Y20" s="29">
        <f>X20*PI()*(((2*h_con*c_con^2/0.0000135^5)*(1/(EXP(h_con*c_con/(0.0000135*k_con*9000))-1)))+((2*h_con*c_con^2/0.0000175^5)*(1/(EXP(h_con*c_con/(0.0000175*k_con*9000))-1))))/2*(1750-1350)/100000000</f>
        <v>6273053332760</v>
      </c>
      <c r="Z20" s="29">
        <f t="shared" si="6"/>
        <v>2971091052</v>
      </c>
    </row>
    <row r="21" ht="15.75" customHeight="1">
      <c r="A21" s="24" t="s">
        <v>57</v>
      </c>
      <c r="B21" s="25" t="s">
        <v>40</v>
      </c>
      <c r="C21" s="1"/>
      <c r="D21" s="1"/>
      <c r="E21" s="1"/>
      <c r="H21" s="24">
        <v>3300.0</v>
      </c>
      <c r="I21" s="24">
        <v>12.481</v>
      </c>
      <c r="J21" s="24">
        <v>0.28</v>
      </c>
      <c r="K21" s="26">
        <f t="shared" si="1"/>
        <v>0.00000004112254647</v>
      </c>
      <c r="L21" s="27">
        <f t="shared" si="2"/>
        <v>0.0000001536031068</v>
      </c>
      <c r="M21" s="28">
        <f t="shared" si="3"/>
        <v>0.000001521534219</v>
      </c>
      <c r="N21" s="29">
        <f t="shared" si="4"/>
        <v>0.000001521534219</v>
      </c>
      <c r="O21" s="29">
        <f>Z21*((J21*R_sun)/(I21*cminpc))^2</f>
        <v>0.0000000003954656661</v>
      </c>
      <c r="P21" s="1"/>
      <c r="Q21" s="1"/>
      <c r="R21" s="1"/>
      <c r="S21" s="1"/>
      <c r="T21" s="1"/>
      <c r="U21" s="1"/>
      <c r="V21" s="1"/>
      <c r="W21" s="29">
        <f t="shared" si="5"/>
        <v>0.000000004207266284</v>
      </c>
      <c r="X21" s="29">
        <f>(W21*100000000-((J21*R_sun)/(I21*cminpc))^2*PI()*((2*h_con*c_con^2/0.0000365^5)*(1/(EXP(h_con*c_con/(0.0000365*k_con*H21))-1))))/(((J21*R_sun)/(I21*cminpc))^2*PI()*((2*h_con*c_con^2/0.0000365^5)*(1/(EXP(h_con*c_con/(0.0000365*k_con*9000))-1))))</f>
        <v>224.4802746</v>
      </c>
      <c r="Y21" s="29">
        <f>X21*PI()*(((2*h_con*c_con^2/0.0000135^5)*(1/(EXP(h_con*c_con/(0.0000135*k_con*9000))-1)))+((2*h_con*c_con^2/0.0000175^5)*(1/(EXP(h_con*c_con/(0.0000175*k_con*9000))-1))))/2*(1750-1350)/100000000</f>
        <v>1373301428512</v>
      </c>
      <c r="Z21" s="29">
        <f t="shared" si="6"/>
        <v>1546106211</v>
      </c>
    </row>
    <row r="22" ht="15.75" customHeight="1">
      <c r="A22" s="24" t="s">
        <v>58</v>
      </c>
      <c r="B22" s="25" t="s">
        <v>38</v>
      </c>
      <c r="C22" s="1"/>
      <c r="D22" s="1"/>
      <c r="E22" s="1"/>
      <c r="H22" s="24">
        <v>4065.0</v>
      </c>
      <c r="I22" s="24">
        <v>40.065</v>
      </c>
      <c r="J22" s="24">
        <v>0.6</v>
      </c>
      <c r="K22" s="26">
        <f t="shared" si="1"/>
        <v>0.00000004112254647</v>
      </c>
      <c r="L22" s="27">
        <f t="shared" si="2"/>
        <v>0.0000001536031068</v>
      </c>
      <c r="M22" s="28">
        <f t="shared" si="3"/>
        <v>0.000001521534219</v>
      </c>
      <c r="N22" s="29">
        <f t="shared" si="4"/>
        <v>0.000001521534219</v>
      </c>
      <c r="O22" s="29">
        <f>Z22*((J22*R_sun)/(I22*cminpc))^2</f>
        <v>0.0000000002494662007</v>
      </c>
      <c r="P22" s="1"/>
      <c r="Q22" s="1"/>
      <c r="R22" s="1"/>
      <c r="S22" s="1"/>
      <c r="T22" s="1"/>
      <c r="U22" s="1"/>
      <c r="V22" s="1"/>
      <c r="W22" s="29">
        <f t="shared" si="5"/>
        <v>0.000000004207266284</v>
      </c>
      <c r="X22" s="29">
        <f>(W22*100000000-((J22*R_sun)/(I22*cminpc))^2*PI()*((2*h_con*c_con^2/0.0000365^5)*(1/(EXP(h_con*c_con/(0.0000365*k_con*H22))-1))))/(((J22*R_sun)/(I22*cminpc))^2*PI()*((2*h_con*c_con^2/0.0000365^5)*(1/(EXP(h_con*c_con/(0.0000365*k_con*9000))-1))))</f>
        <v>503.7558326</v>
      </c>
      <c r="Y22" s="29">
        <f>X22*PI()*(((2*h_con*c_con^2/0.0000135^5)*(1/(EXP(h_con*c_con/(0.0000135*k_con*9000))-1)))+((2*h_con*c_con^2/0.0000175^5)*(1/(EXP(h_con*c_con/(0.0000175*k_con*9000))-1))))/2*(1750-1350)/100000000</f>
        <v>3081823584093</v>
      </c>
      <c r="Z22" s="29">
        <f t="shared" si="6"/>
        <v>2188705569</v>
      </c>
    </row>
    <row r="23" ht="15.75" customHeight="1">
      <c r="A23" s="32" t="s">
        <v>59</v>
      </c>
      <c r="B23" s="1"/>
      <c r="C23" s="1"/>
      <c r="D23" s="1"/>
      <c r="E23" s="1"/>
      <c r="H23" s="1"/>
      <c r="I23" s="1"/>
      <c r="J23" s="1"/>
      <c r="K23" s="26">
        <f t="shared" si="1"/>
        <v>0.00000004112254647</v>
      </c>
      <c r="L23" s="27">
        <f t="shared" si="2"/>
        <v>0.0000001536031068</v>
      </c>
      <c r="M23" s="28" t="str">
        <f t="shared" si="3"/>
        <v>#DIV/0!</v>
      </c>
      <c r="N23" s="29">
        <f t="shared" si="4"/>
        <v>0.000001521534219</v>
      </c>
      <c r="O23" s="29" t="str">
        <f>Z23*((J23*R_sun)/(I23*cminpc))^2</f>
        <v>#DIV/0!</v>
      </c>
      <c r="P23" s="1"/>
      <c r="Q23" s="1"/>
      <c r="R23" s="1"/>
      <c r="S23" s="1"/>
      <c r="T23" s="1"/>
      <c r="U23" s="1"/>
      <c r="V23" s="1"/>
      <c r="W23" s="29">
        <f t="shared" si="5"/>
        <v>0.000000004207266284</v>
      </c>
      <c r="X23" s="29" t="str">
        <f>(W23*100000000-((J23*R_sun)/(I23*cminpc))^2*PI()*((2*h_con*c_con^2/0.0000365^5)*(1/(EXP(h_con*c_con/(0.0000365*k_con*H23))-1))))/(((J23*R_sun)/(I23*cminpc))^2*PI()*((2*h_con*c_con^2/0.0000365^5)*(1/(EXP(h_con*c_con/(0.0000365*k_con*9000))-1))))</f>
        <v>#DIV/0!</v>
      </c>
      <c r="Y23" s="29" t="str">
        <f>X23*PI()*(((2*h_con*c_con^2/0.0000135^5)*(1/(EXP(h_con*c_con/(0.0000135*k_con*9000))-1)))+((2*h_con*c_con^2/0.0000175^5)*(1/(EXP(h_con*c_con/(0.0000175*k_con*9000))-1))))/2*(1750-1350)/100000000</f>
        <v>#DIV/0!</v>
      </c>
      <c r="Z23" s="29" t="str">
        <f t="shared" si="6"/>
        <v>#DIV/0!</v>
      </c>
    </row>
    <row r="24" ht="15.75" customHeight="1">
      <c r="A24" s="33" t="s">
        <v>60</v>
      </c>
      <c r="B24" s="33"/>
      <c r="C24" s="33"/>
      <c r="D24" s="33"/>
      <c r="E24" s="34"/>
      <c r="F24" s="33"/>
      <c r="G24" s="33"/>
      <c r="H24" s="33"/>
      <c r="I24" s="34"/>
      <c r="J24" s="34"/>
      <c r="K24" s="35"/>
      <c r="L24" s="36"/>
      <c r="M24" s="36"/>
      <c r="N24" s="36"/>
      <c r="O24" s="36"/>
      <c r="P24" s="33"/>
      <c r="Q24" s="33"/>
      <c r="R24" s="33"/>
      <c r="S24" s="33"/>
      <c r="T24" s="33"/>
      <c r="U24" s="33"/>
      <c r="V24" s="33"/>
      <c r="W24" s="36"/>
      <c r="X24" s="36"/>
      <c r="Y24" s="36"/>
      <c r="Z24" s="36"/>
    </row>
    <row r="25" ht="15.75" customHeight="1">
      <c r="A25" s="1" t="s">
        <v>61</v>
      </c>
      <c r="B25" s="37" t="s">
        <v>62</v>
      </c>
      <c r="C25" s="37" t="s">
        <v>43</v>
      </c>
      <c r="D25" s="37">
        <v>22.43</v>
      </c>
      <c r="E25" s="37">
        <v>7.7</v>
      </c>
      <c r="F25" s="37">
        <f>VLOOKUP(B25,'Lookup Tables'!$D$2:$F$4,MATCH(C25,'Lookup Tables'!$D$1:$F$1),FALSE)</f>
        <v>-2.8</v>
      </c>
      <c r="G25" s="37">
        <f t="shared" ref="G25:G26" si="7">D25+F25</f>
        <v>19.63</v>
      </c>
      <c r="H25" s="37">
        <v>2500.0</v>
      </c>
      <c r="I25" s="37">
        <v>12.11</v>
      </c>
      <c r="J25" s="37">
        <v>0.11</v>
      </c>
      <c r="K25" s="26">
        <f t="shared" ref="K25:K26" si="8">10^(0.32+0.92*LOG10(W25))</f>
        <v>0</v>
      </c>
      <c r="L25" s="27">
        <f t="shared" ref="L25:L26" si="9">10^(2.4+1.1*LOG10(W25))</f>
        <v>0</v>
      </c>
      <c r="M25" s="28">
        <f t="shared" ref="M25:M26" si="10">MAX(N25:O25)</f>
        <v>0</v>
      </c>
      <c r="N25" s="29">
        <f t="shared" ref="N25:N26" si="11">37*K25</f>
        <v>0</v>
      </c>
      <c r="O25" s="29">
        <f>Z25*((J25*R_sun)/(I25*cminpc))^2</f>
        <v>0</v>
      </c>
      <c r="P25" s="37" t="s">
        <v>63</v>
      </c>
      <c r="Q25" s="37">
        <v>1167198.0</v>
      </c>
      <c r="R25" s="37">
        <v>946.0</v>
      </c>
      <c r="S25" s="37" t="s">
        <v>64</v>
      </c>
      <c r="T25" s="37">
        <v>1167200.0</v>
      </c>
      <c r="U25" s="37">
        <v>0.006</v>
      </c>
      <c r="V25" s="37">
        <v>1599.0</v>
      </c>
      <c r="W25" s="29">
        <f t="shared" ref="W25:W26" si="12">10^(-0.4*(D25+F25+20.94))</f>
        <v>0</v>
      </c>
      <c r="X25" s="29">
        <f>(W25*100000000-((J25*R_sun)/(I25*cminpc))^2*PI()*((2*h_con*c_con^2/0.0000365^5)*(1/(EXP(h_con*c_con/(0.0000365*k_con*H25))-1))))/(((J25*R_sun)/(I25*cminpc))^2*PI()*((2*h_con*c_con^2/0.0000365^5)*(1/(EXP(h_con*c_con/(0.0000365*k_con*9000))-1))))</f>
        <v>0.000008059351179</v>
      </c>
      <c r="Y25" s="29">
        <f>X25*PI()*(((2*h_con*c_con^2/0.0000135^5)*(1/(EXP(h_con*c_con/(0.0000135*k_con*9000))-1)))+((2*h_con*c_con^2/0.0000175^5)*(1/(EXP(h_con*c_con/(0.0000175*k_con*9000))-1))))/2*(1750-1350)/100000000</f>
        <v>49304.63715</v>
      </c>
      <c r="Z25" s="29">
        <f t="shared" ref="Z25:Z26" si="13">10^(0.43*LOG10(Y25)+3.97)</f>
        <v>972616.7394</v>
      </c>
    </row>
    <row r="26" ht="15.75" customHeight="1">
      <c r="A26" s="37" t="s">
        <v>65</v>
      </c>
      <c r="B26" s="37" t="s">
        <v>40</v>
      </c>
      <c r="C26" s="37" t="s">
        <v>43</v>
      </c>
      <c r="D26" s="37">
        <v>14.052</v>
      </c>
      <c r="E26" s="38">
        <v>1.0</v>
      </c>
      <c r="F26" s="37">
        <f>VLOOKUP(B26,'Lookup Tables'!$D$2:$F$4,MATCH(C26,'Lookup Tables'!$D$1:$F$1),FALSE)</f>
        <v>-8</v>
      </c>
      <c r="G26" s="37">
        <f t="shared" si="7"/>
        <v>6.052</v>
      </c>
      <c r="H26" s="37">
        <v>3250.0</v>
      </c>
      <c r="I26" s="38">
        <v>16.0</v>
      </c>
      <c r="J26" s="38">
        <v>0.39</v>
      </c>
      <c r="K26" s="26">
        <f t="shared" si="8"/>
        <v>0.0000000002437496496</v>
      </c>
      <c r="L26" s="27">
        <f t="shared" si="9"/>
        <v>0.0000000003338258781</v>
      </c>
      <c r="M26" s="28">
        <f t="shared" si="10"/>
        <v>0.000000009018737034</v>
      </c>
      <c r="N26" s="29">
        <f t="shared" si="11"/>
        <v>0.000000009018737034</v>
      </c>
      <c r="O26" s="29">
        <f>Z26*((J26*R_sun)/(I26*cminpc))^2</f>
        <v>0</v>
      </c>
      <c r="P26" s="37" t="s">
        <v>63</v>
      </c>
      <c r="Q26" s="37">
        <v>1167205.0</v>
      </c>
      <c r="R26" s="37">
        <v>35092.0</v>
      </c>
      <c r="S26" s="37" t="s">
        <v>66</v>
      </c>
      <c r="T26" s="37">
        <v>1167194.0</v>
      </c>
      <c r="U26" s="37">
        <v>952.0</v>
      </c>
      <c r="V26" s="37">
        <v>44205.0</v>
      </c>
      <c r="W26" s="29">
        <f t="shared" si="12"/>
        <v>0</v>
      </c>
      <c r="X26" s="29">
        <f>(W26*100000000-((J26*R_sun)/(I26*cminpc))^2*PI()*((2*h_con*c_con^2/0.0000365^5)*(1/(EXP(h_con*c_con/(0.0000365*k_con*H26))-1))))/(((J26*R_sun)/(I26*cminpc))^2*PI()*((2*h_con*c_con^2/0.0000365^5)*(1/(EXP(h_con*c_con/(0.0000365*k_con*9000))-1))))</f>
        <v>0.7211919701</v>
      </c>
      <c r="Y26" s="29">
        <f>X26*PI()*(((2*h_con*c_con^2/0.0000135^5)*(1/(EXP(h_con*c_con/(0.0000135*k_con*9000))-1)))+((2*h_con*c_con^2/0.0000175^5)*(1/(EXP(h_con*c_con/(0.0000175*k_con*9000))-1))))/2*(1750-1350)/100000000</f>
        <v>4412031144</v>
      </c>
      <c r="Z26" s="29">
        <f t="shared" si="13"/>
        <v>130976863.1</v>
      </c>
    </row>
    <row r="27" ht="15.75" customHeight="1">
      <c r="A27" s="39"/>
      <c r="B27" s="39"/>
      <c r="C27" s="39"/>
      <c r="D27" s="39"/>
      <c r="E27" s="40"/>
      <c r="F27" s="41"/>
      <c r="G27" s="41"/>
      <c r="H27" s="39"/>
      <c r="I27" s="40"/>
      <c r="J27" s="40"/>
      <c r="K27" s="42"/>
      <c r="L27" s="43"/>
      <c r="M27" s="44"/>
      <c r="N27" s="43"/>
      <c r="O27" s="43"/>
      <c r="P27" s="39"/>
      <c r="Q27" s="39"/>
      <c r="R27" s="39"/>
      <c r="S27" s="39"/>
      <c r="T27" s="39"/>
      <c r="U27" s="39"/>
      <c r="V27" s="39"/>
      <c r="W27" s="43"/>
      <c r="X27" s="43"/>
      <c r="Y27" s="43"/>
      <c r="Z27" s="43"/>
    </row>
    <row r="28" ht="15.75" customHeight="1">
      <c r="A28" s="45" t="s">
        <v>67</v>
      </c>
      <c r="B28" s="46" t="s">
        <v>68</v>
      </c>
      <c r="F28" s="47"/>
      <c r="G28" s="47"/>
      <c r="I28" s="38"/>
      <c r="J28" s="38"/>
      <c r="K28" s="38"/>
      <c r="L28" s="38"/>
      <c r="M28" s="38"/>
      <c r="N28" s="38"/>
      <c r="O28" s="38"/>
      <c r="W28" s="29"/>
      <c r="X28" s="29"/>
      <c r="Y28" s="29"/>
      <c r="Z28" s="29"/>
    </row>
    <row r="29" ht="15.75" customHeight="1">
      <c r="A29" s="48" t="s">
        <v>69</v>
      </c>
      <c r="B29" s="37" t="s">
        <v>70</v>
      </c>
      <c r="F29" s="47"/>
      <c r="G29" s="47"/>
      <c r="I29" s="38"/>
      <c r="J29" s="38"/>
      <c r="K29" s="38"/>
      <c r="L29" s="38"/>
      <c r="M29" s="38"/>
      <c r="N29" s="38"/>
      <c r="O29" s="38"/>
      <c r="W29" s="29"/>
      <c r="X29" s="29"/>
      <c r="Y29" s="29"/>
      <c r="Z29" s="29"/>
    </row>
    <row r="30" ht="15.75" customHeight="1">
      <c r="A30" s="49" t="s">
        <v>71</v>
      </c>
      <c r="B30" s="37" t="s">
        <v>72</v>
      </c>
      <c r="F30" s="47"/>
      <c r="G30" s="47"/>
      <c r="I30" s="38"/>
      <c r="J30" s="38"/>
      <c r="K30" s="38"/>
      <c r="L30" s="38"/>
      <c r="M30" s="38"/>
      <c r="N30" s="38"/>
      <c r="O30" s="38"/>
      <c r="W30" s="29"/>
      <c r="X30" s="29"/>
      <c r="Y30" s="29"/>
      <c r="Z30" s="29"/>
    </row>
    <row r="31" ht="15.75" customHeight="1">
      <c r="A31" s="50" t="s">
        <v>73</v>
      </c>
      <c r="B31" s="37" t="s">
        <v>74</v>
      </c>
      <c r="F31" s="47"/>
      <c r="G31" s="47"/>
      <c r="I31" s="38"/>
      <c r="J31" s="38"/>
      <c r="K31" s="38"/>
      <c r="L31" s="38"/>
      <c r="M31" s="38"/>
      <c r="N31" s="38"/>
      <c r="O31" s="38"/>
      <c r="W31" s="29"/>
      <c r="X31" s="29"/>
      <c r="Y31" s="29"/>
      <c r="Z31" s="29"/>
    </row>
    <row r="32" ht="15.75" customHeight="1">
      <c r="A32" s="51" t="s">
        <v>75</v>
      </c>
      <c r="B32" s="37" t="s">
        <v>76</v>
      </c>
      <c r="F32" s="47"/>
      <c r="G32" s="47"/>
      <c r="I32" s="38"/>
      <c r="J32" s="38"/>
      <c r="K32" s="38"/>
      <c r="L32" s="38"/>
      <c r="M32" s="38"/>
      <c r="N32" s="38"/>
      <c r="O32" s="38"/>
      <c r="W32" s="29"/>
      <c r="X32" s="29"/>
      <c r="Y32" s="29"/>
      <c r="Z32" s="29"/>
    </row>
    <row r="33" ht="15.75" customHeight="1">
      <c r="A33" s="52" t="s">
        <v>77</v>
      </c>
      <c r="B33" s="37" t="s">
        <v>78</v>
      </c>
    </row>
    <row r="34" ht="15.75" customHeight="1">
      <c r="A34" s="1"/>
    </row>
    <row r="35" ht="15.75" customHeight="1">
      <c r="A35" s="1"/>
      <c r="B35" s="46" t="s">
        <v>79</v>
      </c>
    </row>
    <row r="36" ht="15.75" customHeight="1">
      <c r="B36" s="37" t="s">
        <v>80</v>
      </c>
    </row>
    <row r="37" ht="15.75" customHeight="1">
      <c r="B37" s="37" t="s">
        <v>81</v>
      </c>
      <c r="F37" s="47"/>
      <c r="G37" s="47"/>
      <c r="I37" s="38"/>
      <c r="J37" s="38"/>
      <c r="K37" s="38"/>
      <c r="L37" s="38"/>
      <c r="M37" s="38"/>
      <c r="N37" s="38"/>
      <c r="O37" s="38"/>
      <c r="W37" s="29"/>
      <c r="X37" s="29"/>
      <c r="Y37" s="29"/>
      <c r="Z37" s="29"/>
    </row>
    <row r="38" ht="15.75" customHeight="1"/>
    <row r="39" ht="15.75" customHeight="1">
      <c r="A39" s="53"/>
      <c r="B39" s="46" t="s">
        <v>82</v>
      </c>
    </row>
    <row r="40" ht="15.75" customHeight="1">
      <c r="A40" s="53"/>
      <c r="B40" s="54" t="s">
        <v>83</v>
      </c>
      <c r="W40" s="29"/>
      <c r="X40" s="29"/>
      <c r="Y40" s="29"/>
      <c r="Z40" s="29"/>
    </row>
    <row r="41" ht="15.75" customHeight="1">
      <c r="A41" s="1"/>
      <c r="B41" s="37" t="s">
        <v>84</v>
      </c>
      <c r="W41" s="29"/>
      <c r="X41" s="29"/>
      <c r="Y41" s="29"/>
      <c r="Z41" s="29"/>
    </row>
    <row r="42" ht="15.75" customHeight="1">
      <c r="A42" s="1"/>
      <c r="B42" s="37" t="s">
        <v>85</v>
      </c>
      <c r="W42" s="29"/>
      <c r="X42" s="29"/>
      <c r="Y42" s="29"/>
      <c r="Z42" s="29"/>
    </row>
    <row r="43" ht="15.75" customHeight="1">
      <c r="A43" s="1"/>
      <c r="B43" s="37" t="s">
        <v>86</v>
      </c>
      <c r="W43" s="29"/>
      <c r="X43" s="29"/>
      <c r="Y43" s="29"/>
      <c r="Z43" s="29"/>
    </row>
    <row r="44" ht="15.75" customHeight="1">
      <c r="A44" s="1"/>
      <c r="B44" s="37" t="s">
        <v>87</v>
      </c>
      <c r="W44" s="29"/>
      <c r="X44" s="29"/>
      <c r="Y44" s="29"/>
      <c r="Z44" s="29"/>
    </row>
    <row r="45" ht="15.75" customHeight="1">
      <c r="A45" s="1"/>
      <c r="B45" s="37" t="s">
        <v>88</v>
      </c>
      <c r="W45" s="29"/>
      <c r="X45" s="29"/>
      <c r="Y45" s="29"/>
      <c r="Z45" s="29"/>
    </row>
    <row r="46" ht="15.75" customHeight="1">
      <c r="A46" s="1"/>
      <c r="B46" s="37" t="s">
        <v>89</v>
      </c>
      <c r="W46" s="29"/>
      <c r="X46" s="29"/>
      <c r="Y46" s="29"/>
      <c r="Z46" s="29"/>
    </row>
    <row r="47" ht="15.75" customHeight="1">
      <c r="A47" s="1"/>
      <c r="B47" s="37" t="s">
        <v>90</v>
      </c>
      <c r="W47" s="29"/>
      <c r="X47" s="29"/>
      <c r="Y47" s="29"/>
      <c r="Z47" s="29"/>
    </row>
    <row r="48" ht="15.75" customHeight="1">
      <c r="A48" s="1"/>
      <c r="B48" s="37" t="s">
        <v>91</v>
      </c>
      <c r="W48" s="29"/>
      <c r="X48" s="29"/>
      <c r="Y48" s="29"/>
      <c r="Z48" s="29"/>
    </row>
    <row r="49" ht="15.75" customHeight="1">
      <c r="A49" s="1"/>
      <c r="B49" s="37" t="s">
        <v>92</v>
      </c>
      <c r="W49" s="29"/>
      <c r="X49" s="29"/>
      <c r="Y49" s="29"/>
      <c r="Z49" s="29"/>
    </row>
    <row r="50" ht="15.75" customHeight="1">
      <c r="A50" s="1"/>
      <c r="W50" s="29"/>
      <c r="X50" s="29"/>
      <c r="Y50" s="29"/>
      <c r="Z50" s="29"/>
    </row>
    <row r="51" ht="15.75" customHeight="1">
      <c r="B51" s="46" t="s">
        <v>93</v>
      </c>
      <c r="I51" s="46" t="s">
        <v>94</v>
      </c>
    </row>
    <row r="52" ht="15.75" customHeight="1">
      <c r="A52" s="1"/>
      <c r="B52" s="46"/>
      <c r="C52" s="46" t="s">
        <v>95</v>
      </c>
      <c r="F52" s="46" t="s">
        <v>96</v>
      </c>
      <c r="G52" s="46"/>
      <c r="I52" s="37" t="s">
        <v>97</v>
      </c>
    </row>
    <row r="53" ht="15.75" customHeight="1">
      <c r="A53" s="1"/>
      <c r="B53" s="37" t="s">
        <v>98</v>
      </c>
      <c r="C53" s="37" t="s">
        <v>99</v>
      </c>
      <c r="F53" s="37" t="s">
        <v>99</v>
      </c>
      <c r="I53" s="37" t="s">
        <v>100</v>
      </c>
    </row>
    <row r="54" ht="15.75" customHeight="1">
      <c r="A54" s="1"/>
      <c r="B54" s="37" t="s">
        <v>101</v>
      </c>
      <c r="C54" s="37" t="s">
        <v>102</v>
      </c>
      <c r="F54" s="37" t="s">
        <v>103</v>
      </c>
      <c r="I54" s="1" t="s">
        <v>104</v>
      </c>
    </row>
    <row r="55" ht="15.75" customHeight="1">
      <c r="A55" s="1"/>
      <c r="B55" s="37" t="s">
        <v>105</v>
      </c>
      <c r="C55" s="37" t="s">
        <v>99</v>
      </c>
      <c r="F55" s="37" t="s">
        <v>99</v>
      </c>
      <c r="I55" s="1" t="s">
        <v>106</v>
      </c>
    </row>
    <row r="56" ht="15.75" customHeight="1">
      <c r="A56" s="1"/>
      <c r="B56" s="37" t="s">
        <v>107</v>
      </c>
      <c r="C56" s="37" t="s">
        <v>102</v>
      </c>
      <c r="F56" s="37" t="s">
        <v>103</v>
      </c>
      <c r="I56" s="1" t="s">
        <v>108</v>
      </c>
    </row>
    <row r="57" ht="15.75" customHeight="1">
      <c r="A57" s="1"/>
      <c r="I57" s="1" t="s">
        <v>109</v>
      </c>
    </row>
    <row r="58" ht="15.75" customHeight="1">
      <c r="A58" s="1"/>
      <c r="B58" s="46" t="s">
        <v>110</v>
      </c>
    </row>
    <row r="59" ht="15.75" customHeight="1">
      <c r="B59" s="37" t="s">
        <v>111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H67" s="1"/>
    </row>
    <row r="68" ht="15.75" customHeight="1">
      <c r="H68" s="29"/>
    </row>
    <row r="69" ht="15.75" customHeight="1">
      <c r="H69" s="1"/>
    </row>
    <row r="70" ht="15.75" customHeight="1">
      <c r="H70" s="29"/>
    </row>
    <row r="71" ht="15.75" customHeight="1">
      <c r="H71" s="1"/>
    </row>
    <row r="72" ht="15.75" customHeight="1">
      <c r="H72" s="1"/>
    </row>
    <row r="73" ht="15.75" customHeight="1">
      <c r="H73" s="29"/>
    </row>
    <row r="74" ht="15.75" customHeight="1">
      <c r="H74" s="1"/>
    </row>
    <row r="75" ht="15.75" customHeight="1">
      <c r="C75" s="46"/>
      <c r="H75" s="1"/>
    </row>
    <row r="76" ht="15.75" customHeight="1">
      <c r="H76" s="29"/>
    </row>
    <row r="77" ht="15.75" customHeight="1">
      <c r="H77" s="1"/>
    </row>
    <row r="78" ht="15.75" customHeight="1">
      <c r="H78" s="29"/>
    </row>
    <row r="79" ht="15.75" customHeight="1">
      <c r="H79" s="1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mergeCells count="1">
    <mergeCell ref="K1:M1"/>
  </mergeCells>
  <dataValidations>
    <dataValidation type="list" allowBlank="1" showErrorMessage="1" sqref="B4:B23 B25:B26">
      <formula1>'Lookup Tables'!$A$1:$A$3</formula1>
    </dataValidation>
    <dataValidation type="list" allowBlank="1" showErrorMessage="1" sqref="C4:C23 C25:C26">
      <formula1>'Lookup Tables'!$C$1:$C$2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7" t="s">
        <v>38</v>
      </c>
      <c r="C1" s="37" t="s">
        <v>43</v>
      </c>
      <c r="D1" s="37" t="s">
        <v>112</v>
      </c>
      <c r="E1" s="37" t="s">
        <v>43</v>
      </c>
      <c r="F1" s="37" t="s">
        <v>113</v>
      </c>
      <c r="H1" s="55" t="s">
        <v>114</v>
      </c>
    </row>
    <row r="2" ht="15.75" customHeight="1">
      <c r="A2" s="37" t="s">
        <v>40</v>
      </c>
      <c r="C2" s="37" t="s">
        <v>113</v>
      </c>
      <c r="D2" s="37" t="s">
        <v>38</v>
      </c>
      <c r="E2" s="37">
        <v>-2.8</v>
      </c>
      <c r="F2" s="37">
        <v>-2.3</v>
      </c>
      <c r="H2" s="56"/>
    </row>
    <row r="3" ht="15.75" customHeight="1">
      <c r="A3" s="37" t="s">
        <v>62</v>
      </c>
      <c r="D3" s="37" t="s">
        <v>40</v>
      </c>
      <c r="E3" s="37">
        <v>-8.0</v>
      </c>
      <c r="F3" s="37">
        <v>-2.3</v>
      </c>
      <c r="H3" s="57" t="s">
        <v>115</v>
      </c>
    </row>
    <row r="4" ht="15.75" customHeight="1">
      <c r="D4" s="37" t="s">
        <v>62</v>
      </c>
      <c r="E4" s="37">
        <v>-2.8</v>
      </c>
      <c r="F4" s="37">
        <v>0.0</v>
      </c>
      <c r="H4" s="58">
        <v>2.99792E10</v>
      </c>
    </row>
    <row r="5" ht="15.75" customHeight="1">
      <c r="H5" s="57" t="s">
        <v>116</v>
      </c>
    </row>
    <row r="6" ht="15.75" customHeight="1">
      <c r="H6" s="58">
        <v>6.62607E-27</v>
      </c>
    </row>
    <row r="7" ht="15.75" customHeight="1">
      <c r="H7" s="57" t="s">
        <v>117</v>
      </c>
    </row>
    <row r="8" ht="15.75" customHeight="1">
      <c r="H8" s="58">
        <v>1.38065E-16</v>
      </c>
    </row>
    <row r="9" ht="15.75" customHeight="1">
      <c r="H9" s="57" t="s">
        <v>118</v>
      </c>
    </row>
    <row r="10" ht="15.75" customHeight="1">
      <c r="H10" s="58">
        <v>6.957E10</v>
      </c>
    </row>
    <row r="11" ht="15.75" customHeight="1">
      <c r="H11" s="57" t="s">
        <v>119</v>
      </c>
    </row>
    <row r="12" ht="15.75" customHeight="1">
      <c r="H12" s="58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