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НН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<sst xmlns="http://schemas.openxmlformats.org/spreadsheetml/2006/main" count="324" uniqueCount="129">
  <si>
    <t xml:space="preserve">Направление</t>
  </si>
  <si>
    <t xml:space="preserve">Показатель</t>
  </si>
  <si>
    <t xml:space="preserve">Источник</t>
  </si>
  <si>
    <t xml:space="preserve">Где брать</t>
  </si>
  <si>
    <t xml:space="preserve">Тип данных</t>
  </si>
  <si>
    <t xml:space="preserve">Ед. изм.</t>
  </si>
  <si>
    <t xml:space="preserve">Периодичность</t>
  </si>
  <si>
    <t xml:space="preserve">Дата начала</t>
  </si>
  <si>
    <t xml:space="preserve">Территориальный разрез</t>
  </si>
  <si>
    <t xml:space="preserve">1кв2018</t>
  </si>
  <si>
    <t xml:space="preserve">2кв2018</t>
  </si>
  <si>
    <t xml:space="preserve">3кв2018</t>
  </si>
  <si>
    <t xml:space="preserve">4кв2018</t>
  </si>
  <si>
    <t xml:space="preserve">1кв2019</t>
  </si>
  <si>
    <t xml:space="preserve">2кв2019</t>
  </si>
  <si>
    <t xml:space="preserve">3кв2019</t>
  </si>
  <si>
    <t xml:space="preserve">4кв2019</t>
  </si>
  <si>
    <t xml:space="preserve">1кв2020</t>
  </si>
  <si>
    <t xml:space="preserve">2кв2020</t>
  </si>
  <si>
    <t xml:space="preserve">3кв2020</t>
  </si>
  <si>
    <t xml:space="preserve">4кв2020</t>
  </si>
  <si>
    <t xml:space="preserve">1кв2021</t>
  </si>
  <si>
    <t xml:space="preserve">2кв2021</t>
  </si>
  <si>
    <t xml:space="preserve">3кв2021</t>
  </si>
  <si>
    <t xml:space="preserve">4кв2021</t>
  </si>
  <si>
    <t xml:space="preserve">1кв2022</t>
  </si>
  <si>
    <t xml:space="preserve">2кв2022</t>
  </si>
  <si>
    <t xml:space="preserve">3кв2022</t>
  </si>
  <si>
    <t xml:space="preserve">4кв2022</t>
  </si>
  <si>
    <t xml:space="preserve">Промышленность / энергетика</t>
  </si>
  <si>
    <t xml:space="preserve">промышленность строительство факт</t>
  </si>
  <si>
    <t xml:space="preserve">из нежилых: Промышленные здания</t>
  </si>
  <si>
    <t xml:space="preserve">https://fedstat.ru/indicator/43298</t>
  </si>
  <si>
    <t xml:space="preserve">файл "Ввод зданий по регионам поквартально"</t>
  </si>
  <si>
    <t xml:space="preserve">количество</t>
  </si>
  <si>
    <t xml:space="preserve">тыс. кв. м</t>
  </si>
  <si>
    <t xml:space="preserve">кв</t>
  </si>
  <si>
    <t xml:space="preserve">Ростовская область</t>
  </si>
  <si>
    <t xml:space="preserve">электроэнергетика</t>
  </si>
  <si>
    <t xml:space="preserve">Полный плановый объем потребления электроэнергии</t>
  </si>
  <si>
    <t xml:space="preserve">https://www.atsenergo.ru/nreport?rname=trade_region_spub&amp;rdate=20191112</t>
  </si>
  <si>
    <t xml:space="preserve">файл "Электричество_потребление_только_суммы_помесячно"</t>
  </si>
  <si>
    <t xml:space="preserve">МВт.ч.</t>
  </si>
  <si>
    <t xml:space="preserve">мес</t>
  </si>
  <si>
    <t xml:space="preserve">Строительство план</t>
  </si>
  <si>
    <t xml:space="preserve">Предложения новостроек</t>
  </si>
  <si>
    <t xml:space="preserve">https://sberindex.ru/ru/dashboards/kolichestvo-predlozhenii-o-prodazhe-pervichki</t>
  </si>
  <si>
    <t xml:space="preserve">число объявлений</t>
  </si>
  <si>
    <t xml:space="preserve">Строительство факт</t>
  </si>
  <si>
    <t xml:space="preserve">Всего введено зданий</t>
  </si>
  <si>
    <t xml:space="preserve">Жилые здания, жилые помещения и т.п.</t>
  </si>
  <si>
    <t xml:space="preserve">Ипотека всего в деньгах</t>
  </si>
  <si>
    <t xml:space="preserve">http://www.cbr.ru/statistics/bank_sector/mortgage/</t>
  </si>
  <si>
    <t xml:space="preserve">Файлы ЦБ об ИЖК</t>
  </si>
  <si>
    <t xml:space="preserve">денежный</t>
  </si>
  <si>
    <t xml:space="preserve">млн руб.</t>
  </si>
  <si>
    <t xml:space="preserve">Средства на счетах эскроу в рублях</t>
  </si>
  <si>
    <t xml:space="preserve">http://www.cbr.ru/vfs/statistics/banksector/borrowings/02_28_escrow_accounts.xlsx</t>
  </si>
  <si>
    <t xml:space="preserve">Файл "02_28_Escrow_accounts"</t>
  </si>
  <si>
    <t xml:space="preserve">Ипотека по ДДУ в деньгах</t>
  </si>
  <si>
    <t xml:space="preserve">Ипотека по ДДУ в количестве выданных кредитов</t>
  </si>
  <si>
    <t xml:space="preserve">ед.</t>
  </si>
  <si>
    <t xml:space="preserve">Ипотека всего в количестве выданных кредитов</t>
  </si>
  <si>
    <t xml:space="preserve">в процессе подсчета</t>
  </si>
  <si>
    <t xml:space="preserve">ЖКХ</t>
  </si>
  <si>
    <t xml:space="preserve">Коммунальное хозяйство - всего (накопительный итог на начало месяца) - собирается</t>
  </si>
  <si>
    <t xml:space="preserve">https://roskazna.gov.ru/ispolnenie-byudzhetov/konsolidirovannye-byudzhety-subektov/1019/</t>
  </si>
  <si>
    <t xml:space="preserve">всего затраты на комм. хозяйство в регионе</t>
  </si>
  <si>
    <t xml:space="preserve">руб</t>
  </si>
  <si>
    <t xml:space="preserve">из них: Закупка товаров, работ и услуг для обеспечения государственных (муниципальных) нужд</t>
  </si>
  <si>
    <t xml:space="preserve">закупки товаров и услуг (в т.ч. текущий ремонт)</t>
  </si>
  <si>
    <t xml:space="preserve">из них: Капитальные вложения в объекты государственной (муниципальной) собственности</t>
  </si>
  <si>
    <t xml:space="preserve">инвестиции</t>
  </si>
  <si>
    <t xml:space="preserve">из них: Иные бюджетные ассигнования (собирается)</t>
  </si>
  <si>
    <t xml:space="preserve">субсидии водоканалам и др. организациям</t>
  </si>
  <si>
    <t xml:space="preserve">Индекс грузоперевозок НН (собирается)</t>
  </si>
  <si>
    <t xml:space="preserve">индекс</t>
  </si>
  <si>
    <t xml:space="preserve">Оценка объема потребеления безина</t>
  </si>
  <si>
    <t xml:space="preserve">расчёты</t>
  </si>
  <si>
    <t xml:space="preserve">млн л.</t>
  </si>
  <si>
    <t xml:space="preserve">Оценка объема потребеления ДТ</t>
  </si>
  <si>
    <t xml:space="preserve">Цена на 95 бензин (розничные цены)</t>
  </si>
  <si>
    <t xml:space="preserve">https://www.benzin-price.ru/price2.php?region_id=61</t>
  </si>
  <si>
    <t xml:space="preserve">цена</t>
  </si>
  <si>
    <t xml:space="preserve">Цена на 92 бензин (розничные цены)</t>
  </si>
  <si>
    <t xml:space="preserve">Цена на ДТ (розничные цены)</t>
  </si>
  <si>
    <t xml:space="preserve">Розничная продажа бензинов автомобильных (в деньгах; накопительный итог)</t>
  </si>
  <si>
    <t xml:space="preserve">https://www.fedstat.ru/indicator/57699</t>
  </si>
  <si>
    <t xml:space="preserve">файл "Розничная продажа топлива"</t>
  </si>
  <si>
    <t xml:space="preserve">тыс. руб</t>
  </si>
  <si>
    <t xml:space="preserve">Розничная продажа Дизельное топливо (в деньгах; накопительный итог)</t>
  </si>
  <si>
    <t xml:space="preserve">автоуслуги (по тратам потребителей) - Тинькофф индекс</t>
  </si>
  <si>
    <t xml:space="preserve">https://index.tinkoff.ru/?start=07.2022&amp;end=11.2022&amp;region=%D0%9D%D0%B8%D0%B6%D0%B5%D0%B3%D0%BE%D1%80%D0%BE%D0%B4%D1%81%D0%BA%D0%B0%D1%8F+%D0%BE%D0%B1%D0%BB%D0%B0%D1%81%D1%82%D1%8C</t>
  </si>
  <si>
    <t xml:space="preserve">файл "Тинькофф индексы"</t>
  </si>
  <si>
    <t xml:space="preserve">топливо (потратам потребителей)-Тинькофф индекс</t>
  </si>
  <si>
    <t xml:space="preserve">(торговля)</t>
  </si>
  <si>
    <t xml:space="preserve">Аренда нежилой недвижимости</t>
  </si>
  <si>
    <t xml:space="preserve">Аренда складской недвижимости</t>
  </si>
  <si>
    <t xml:space="preserve">https://www.gipernn.ru/</t>
  </si>
  <si>
    <t xml:space="preserve">Общий файл в облаке</t>
  </si>
  <si>
    <t xml:space="preserve">руб./кв.м</t>
  </si>
  <si>
    <t xml:space="preserve">Аренда торговой недвижимости</t>
  </si>
  <si>
    <t xml:space="preserve">Аренда офисной недвижимости</t>
  </si>
  <si>
    <t xml:space="preserve">Цены нежилой недвижимости</t>
  </si>
  <si>
    <t xml:space="preserve">Продажа складской недвижимости</t>
  </si>
  <si>
    <t xml:space="preserve">Продажа торговой недвижимости</t>
  </si>
  <si>
    <t xml:space="preserve">Продажа офисной недвижимости</t>
  </si>
  <si>
    <t xml:space="preserve">Бизнес-строительство</t>
  </si>
  <si>
    <t xml:space="preserve">из нежилых: коммерческие здания</t>
  </si>
  <si>
    <t xml:space="preserve">из коммерческих: торговые площади</t>
  </si>
  <si>
    <t xml:space="preserve">нет данных для Ростовской обл.</t>
  </si>
  <si>
    <t xml:space="preserve">Активность МСП</t>
  </si>
  <si>
    <t xml:space="preserve">Изменение активности МСП по регионам (Сбериндекс)</t>
  </si>
  <si>
    <t xml:space="preserve">https://sberindex.ru/ru/dashboards/izmenenie-aktivnosti-msp-po-regionam</t>
  </si>
  <si>
    <t xml:space="preserve">%</t>
  </si>
  <si>
    <t xml:space="preserve">(ковид)</t>
  </si>
  <si>
    <t xml:space="preserve">ковид+</t>
  </si>
  <si>
    <t xml:space="preserve">Индекс потребительской активности - Сбериндекс</t>
  </si>
  <si>
    <t xml:space="preserve">https://sberindex.ru/ru/dashboards/indeks-potrebitelskoi-aktivnosti</t>
  </si>
  <si>
    <t xml:space="preserve">по рынкам</t>
  </si>
  <si>
    <t xml:space="preserve">дом и ремонт (по тратам потребителей) - Тинькофф индекс</t>
  </si>
  <si>
    <t xml:space="preserve">медуслуги (по тратам потребителей)-Тинькофф индекс</t>
  </si>
  <si>
    <t xml:space="preserve">рестораны (по тратам потребителей)-Тинькофф индекс</t>
  </si>
  <si>
    <t xml:space="preserve">Сварщик</t>
  </si>
  <si>
    <t xml:space="preserve">Кол-во выпущенных специалистов сварочного производства и сварщиков</t>
  </si>
  <si>
    <t xml:space="preserve">https://edu.gov.ru/activity/statistics/secondary_prof_edu</t>
  </si>
  <si>
    <t xml:space="preserve">в процессе подсчёта</t>
  </si>
  <si>
    <t xml:space="preserve">чел.</t>
  </si>
  <si>
    <t xml:space="preserve">год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</si>
</sst>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mm/yy"/>
    <numFmt numFmtId="166" formatCode="0"/>
    <numFmt numFmtId="167" formatCode="_-* #,##0.00_-;\-* #,##0.00_-;_-* \-??_-;_-@_-"/>
    <numFmt numFmtId="168" formatCode="_-* #,##0_-;\-* #,##0_-;_-* \-??_-;_-@_-"/>
    <numFmt numFmtId="169" formatCode="#,##0.####"/>
    <numFmt numFmtId="170" formatCode="#,##0.0"/>
    <numFmt numFmtId="171" formatCode="0.0"/>
    <numFmt numFmtId="172" formatCode="General"/>
    <numFmt numFmtId="173" formatCode="#\ ##0"/>
    <numFmt numFmtId="174" formatCode="dd/mm/yyyy"/>
    <numFmt numFmtId="175" formatCode="0.00"/>
  </numFmts>
  <fonts count="1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u val="single"/>
      <sz val="11"/>
      <color rgb="FF0563C1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FCFC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  <fill>
      <patternFill patternType="solid">
        <fgColor rgb="FFED7D31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Гиперссылка 2" xfId="21"/>
    <cellStyle name="Обычный 2" xfId="22"/>
    <cellStyle name="Обычный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yanatorockina/Desktop/&#1047;&#1072;&#1076;&#1072;&#1085;&#1080;&#1077;%20&#8470;2/&#1062;&#1041;_&#1048;&#1046;&#1050;%20&#1074;&#1089;&#1077;&#776;_20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аблица 4-6 01.01.2018"/>
      <sheetName val="Таблица 4-6 01.02.2018"/>
      <sheetName val="Таблица 4-6 01.03.2018"/>
      <sheetName val="Таблица 4-6 01.04.2018"/>
      <sheetName val="Таблица 4-6 01.05.2018"/>
      <sheetName val="Таблица 4-6 01.06.2018"/>
      <sheetName val="Таблица 4-6 01.07.2018"/>
      <sheetName val="Таблица 4-6 01.08.2018"/>
      <sheetName val="Таблица 4-6 01.09.2018"/>
      <sheetName val="Таблица 4-6 01.10.2018"/>
      <sheetName val="Таблица 4-6 01.11.2018"/>
      <sheetName val="Таблица 4-6 01.12.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edstat.ru/indicator/43298" TargetMode="External"/><Relationship Id="rId2" Type="http://schemas.openxmlformats.org/officeDocument/2006/relationships/hyperlink" Target="https://www.atsenergo.ru/nreport?rname=trade_region_spub&amp;rdate=20191112" TargetMode="External"/><Relationship Id="rId3" Type="http://schemas.openxmlformats.org/officeDocument/2006/relationships/hyperlink" Target="https://sberindex.ru/ru/dashboards/kolichestvo-predlozhenii-o-prodazhe-pervichki" TargetMode="External"/><Relationship Id="rId4" Type="http://schemas.openxmlformats.org/officeDocument/2006/relationships/hyperlink" Target="https://fedstat.ru/indicator/43298" TargetMode="External"/><Relationship Id="rId5" Type="http://schemas.openxmlformats.org/officeDocument/2006/relationships/hyperlink" Target="https://fedstat.ru/indicator/43298" TargetMode="External"/><Relationship Id="rId6" Type="http://schemas.openxmlformats.org/officeDocument/2006/relationships/hyperlink" Target="http://www.cbr.ru/statistics/bank_sector/mortgage/" TargetMode="External"/><Relationship Id="rId7" Type="http://schemas.openxmlformats.org/officeDocument/2006/relationships/hyperlink" Target="http://www.cbr.ru/vfs/statistics/banksector/borrowings/02_28_escrow_accounts.xlsx" TargetMode="External"/><Relationship Id="rId8" Type="http://schemas.openxmlformats.org/officeDocument/2006/relationships/hyperlink" Target="http://www.cbr.ru/statistics/bank_sector/mortgage/" TargetMode="External"/><Relationship Id="rId9" Type="http://schemas.openxmlformats.org/officeDocument/2006/relationships/hyperlink" Target="http://www.cbr.ru/statistics/bank_sector/mortgage/" TargetMode="External"/><Relationship Id="rId10" Type="http://schemas.openxmlformats.org/officeDocument/2006/relationships/hyperlink" Target="http://www.cbr.ru/statistics/bank_sector/mortgage/" TargetMode="External"/><Relationship Id="rId11" Type="http://schemas.openxmlformats.org/officeDocument/2006/relationships/hyperlink" Target="https://roskazna.gov.ru/ispolnenie-byudzhetov/konsolidirovannye-byudzhety-subektov/1019/" TargetMode="External"/><Relationship Id="rId12" Type="http://schemas.openxmlformats.org/officeDocument/2006/relationships/hyperlink" Target="https://roskazna.gov.ru/ispolnenie-byudzhetov/konsolidirovannye-byudzhety-subektov/1019/" TargetMode="External"/><Relationship Id="rId13" Type="http://schemas.openxmlformats.org/officeDocument/2006/relationships/hyperlink" Target="https://roskazna.gov.ru/ispolnenie-byudzhetov/konsolidirovannye-byudzhety-subektov/1019/" TargetMode="External"/><Relationship Id="rId14" Type="http://schemas.openxmlformats.org/officeDocument/2006/relationships/hyperlink" Target="https://roskazna.gov.ru/ispolnenie-byudzhetov/konsolidirovannye-byudzhety-subektov/1019/" TargetMode="External"/><Relationship Id="rId15" Type="http://schemas.openxmlformats.org/officeDocument/2006/relationships/hyperlink" Target="https://www.benzin-price.ru/price2.php?region_id=61" TargetMode="External"/><Relationship Id="rId16" Type="http://schemas.openxmlformats.org/officeDocument/2006/relationships/hyperlink" Target="https://www.benzin-price.ru/price2.php?region_id=61" TargetMode="External"/><Relationship Id="rId17" Type="http://schemas.openxmlformats.org/officeDocument/2006/relationships/hyperlink" Target="https://www.benzin-price.ru/price2.php?region_id=61" TargetMode="External"/><Relationship Id="rId18" Type="http://schemas.openxmlformats.org/officeDocument/2006/relationships/hyperlink" Target="https://www.fedstat.ru/indicator/57699" TargetMode="External"/><Relationship Id="rId19" Type="http://schemas.openxmlformats.org/officeDocument/2006/relationships/hyperlink" Target="https://www.fedstat.ru/indicator/57699" TargetMode="External"/><Relationship Id="rId20" Type="http://schemas.openxmlformats.org/officeDocument/2006/relationships/hyperlink" Target="https://www.fedstat.ru/indicator/57699" TargetMode="External"/><Relationship Id="rId21" Type="http://schemas.openxmlformats.org/officeDocument/2006/relationships/hyperlink" Target="https://www.fedstat.ru/indicator/57699" TargetMode="External"/><Relationship Id="rId22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23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24" Type="http://schemas.openxmlformats.org/officeDocument/2006/relationships/hyperlink" Target="https://www.gipernn.ru/" TargetMode="External"/><Relationship Id="rId25" Type="http://schemas.openxmlformats.org/officeDocument/2006/relationships/hyperlink" Target="https://www.gipernn.ru/" TargetMode="External"/><Relationship Id="rId26" Type="http://schemas.openxmlformats.org/officeDocument/2006/relationships/hyperlink" Target="https://www.gipernn.ru/" TargetMode="External"/><Relationship Id="rId27" Type="http://schemas.openxmlformats.org/officeDocument/2006/relationships/hyperlink" Target="https://www.gipernn.ru/" TargetMode="External"/><Relationship Id="rId28" Type="http://schemas.openxmlformats.org/officeDocument/2006/relationships/hyperlink" Target="https://www.gipernn.ru/" TargetMode="External"/><Relationship Id="rId29" Type="http://schemas.openxmlformats.org/officeDocument/2006/relationships/hyperlink" Target="https://www.gipernn.ru/" TargetMode="External"/><Relationship Id="rId30" Type="http://schemas.openxmlformats.org/officeDocument/2006/relationships/hyperlink" Target="https://fedstat.ru/indicator/43298" TargetMode="External"/><Relationship Id="rId31" Type="http://schemas.openxmlformats.org/officeDocument/2006/relationships/hyperlink" Target="https://sberindex.ru/ru/dashboards/izmenenie-aktivnosti-msp-po-regionam" TargetMode="External"/><Relationship Id="rId32" Type="http://schemas.openxmlformats.org/officeDocument/2006/relationships/hyperlink" Target="https://sberindex.ru/ru/dashboards/indeks-potrebitelskoi-aktivnosti" TargetMode="External"/><Relationship Id="rId33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4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5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6" Type="http://schemas.openxmlformats.org/officeDocument/2006/relationships/hyperlink" Target="https://edu.gov.ru/activity/statistics/secondary_prof_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R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70" workbookViewId="0">
      <pane xSplit="11" ySplit="2" topLeftCell="L3" activePane="bottomRight" state="frozen"/>
      <selection pane="topLeft" activeCell="A1" activeCellId="0" sqref="A1"/>
      <selection pane="topRight" activeCell="L1" activeCellId="0" sqref="L1"/>
      <selection pane="bottomLeft" activeCell="A3" activeCellId="0" sqref="A3"/>
      <selection pane="bottomRight" activeCell="A41" activeCellId="0" sqref="A41"/>
    </sheetView>
  </sheetViews>
  <sheetFormatPr defaultColWidth="9.15625" defaultRowHeight="15" zeroHeight="false" outlineLevelRow="1" outlineLevelCol="1"/>
  <cols>
    <col collapsed="false" customWidth="true" hidden="false" outlineLevel="0" max="1" min="1" style="0" width="14.86"/>
    <col collapsed="false" customWidth="true" hidden="false" outlineLevel="0" max="2" min="2" style="0" width="16.14"/>
    <col collapsed="false" customWidth="true" hidden="false" outlineLevel="0" max="3" min="3" style="0" width="44.85"/>
    <col collapsed="false" customWidth="true" hidden="false" outlineLevel="0" max="4" min="4" style="0" width="49.42"/>
    <col collapsed="false" customWidth="true" hidden="false" outlineLevel="1" max="5" min="5" style="0" width="24.86"/>
    <col collapsed="false" customWidth="true" hidden="false" outlineLevel="1" max="6" min="6" style="0" width="44.42"/>
    <col collapsed="false" customWidth="true" hidden="false" outlineLevel="0" max="8" min="7" style="0" width="10.99"/>
    <col collapsed="false" customWidth="true" hidden="false" outlineLevel="0" max="9" min="9" style="0" width="8.71"/>
    <col collapsed="false" customWidth="true" hidden="false" outlineLevel="0" max="10" min="10" style="0" width="12.42"/>
    <col collapsed="false" customWidth="true" hidden="false" outlineLevel="0" max="11" min="11" style="0" width="25"/>
    <col collapsed="false" customWidth="true" hidden="false" outlineLevel="0" max="12" min="12" style="0" width="12.29"/>
    <col collapsed="false" customWidth="true" hidden="false" outlineLevel="0" max="14" min="13" style="0" width="10.14"/>
    <col collapsed="false" customWidth="true" hidden="false" outlineLevel="0" max="21" min="15" style="0" width="11.14"/>
    <col collapsed="false" customWidth="true" hidden="false" outlineLevel="0" max="22" min="22" style="0" width="12.29"/>
    <col collapsed="false" customWidth="true" hidden="false" outlineLevel="0" max="23" min="23" style="0" width="12.42"/>
    <col collapsed="false" customWidth="true" hidden="false" outlineLevel="0" max="28" min="24" style="0" width="14.28"/>
    <col collapsed="false" customWidth="true" hidden="false" outlineLevel="0" max="29" min="29" style="0" width="12.42"/>
    <col collapsed="false" customWidth="true" hidden="false" outlineLevel="0" max="31" min="30" style="0" width="10.29"/>
    <col collapsed="false" customWidth="true" hidden="false" outlineLevel="0" max="36" min="32" style="0" width="11.29"/>
    <col collapsed="false" customWidth="true" hidden="false" outlineLevel="0" max="39" min="37" style="0" width="13.86"/>
    <col collapsed="false" customWidth="true" hidden="false" outlineLevel="0" max="40" min="40" style="0" width="13.14"/>
    <col collapsed="false" customWidth="true" hidden="false" outlineLevel="0" max="44" min="41" style="0" width="14.28"/>
    <col collapsed="false" customWidth="true" hidden="false" outlineLevel="0" max="45" min="45" style="0" width="14.43"/>
    <col collapsed="false" customWidth="true" hidden="false" outlineLevel="0" max="57" min="46" style="0" width="13.14"/>
    <col collapsed="false" customWidth="true" hidden="false" outlineLevel="0" max="58" min="58" style="0" width="14.28"/>
    <col collapsed="false" customWidth="true" hidden="false" outlineLevel="0" max="59" min="59" style="0" width="13.14"/>
    <col collapsed="false" customWidth="true" hidden="false" outlineLevel="0" max="60" min="60" style="0" width="14.28"/>
    <col collapsed="false" customWidth="true" hidden="false" outlineLevel="0" max="62" min="61" style="0" width="14.43"/>
    <col collapsed="false" customWidth="true" hidden="false" outlineLevel="0" max="74" min="63" style="0" width="13.14"/>
    <col collapsed="false" customWidth="true" hidden="false" outlineLevel="0" max="76" min="75" style="0" width="14.28"/>
    <col collapsed="false" customWidth="true" hidden="false" outlineLevel="0" max="79" min="77" style="0" width="14.43"/>
    <col collapsed="false" customWidth="true" hidden="false" outlineLevel="0" max="89" min="80" style="0" width="13.14"/>
    <col collapsed="false" customWidth="true" hidden="false" outlineLevel="0" max="90" min="90" style="0" width="8.29"/>
    <col collapsed="false" customWidth="true" hidden="false" outlineLevel="0" max="91" min="91" style="0" width="7.29"/>
    <col collapsed="false" customWidth="true" hidden="false" outlineLevel="0" max="93" min="92" style="0" width="14.28"/>
    <col collapsed="false" customWidth="true" hidden="false" outlineLevel="0" max="94" min="94" style="0" width="8.71"/>
    <col collapsed="false" customWidth="true" hidden="false" outlineLevel="0" max="95" min="95" style="0" width="10.71"/>
    <col collapsed="false" customWidth="true" hidden="false" outlineLevel="0" max="96" min="96" style="0" width="7.42"/>
  </cols>
  <sheetData>
    <row r="2" customFormat="false" ht="30" hidden="false" customHeight="false" outlineLevel="0" collapsed="false">
      <c r="C2" s="1" t="s">
        <v>0</v>
      </c>
      <c r="D2" s="1" t="s">
        <v>1</v>
      </c>
      <c r="E2" s="2" t="s">
        <v>2</v>
      </c>
      <c r="F2" s="3" t="s">
        <v>3</v>
      </c>
      <c r="G2" s="1" t="s">
        <v>4</v>
      </c>
      <c r="H2" s="1" t="s">
        <v>5</v>
      </c>
      <c r="I2" s="4" t="s">
        <v>6</v>
      </c>
      <c r="J2" s="5" t="s">
        <v>7</v>
      </c>
      <c r="K2" s="6" t="s">
        <v>8</v>
      </c>
      <c r="L2" s="5" t="n">
        <v>43101</v>
      </c>
      <c r="M2" s="5" t="n">
        <v>43132</v>
      </c>
      <c r="N2" s="5" t="n">
        <v>43160</v>
      </c>
      <c r="O2" s="5" t="n">
        <v>43191</v>
      </c>
      <c r="P2" s="5" t="n">
        <v>43221</v>
      </c>
      <c r="Q2" s="5" t="n">
        <v>43252</v>
      </c>
      <c r="R2" s="5" t="n">
        <v>43282</v>
      </c>
      <c r="S2" s="5" t="n">
        <v>43313</v>
      </c>
      <c r="T2" s="5" t="n">
        <v>43344</v>
      </c>
      <c r="U2" s="5" t="n">
        <v>43374</v>
      </c>
      <c r="V2" s="5" t="n">
        <v>43405</v>
      </c>
      <c r="W2" s="5" t="n">
        <v>43435</v>
      </c>
      <c r="X2" s="1" t="s">
        <v>9</v>
      </c>
      <c r="Y2" s="1" t="s">
        <v>10</v>
      </c>
      <c r="Z2" s="1" t="s">
        <v>11</v>
      </c>
      <c r="AA2" s="1" t="s">
        <v>12</v>
      </c>
      <c r="AB2" s="1" t="n">
        <v>2018</v>
      </c>
      <c r="AC2" s="5" t="n">
        <v>43466</v>
      </c>
      <c r="AD2" s="5" t="n">
        <v>43497</v>
      </c>
      <c r="AE2" s="5" t="n">
        <v>43525</v>
      </c>
      <c r="AF2" s="5" t="n">
        <v>43556</v>
      </c>
      <c r="AG2" s="5" t="n">
        <v>43586</v>
      </c>
      <c r="AH2" s="5" t="n">
        <v>43617</v>
      </c>
      <c r="AI2" s="5" t="n">
        <v>43647</v>
      </c>
      <c r="AJ2" s="5" t="n">
        <v>43678</v>
      </c>
      <c r="AK2" s="5" t="n">
        <v>43709</v>
      </c>
      <c r="AL2" s="5" t="n">
        <v>43739</v>
      </c>
      <c r="AM2" s="5" t="n">
        <v>43770</v>
      </c>
      <c r="AN2" s="5" t="n">
        <v>43800</v>
      </c>
      <c r="AO2" s="1" t="s">
        <v>13</v>
      </c>
      <c r="AP2" s="1" t="s">
        <v>14</v>
      </c>
      <c r="AQ2" s="1" t="s">
        <v>15</v>
      </c>
      <c r="AR2" s="1" t="s">
        <v>16</v>
      </c>
      <c r="AS2" s="1" t="n">
        <v>2019</v>
      </c>
      <c r="AT2" s="5" t="n">
        <v>43831</v>
      </c>
      <c r="AU2" s="5" t="n">
        <v>43862</v>
      </c>
      <c r="AV2" s="5" t="n">
        <v>43891</v>
      </c>
      <c r="AW2" s="5" t="n">
        <v>43922</v>
      </c>
      <c r="AX2" s="5" t="n">
        <v>43952</v>
      </c>
      <c r="AY2" s="5" t="n">
        <v>43983</v>
      </c>
      <c r="AZ2" s="5" t="n">
        <v>44013</v>
      </c>
      <c r="BA2" s="5" t="n">
        <v>44044</v>
      </c>
      <c r="BB2" s="5" t="n">
        <v>44075</v>
      </c>
      <c r="BC2" s="5" t="n">
        <v>44105</v>
      </c>
      <c r="BD2" s="5" t="n">
        <v>44136</v>
      </c>
      <c r="BE2" s="5" t="n">
        <v>44166</v>
      </c>
      <c r="BF2" s="1" t="s">
        <v>17</v>
      </c>
      <c r="BG2" s="1" t="s">
        <v>18</v>
      </c>
      <c r="BH2" s="1" t="s">
        <v>19</v>
      </c>
      <c r="BI2" s="1" t="s">
        <v>20</v>
      </c>
      <c r="BJ2" s="1" t="n">
        <v>2020</v>
      </c>
      <c r="BK2" s="5" t="n">
        <v>44197</v>
      </c>
      <c r="BL2" s="5" t="n">
        <v>44228</v>
      </c>
      <c r="BM2" s="5" t="n">
        <v>44256</v>
      </c>
      <c r="BN2" s="5" t="n">
        <v>44287</v>
      </c>
      <c r="BO2" s="5" t="n">
        <v>44317</v>
      </c>
      <c r="BP2" s="5" t="n">
        <v>44348</v>
      </c>
      <c r="BQ2" s="5" t="n">
        <v>44378</v>
      </c>
      <c r="BR2" s="5" t="n">
        <v>44409</v>
      </c>
      <c r="BS2" s="5" t="n">
        <v>44440</v>
      </c>
      <c r="BT2" s="5" t="n">
        <v>44470</v>
      </c>
      <c r="BU2" s="5" t="n">
        <v>44501</v>
      </c>
      <c r="BV2" s="5" t="n">
        <v>44531</v>
      </c>
      <c r="BW2" s="1" t="s">
        <v>21</v>
      </c>
      <c r="BX2" s="1" t="s">
        <v>22</v>
      </c>
      <c r="BY2" s="1" t="s">
        <v>23</v>
      </c>
      <c r="BZ2" s="1" t="s">
        <v>24</v>
      </c>
      <c r="CA2" s="1" t="n">
        <v>2021</v>
      </c>
      <c r="CB2" s="5" t="n">
        <v>44562</v>
      </c>
      <c r="CC2" s="5" t="n">
        <v>44593</v>
      </c>
      <c r="CD2" s="5" t="n">
        <v>44621</v>
      </c>
      <c r="CE2" s="5" t="n">
        <v>44652</v>
      </c>
      <c r="CF2" s="5" t="n">
        <v>44682</v>
      </c>
      <c r="CG2" s="5" t="n">
        <v>44713</v>
      </c>
      <c r="CH2" s="5" t="n">
        <v>44743</v>
      </c>
      <c r="CI2" s="5" t="n">
        <v>44774</v>
      </c>
      <c r="CJ2" s="5" t="n">
        <v>44805</v>
      </c>
      <c r="CK2" s="5" t="n">
        <v>44835</v>
      </c>
      <c r="CL2" s="5" t="n">
        <v>44866</v>
      </c>
      <c r="CM2" s="5" t="n">
        <v>44896</v>
      </c>
      <c r="CN2" s="1" t="s">
        <v>25</v>
      </c>
      <c r="CO2" s="1" t="s">
        <v>26</v>
      </c>
      <c r="CP2" s="1" t="s">
        <v>27</v>
      </c>
      <c r="CQ2" s="1" t="s">
        <v>28</v>
      </c>
      <c r="CR2" s="1" t="n">
        <v>2022</v>
      </c>
    </row>
    <row r="3" customFormat="false" ht="15" hidden="false" customHeight="false" outlineLevel="0" collapsed="false">
      <c r="A3" s="7"/>
      <c r="B3" s="7" t="s">
        <v>29</v>
      </c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  <c r="AP3" s="10"/>
      <c r="AQ3" s="10"/>
      <c r="AR3" s="10"/>
      <c r="AS3" s="10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  <c r="BG3" s="10"/>
      <c r="BH3" s="10"/>
      <c r="BI3" s="10"/>
      <c r="BJ3" s="10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10"/>
      <c r="BX3" s="10"/>
      <c r="BY3" s="10"/>
      <c r="BZ3" s="10"/>
      <c r="CB3" s="9"/>
      <c r="CC3" s="9"/>
      <c r="CD3" s="9"/>
      <c r="CE3" s="9"/>
      <c r="CF3" s="9"/>
      <c r="CG3" s="9"/>
      <c r="CH3" s="9"/>
      <c r="CI3" s="9"/>
      <c r="CJ3" s="9"/>
      <c r="CK3" s="9"/>
    </row>
    <row r="4" customFormat="false" ht="15" hidden="false" customHeight="false" outlineLevel="0" collapsed="false">
      <c r="A4" s="11" t="n">
        <v>1</v>
      </c>
      <c r="B4" s="12"/>
      <c r="C4" s="12" t="s">
        <v>30</v>
      </c>
      <c r="D4" s="13" t="s">
        <v>31</v>
      </c>
      <c r="E4" s="14" t="s">
        <v>32</v>
      </c>
      <c r="F4" s="12" t="s">
        <v>33</v>
      </c>
      <c r="G4" s="12" t="s">
        <v>34</v>
      </c>
      <c r="H4" s="13" t="s">
        <v>35</v>
      </c>
      <c r="I4" s="15" t="s">
        <v>36</v>
      </c>
      <c r="J4" s="16" t="n">
        <v>43101</v>
      </c>
      <c r="K4" s="17" t="s">
        <v>37</v>
      </c>
      <c r="X4" s="18" t="n">
        <v>11.3</v>
      </c>
      <c r="Y4" s="18" t="n">
        <v>8.8</v>
      </c>
      <c r="Z4" s="18" t="n">
        <v>3.5</v>
      </c>
      <c r="AA4" s="18" t="n">
        <v>90.2</v>
      </c>
      <c r="AB4" s="18" t="n">
        <f aca="false">SUM(X4:AA4)</f>
        <v>113.8</v>
      </c>
      <c r="AO4" s="18" t="n">
        <v>7.7</v>
      </c>
      <c r="AP4" s="18" t="n">
        <v>3.8</v>
      </c>
      <c r="AQ4" s="18" t="n">
        <v>8.5</v>
      </c>
      <c r="AR4" s="19" t="n">
        <v>15.2</v>
      </c>
      <c r="AS4" s="19" t="n">
        <f aca="false">SUM(AO4:AR4)</f>
        <v>35.2</v>
      </c>
      <c r="BF4" s="20" t="n">
        <v>7</v>
      </c>
      <c r="BG4" s="20" t="n">
        <v>7</v>
      </c>
      <c r="BH4" s="20" t="n">
        <v>5</v>
      </c>
      <c r="BI4" s="18" t="n">
        <v>29.3</v>
      </c>
      <c r="BJ4" s="0" t="n">
        <f aca="false">48.3</f>
        <v>48.3</v>
      </c>
      <c r="BW4" s="18" t="n">
        <v>7</v>
      </c>
      <c r="BX4" s="18" t="n">
        <v>10.5</v>
      </c>
      <c r="BY4" s="18" t="n">
        <v>6.5</v>
      </c>
      <c r="BZ4" s="18" t="n">
        <v>79.6</v>
      </c>
      <c r="CA4" s="18" t="n">
        <f aca="false">SUM(BW4:BZ4)</f>
        <v>103.6</v>
      </c>
      <c r="CN4" s="18" t="n">
        <v>22.7</v>
      </c>
      <c r="CO4" s="18" t="n">
        <v>14.4</v>
      </c>
      <c r="CP4" s="18" t="n">
        <v>6.8</v>
      </c>
    </row>
    <row r="5" customFormat="false" ht="18.75" hidden="false" customHeight="true" outlineLevel="0" collapsed="false">
      <c r="A5" s="11" t="n">
        <v>2</v>
      </c>
      <c r="B5" s="12"/>
      <c r="C5" s="12" t="s">
        <v>38</v>
      </c>
      <c r="D5" s="21" t="s">
        <v>39</v>
      </c>
      <c r="E5" s="14" t="s">
        <v>40</v>
      </c>
      <c r="F5" s="12" t="s">
        <v>41</v>
      </c>
      <c r="G5" s="12" t="s">
        <v>34</v>
      </c>
      <c r="H5" s="12" t="s">
        <v>42</v>
      </c>
      <c r="I5" s="22" t="s">
        <v>43</v>
      </c>
      <c r="J5" s="16" t="n">
        <v>43800</v>
      </c>
      <c r="K5" s="17" t="s">
        <v>37</v>
      </c>
      <c r="AN5" s="23" t="n">
        <v>1677775.553</v>
      </c>
      <c r="AO5" s="24"/>
      <c r="AP5" s="24"/>
      <c r="AQ5" s="24"/>
      <c r="AR5" s="24"/>
      <c r="AS5" s="24"/>
      <c r="AT5" s="23" t="n">
        <v>1620820.829</v>
      </c>
      <c r="AU5" s="23" t="n">
        <v>1511474.116</v>
      </c>
      <c r="AV5" s="23" t="n">
        <v>1475464.405</v>
      </c>
      <c r="AW5" s="23" t="n">
        <v>1340293.914</v>
      </c>
      <c r="AX5" s="23" t="n">
        <v>1250673.669</v>
      </c>
      <c r="AY5" s="23" t="n">
        <v>1338419.751</v>
      </c>
      <c r="AZ5" s="23" t="n">
        <v>1544755.166</v>
      </c>
      <c r="BA5" s="23" t="n">
        <v>1458960.743</v>
      </c>
      <c r="BB5" s="23" t="n">
        <v>1351349.375</v>
      </c>
      <c r="BC5" s="23" t="n">
        <v>1444349.525</v>
      </c>
      <c r="BD5" s="23" t="n">
        <v>1570952.28</v>
      </c>
      <c r="BE5" s="23" t="n">
        <v>1816452.761</v>
      </c>
      <c r="BF5" s="24"/>
      <c r="BG5" s="24"/>
      <c r="BH5" s="24"/>
      <c r="BI5" s="24"/>
      <c r="BJ5" s="24"/>
      <c r="BK5" s="23" t="n">
        <v>1748302.217</v>
      </c>
      <c r="BL5" s="23" t="n">
        <v>1587773.636</v>
      </c>
      <c r="BM5" s="23" t="n">
        <v>1707464.192</v>
      </c>
      <c r="BN5" s="23" t="n">
        <v>1511368.068</v>
      </c>
      <c r="BO5" s="23" t="n">
        <v>1415808.156</v>
      </c>
      <c r="BP5" s="23" t="n">
        <v>1460885.747</v>
      </c>
      <c r="BQ5" s="23" t="n">
        <v>1720656.115</v>
      </c>
      <c r="BR5" s="23" t="n">
        <v>1652006.309</v>
      </c>
      <c r="BS5" s="23" t="n">
        <v>1387656.586</v>
      </c>
      <c r="BT5" s="23" t="n">
        <v>1584074.166</v>
      </c>
      <c r="BU5" s="23" t="n">
        <v>1634935.523</v>
      </c>
      <c r="BV5" s="23" t="n">
        <v>1796709.768</v>
      </c>
      <c r="BW5" s="24"/>
      <c r="BX5" s="24"/>
      <c r="BY5" s="24"/>
      <c r="BZ5" s="24"/>
      <c r="CA5" s="24"/>
      <c r="CB5" s="23" t="n">
        <v>1830282.77</v>
      </c>
      <c r="CC5" s="23" t="n">
        <v>1602099.79</v>
      </c>
      <c r="CD5" s="23" t="n">
        <v>1740630.087</v>
      </c>
      <c r="CE5" s="23" t="n">
        <v>1501815.699</v>
      </c>
      <c r="CF5" s="23" t="n">
        <v>1424398.252</v>
      </c>
      <c r="CG5" s="23" t="n">
        <v>1485308.81</v>
      </c>
      <c r="CH5" s="23" t="n">
        <v>1588497.446</v>
      </c>
      <c r="CI5" s="23" t="n">
        <v>1686911.468</v>
      </c>
      <c r="CJ5" s="23" t="n">
        <v>1432092.021</v>
      </c>
      <c r="CK5" s="23" t="n">
        <v>1567132.83</v>
      </c>
    </row>
    <row r="6" customFormat="false" ht="15" hidden="false" customHeight="false" outlineLevel="0" collapsed="false">
      <c r="A6" s="11" t="n">
        <v>3</v>
      </c>
      <c r="B6" s="12"/>
      <c r="C6" s="12" t="s">
        <v>44</v>
      </c>
      <c r="D6" s="12" t="s">
        <v>45</v>
      </c>
      <c r="E6" s="14" t="s">
        <v>46</v>
      </c>
      <c r="F6" s="12"/>
      <c r="G6" s="12" t="s">
        <v>34</v>
      </c>
      <c r="H6" s="12" t="s">
        <v>47</v>
      </c>
      <c r="I6" s="22" t="s">
        <v>43</v>
      </c>
      <c r="J6" s="16" t="n">
        <v>43466</v>
      </c>
      <c r="K6" s="17" t="s">
        <v>37</v>
      </c>
      <c r="AC6" s="9" t="n">
        <v>13820</v>
      </c>
      <c r="AD6" s="9" t="n">
        <v>15759</v>
      </c>
      <c r="AE6" s="9" t="n">
        <v>13982</v>
      </c>
      <c r="AF6" s="9" t="n">
        <v>14490</v>
      </c>
      <c r="AG6" s="9" t="n">
        <v>15561</v>
      </c>
      <c r="AH6" s="9" t="n">
        <v>13706</v>
      </c>
      <c r="AI6" s="9" t="n">
        <v>13748</v>
      </c>
      <c r="AJ6" s="9" t="n">
        <v>12369</v>
      </c>
      <c r="AK6" s="9" t="n">
        <v>11319</v>
      </c>
      <c r="AL6" s="9" t="n">
        <v>14237</v>
      </c>
      <c r="AM6" s="9" t="n">
        <v>14478</v>
      </c>
      <c r="AN6" s="9" t="n">
        <v>13801</v>
      </c>
      <c r="AO6" s="10"/>
      <c r="AP6" s="10"/>
      <c r="AQ6" s="10"/>
      <c r="AR6" s="10"/>
      <c r="AS6" s="10" t="n">
        <f aca="false">SUM(AC6:AN6)</f>
        <v>167270</v>
      </c>
      <c r="AT6" s="9" t="n">
        <v>12785</v>
      </c>
      <c r="AU6" s="9" t="n">
        <v>15241</v>
      </c>
      <c r="AV6" s="9" t="n">
        <v>14270</v>
      </c>
      <c r="AW6" s="9" t="n">
        <v>13420</v>
      </c>
      <c r="AX6" s="9" t="n">
        <v>12902</v>
      </c>
      <c r="AY6" s="9" t="n">
        <v>12873</v>
      </c>
      <c r="AZ6" s="9" t="n">
        <v>12207</v>
      </c>
      <c r="BA6" s="9" t="n">
        <v>10805</v>
      </c>
      <c r="BB6" s="9" t="n">
        <v>10284</v>
      </c>
      <c r="BC6" s="9" t="n">
        <v>11027</v>
      </c>
      <c r="BD6" s="9" t="n">
        <v>10881</v>
      </c>
      <c r="BE6" s="9" t="n">
        <v>9924</v>
      </c>
      <c r="BJ6" s="0" t="n">
        <f aca="false">SUM(AT6:BE6)</f>
        <v>146619</v>
      </c>
      <c r="BK6" s="0" t="n">
        <v>10325</v>
      </c>
      <c r="BL6" s="0" t="n">
        <v>10822</v>
      </c>
      <c r="BM6" s="0" t="n">
        <v>11273</v>
      </c>
      <c r="BN6" s="0" t="n">
        <v>11661</v>
      </c>
      <c r="BO6" s="0" t="n">
        <v>12169</v>
      </c>
      <c r="BP6" s="0" t="n">
        <v>13215</v>
      </c>
      <c r="BQ6" s="0" t="n">
        <v>14250</v>
      </c>
      <c r="BR6" s="0" t="n">
        <v>13829</v>
      </c>
      <c r="BS6" s="0" t="n">
        <v>13828</v>
      </c>
      <c r="BT6" s="0" t="n">
        <v>15139</v>
      </c>
      <c r="BU6" s="0" t="n">
        <v>14962</v>
      </c>
      <c r="BV6" s="0" t="n">
        <v>13930</v>
      </c>
      <c r="CB6" s="0" t="n">
        <v>13736</v>
      </c>
      <c r="CC6" s="0" t="n">
        <v>12459</v>
      </c>
      <c r="CD6" s="0" t="n">
        <v>12886</v>
      </c>
      <c r="CE6" s="0" t="n">
        <v>14187</v>
      </c>
      <c r="CF6" s="0" t="n">
        <v>14965</v>
      </c>
      <c r="CG6" s="0" t="n">
        <v>18037</v>
      </c>
      <c r="CH6" s="0" t="n">
        <v>18620</v>
      </c>
      <c r="CI6" s="0" t="n">
        <v>20538</v>
      </c>
      <c r="CJ6" s="0" t="n">
        <v>20597</v>
      </c>
      <c r="CK6" s="0" t="n">
        <v>17860</v>
      </c>
    </row>
    <row r="7" customFormat="false" ht="15" hidden="false" customHeight="false" outlineLevel="0" collapsed="false">
      <c r="A7" s="11" t="n">
        <v>4</v>
      </c>
      <c r="B7" s="12"/>
      <c r="C7" s="12" t="s">
        <v>48</v>
      </c>
      <c r="D7" s="13" t="s">
        <v>49</v>
      </c>
      <c r="E7" s="14" t="s">
        <v>32</v>
      </c>
      <c r="F7" s="12" t="s">
        <v>33</v>
      </c>
      <c r="G7" s="12" t="s">
        <v>34</v>
      </c>
      <c r="H7" s="13" t="s">
        <v>35</v>
      </c>
      <c r="I7" s="15" t="s">
        <v>36</v>
      </c>
      <c r="J7" s="16" t="n">
        <v>43101</v>
      </c>
      <c r="K7" s="17" t="s">
        <v>37</v>
      </c>
      <c r="X7" s="25" t="n">
        <v>682.3</v>
      </c>
      <c r="Y7" s="26" t="n">
        <f aca="false">1600-X7</f>
        <v>917.7</v>
      </c>
      <c r="Z7" s="26" t="n">
        <f aca="false">2325.8-Y7-X7</f>
        <v>725.8</v>
      </c>
      <c r="AA7" s="26" t="n">
        <f aca="false">3628.8-X7-Y7-Z7</f>
        <v>1303</v>
      </c>
      <c r="AB7" s="26" t="n">
        <f aca="false">SUM(X7:AA7)</f>
        <v>3628.8</v>
      </c>
      <c r="AO7" s="25" t="n">
        <v>807.3</v>
      </c>
      <c r="AP7" s="26" t="n">
        <f aca="false">1739.7-AO7</f>
        <v>932.4</v>
      </c>
      <c r="AQ7" s="26" t="n">
        <f aca="false">2719-AP7-AO7</f>
        <v>979.3</v>
      </c>
      <c r="AR7" s="26" t="n">
        <f aca="false">3902.6-AQ7-AP7-AO7</f>
        <v>1183.6</v>
      </c>
      <c r="AS7" s="26" t="n">
        <f aca="false">SUM(AO7:AR7)</f>
        <v>3902.6</v>
      </c>
      <c r="BF7" s="0" t="n">
        <v>755</v>
      </c>
      <c r="BG7" s="0" t="n">
        <f aca="false">1410.3-BF7</f>
        <v>655.3</v>
      </c>
      <c r="BH7" s="0" t="n">
        <f aca="false">2455.5-BG7-BF7</f>
        <v>1045.2</v>
      </c>
      <c r="BI7" s="0" t="n">
        <f aca="false">3883.6-BH7-BG7-BF7</f>
        <v>1428.1</v>
      </c>
      <c r="BJ7" s="0" t="n">
        <f aca="false">SUM(BF7:BI7)</f>
        <v>3883.6</v>
      </c>
      <c r="BK7" s="0" t="n">
        <v>26935</v>
      </c>
      <c r="BL7" s="0" t="n">
        <v>25982</v>
      </c>
      <c r="BM7" s="0" t="n">
        <v>25282</v>
      </c>
      <c r="BN7" s="0" t="n">
        <v>29106</v>
      </c>
      <c r="BO7" s="0" t="n">
        <v>31176</v>
      </c>
      <c r="BP7" s="0" t="n">
        <v>33578</v>
      </c>
      <c r="BQ7" s="0" t="n">
        <v>37071</v>
      </c>
      <c r="BR7" s="0" t="n">
        <v>42016</v>
      </c>
      <c r="BS7" s="0" t="n">
        <v>37129</v>
      </c>
      <c r="BT7" s="0" t="n">
        <v>40662</v>
      </c>
      <c r="BU7" s="0" t="n">
        <v>40535</v>
      </c>
      <c r="BV7" s="0" t="n">
        <v>41342</v>
      </c>
      <c r="CA7" s="0" t="n">
        <f aca="false">SUM(BK7:BV7)</f>
        <v>410814</v>
      </c>
      <c r="CB7" s="0" t="n">
        <v>39025</v>
      </c>
      <c r="CC7" s="0" t="n">
        <v>38353</v>
      </c>
      <c r="CD7" s="0" t="n">
        <v>43798</v>
      </c>
      <c r="CE7" s="0" t="n">
        <v>42498</v>
      </c>
      <c r="CF7" s="0" t="n">
        <v>45119</v>
      </c>
      <c r="CG7" s="0" t="n">
        <v>49617</v>
      </c>
      <c r="CH7" s="0" t="n">
        <v>50548</v>
      </c>
      <c r="CI7" s="0" t="n">
        <v>51386</v>
      </c>
      <c r="CJ7" s="0" t="n">
        <v>62190</v>
      </c>
      <c r="CK7" s="0" t="n">
        <v>54743</v>
      </c>
    </row>
    <row r="8" customFormat="false" ht="15" hidden="false" customHeight="false" outlineLevel="0" collapsed="false">
      <c r="A8" s="11" t="n">
        <v>5</v>
      </c>
      <c r="B8" s="12"/>
      <c r="C8" s="12" t="s">
        <v>48</v>
      </c>
      <c r="D8" s="12" t="s">
        <v>50</v>
      </c>
      <c r="E8" s="14" t="s">
        <v>32</v>
      </c>
      <c r="F8" s="12" t="s">
        <v>33</v>
      </c>
      <c r="G8" s="12" t="s">
        <v>34</v>
      </c>
      <c r="H8" s="13" t="s">
        <v>35</v>
      </c>
      <c r="I8" s="15" t="s">
        <v>36</v>
      </c>
      <c r="J8" s="16" t="n">
        <v>43101</v>
      </c>
      <c r="K8" s="17" t="s">
        <v>37</v>
      </c>
      <c r="X8" s="25" t="n">
        <v>621.9</v>
      </c>
      <c r="Y8" s="25" t="n">
        <f aca="false">1438.8-X8</f>
        <v>816.9</v>
      </c>
      <c r="Z8" s="26" t="n">
        <f aca="false">2035.7-Y8-X8</f>
        <v>596.9</v>
      </c>
      <c r="AA8" s="26" t="n">
        <f aca="false">3164.5-Z8-Y8-X8</f>
        <v>1128.8</v>
      </c>
      <c r="AB8" s="27" t="n">
        <f aca="false">SUM(X8:AA8)</f>
        <v>3164.5</v>
      </c>
      <c r="AC8" s="27"/>
      <c r="AD8" s="27"/>
      <c r="AE8" s="27"/>
      <c r="AF8" s="27"/>
      <c r="AO8" s="25" t="n">
        <v>739.5</v>
      </c>
      <c r="AP8" s="25" t="n">
        <f aca="false">1576.7-AO8</f>
        <v>837.2</v>
      </c>
      <c r="AQ8" s="28" t="n">
        <f aca="false">2426.9-AP8-AO8</f>
        <v>850.2</v>
      </c>
      <c r="AR8" s="26" t="n">
        <f aca="false">3484.2-AQ8-AP8-AO8</f>
        <v>1057.3</v>
      </c>
      <c r="AS8" s="26" t="n">
        <f aca="false">SUM(AO8:AR8)</f>
        <v>3484.2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F8" s="0" t="n">
        <v>691.4</v>
      </c>
      <c r="BG8" s="0" t="n">
        <f aca="false">1295.3-BF8</f>
        <v>603.9</v>
      </c>
      <c r="BH8" s="0" t="n">
        <f aca="false">2194.2-BG8-BF8</f>
        <v>898.9</v>
      </c>
      <c r="BI8" s="0" t="n">
        <f aca="false">3518.9-BH8-BG8-BF8</f>
        <v>1324.7</v>
      </c>
      <c r="BJ8" s="0" t="n">
        <f aca="false">SUM(BF8:BI8)</f>
        <v>3518.9</v>
      </c>
      <c r="BW8" s="0" t="n">
        <v>523.3</v>
      </c>
      <c r="BX8" s="0" t="n">
        <f aca="false">1271.8-BW8</f>
        <v>748.5</v>
      </c>
      <c r="BY8" s="0" t="n">
        <f aca="false">2239.5-BX8-BW8</f>
        <v>967.7</v>
      </c>
      <c r="BZ8" s="0" t="n">
        <f aca="false">3347.9-BW8-BX8-BY8</f>
        <v>1108.4</v>
      </c>
      <c r="CA8" s="0" t="n">
        <f aca="false">SUM(BW8:BZ8)</f>
        <v>3347.9</v>
      </c>
      <c r="CN8" s="0" t="n">
        <v>976.3</v>
      </c>
      <c r="CO8" s="0" t="n">
        <f aca="false">1740.3-CN8</f>
        <v>764</v>
      </c>
      <c r="CP8" s="0" t="n">
        <f aca="false">2614.8-CO8-CN8</f>
        <v>874.5</v>
      </c>
    </row>
    <row r="9" customFormat="false" ht="15" hidden="false" customHeight="false" outlineLevel="0" collapsed="false">
      <c r="A9" s="11" t="n">
        <v>6</v>
      </c>
      <c r="B9" s="12"/>
      <c r="C9" s="12" t="s">
        <v>44</v>
      </c>
      <c r="D9" s="21" t="s">
        <v>51</v>
      </c>
      <c r="E9" s="14" t="s">
        <v>52</v>
      </c>
      <c r="F9" s="13" t="s">
        <v>53</v>
      </c>
      <c r="G9" s="12" t="s">
        <v>54</v>
      </c>
      <c r="H9" s="12" t="s">
        <v>55</v>
      </c>
      <c r="I9" s="22" t="s">
        <v>43</v>
      </c>
      <c r="J9" s="16" t="n">
        <v>43101</v>
      </c>
      <c r="K9" s="17" t="s">
        <v>37</v>
      </c>
      <c r="L9" s="30" t="n">
        <v>207661</v>
      </c>
      <c r="M9" s="30" t="n">
        <v>20671</v>
      </c>
      <c r="N9" s="30" t="n">
        <v>38914</v>
      </c>
      <c r="O9" s="30" t="n">
        <v>61113</v>
      </c>
      <c r="P9" s="30" t="n">
        <v>84251</v>
      </c>
      <c r="Q9" s="30" t="n">
        <v>107318</v>
      </c>
      <c r="R9" s="30" t="n">
        <v>130299</v>
      </c>
      <c r="S9" s="30" t="n">
        <v>154635</v>
      </c>
      <c r="T9" s="30" t="n">
        <v>181189</v>
      </c>
      <c r="U9" s="30" t="n">
        <v>206191</v>
      </c>
      <c r="V9" s="30" t="n">
        <v>233408</v>
      </c>
      <c r="W9" s="30" t="n">
        <v>259753</v>
      </c>
      <c r="X9" s="29"/>
      <c r="Y9" s="29"/>
      <c r="Z9" s="29"/>
      <c r="AA9" s="29"/>
      <c r="AB9" s="27"/>
      <c r="AC9" s="27" t="n">
        <v>3313</v>
      </c>
      <c r="AD9" s="27" t="n">
        <v>4621</v>
      </c>
      <c r="AE9" s="27" t="n">
        <v>4865</v>
      </c>
      <c r="AF9" s="27" t="n">
        <v>5033</v>
      </c>
      <c r="AG9" s="31" t="n">
        <v>3835</v>
      </c>
      <c r="AH9" s="31" t="n">
        <v>4417</v>
      </c>
      <c r="AI9" s="31" t="n">
        <v>4813</v>
      </c>
      <c r="AJ9" s="31" t="n">
        <v>5225</v>
      </c>
      <c r="AK9" s="31" t="n">
        <v>5362</v>
      </c>
      <c r="AL9" s="31" t="n">
        <v>5884</v>
      </c>
      <c r="AM9" s="31" t="n">
        <v>5696</v>
      </c>
      <c r="AN9" s="31" t="n">
        <v>7360</v>
      </c>
      <c r="AO9" s="31"/>
      <c r="AS9" s="0" t="n">
        <f aca="false">SUM(AC9:AN9)</f>
        <v>60424</v>
      </c>
      <c r="AT9" s="29" t="n">
        <v>4096</v>
      </c>
      <c r="AU9" s="29" t="n">
        <v>5518</v>
      </c>
      <c r="AV9" s="29" t="n">
        <v>6107</v>
      </c>
      <c r="AW9" s="29" t="n">
        <v>4040</v>
      </c>
      <c r="AX9" s="29" t="n">
        <v>4595</v>
      </c>
      <c r="AY9" s="29" t="n">
        <v>6560</v>
      </c>
      <c r="AZ9" s="29" t="n">
        <v>8257</v>
      </c>
      <c r="BA9" s="29" t="n">
        <v>8609</v>
      </c>
      <c r="BB9" s="29" t="n">
        <v>10357</v>
      </c>
      <c r="BC9" s="29" t="n">
        <v>10277</v>
      </c>
      <c r="BD9" s="29" t="n">
        <v>9237</v>
      </c>
      <c r="BE9" s="0" t="n">
        <v>10642</v>
      </c>
      <c r="BJ9" s="0" t="n">
        <f aca="false">SUM(AT9:BE9)</f>
        <v>88295</v>
      </c>
      <c r="BK9" s="0" t="n">
        <v>5305</v>
      </c>
      <c r="BL9" s="0" t="n">
        <v>7910</v>
      </c>
      <c r="BM9" s="0" t="n">
        <v>10178</v>
      </c>
      <c r="BN9" s="0" t="n">
        <v>10763</v>
      </c>
      <c r="BO9" s="0" t="n">
        <v>8448</v>
      </c>
      <c r="BP9" s="0" t="n">
        <v>10780</v>
      </c>
      <c r="BQ9" s="0" t="n">
        <v>9385</v>
      </c>
      <c r="BR9" s="0" t="n">
        <v>8798</v>
      </c>
      <c r="BS9" s="0" t="n">
        <v>9830</v>
      </c>
      <c r="BT9" s="0" t="n">
        <v>10753</v>
      </c>
      <c r="BU9" s="0" t="n">
        <v>10450</v>
      </c>
      <c r="BV9" s="0" t="n">
        <v>13954</v>
      </c>
      <c r="CA9" s="0" t="n">
        <f aca="false">SUM(BJ9:BV9)</f>
        <v>204849</v>
      </c>
      <c r="CB9" s="0" t="n">
        <v>7212</v>
      </c>
      <c r="CC9" s="0" t="n">
        <v>9404</v>
      </c>
      <c r="CD9" s="0" t="n">
        <v>11348</v>
      </c>
      <c r="CE9" s="0" t="n">
        <v>2979</v>
      </c>
      <c r="CF9" s="0" t="n">
        <v>2796</v>
      </c>
      <c r="CG9" s="0" t="n">
        <v>4994</v>
      </c>
      <c r="CH9" s="0" t="n">
        <v>7494</v>
      </c>
      <c r="CI9" s="0" t="n">
        <v>10078</v>
      </c>
      <c r="CJ9" s="0" t="n">
        <v>10812</v>
      </c>
    </row>
    <row r="10" customFormat="false" ht="15" hidden="false" customHeight="false" outlineLevel="0" collapsed="false">
      <c r="C10" s="12" t="s">
        <v>44</v>
      </c>
      <c r="D10" s="13" t="s">
        <v>56</v>
      </c>
      <c r="E10" s="32" t="s">
        <v>57</v>
      </c>
      <c r="F10" s="13" t="s">
        <v>58</v>
      </c>
      <c r="G10" s="13" t="s">
        <v>54</v>
      </c>
      <c r="H10" s="13" t="s">
        <v>55</v>
      </c>
      <c r="I10" s="22" t="s">
        <v>43</v>
      </c>
      <c r="J10" s="33" t="n">
        <v>43647</v>
      </c>
      <c r="K10" s="17" t="s">
        <v>37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7"/>
      <c r="AC10" s="27"/>
      <c r="AD10" s="27"/>
      <c r="AE10" s="27"/>
      <c r="AF10" s="27"/>
      <c r="AG10" s="31"/>
      <c r="AH10" s="31"/>
      <c r="AI10" s="29" t="n">
        <v>129</v>
      </c>
      <c r="AJ10" s="29" t="n">
        <v>373</v>
      </c>
      <c r="AK10" s="29" t="n">
        <v>658</v>
      </c>
      <c r="AL10" s="29" t="n">
        <v>1174</v>
      </c>
      <c r="AM10" s="31" t="n">
        <v>1937</v>
      </c>
      <c r="AN10" s="31" t="n">
        <v>2662</v>
      </c>
      <c r="AO10" s="31"/>
      <c r="AP10" s="34"/>
      <c r="AQ10" s="34"/>
      <c r="AR10" s="34"/>
      <c r="AS10" s="34" t="n">
        <f aca="false">SUM(AI10:AN10)</f>
        <v>6933</v>
      </c>
      <c r="AT10" s="0" t="n">
        <v>3471</v>
      </c>
      <c r="AU10" s="0" t="n">
        <v>4142</v>
      </c>
      <c r="AV10" s="0" t="n">
        <v>5060</v>
      </c>
      <c r="AW10" s="0" t="n">
        <v>6185</v>
      </c>
      <c r="AX10" s="29" t="n">
        <v>7706</v>
      </c>
      <c r="AY10" s="29" t="n">
        <v>8674</v>
      </c>
      <c r="AZ10" s="29" t="n">
        <v>10508</v>
      </c>
      <c r="BA10" s="29" t="n">
        <v>11771</v>
      </c>
      <c r="BB10" s="29" t="n">
        <v>11955</v>
      </c>
      <c r="BC10" s="29" t="n">
        <v>14326</v>
      </c>
      <c r="BD10" s="29" t="n">
        <v>16677</v>
      </c>
      <c r="BE10" s="0" t="n">
        <v>19517</v>
      </c>
      <c r="BJ10" s="0" t="n">
        <f aca="false">SUM(AS10:BE10)</f>
        <v>126925</v>
      </c>
      <c r="BK10" s="0" t="n">
        <v>24352</v>
      </c>
      <c r="BL10" s="0" t="n">
        <v>25356</v>
      </c>
      <c r="BM10" s="0" t="n">
        <v>27603</v>
      </c>
      <c r="BN10" s="0" t="n">
        <v>31150</v>
      </c>
      <c r="BO10" s="0" t="n">
        <v>34811</v>
      </c>
      <c r="BP10" s="0" t="n">
        <v>37490</v>
      </c>
      <c r="BQ10" s="0" t="n">
        <v>38750</v>
      </c>
      <c r="BR10" s="0" t="n">
        <v>41782</v>
      </c>
      <c r="BS10" s="0" t="n">
        <v>42569</v>
      </c>
      <c r="BT10" s="0" t="n">
        <v>45689</v>
      </c>
      <c r="BU10" s="0" t="n">
        <v>45008</v>
      </c>
      <c r="BV10" s="0" t="n">
        <v>48972</v>
      </c>
      <c r="CA10" s="0" t="n">
        <f aca="false">SUM(BK10:BV10)</f>
        <v>443532</v>
      </c>
      <c r="CB10" s="0" t="n">
        <v>47472</v>
      </c>
      <c r="CC10" s="0" t="n">
        <v>45635</v>
      </c>
      <c r="CD10" s="0" t="n">
        <v>48749</v>
      </c>
      <c r="CE10" s="0" t="n">
        <v>53679</v>
      </c>
      <c r="CF10" s="0" t="n">
        <v>55474</v>
      </c>
      <c r="CG10" s="0" t="n">
        <v>51696</v>
      </c>
      <c r="CH10" s="0" t="n">
        <v>53207</v>
      </c>
      <c r="CI10" s="0" t="n">
        <v>56254</v>
      </c>
      <c r="CJ10" s="0" t="n">
        <v>55547</v>
      </c>
      <c r="CK10" s="0" t="n">
        <v>57155</v>
      </c>
    </row>
    <row r="11" customFormat="false" ht="15" hidden="false" customHeight="false" outlineLevel="0" collapsed="false">
      <c r="C11" s="12" t="s">
        <v>44</v>
      </c>
      <c r="D11" s="13" t="s">
        <v>59</v>
      </c>
      <c r="E11" s="32" t="s">
        <v>52</v>
      </c>
      <c r="F11" s="13" t="s">
        <v>53</v>
      </c>
      <c r="G11" s="13" t="s">
        <v>54</v>
      </c>
      <c r="H11" s="13" t="s">
        <v>55</v>
      </c>
      <c r="I11" s="22" t="s">
        <v>43</v>
      </c>
      <c r="J11" s="33" t="n">
        <v>43101</v>
      </c>
      <c r="K11" s="17" t="s">
        <v>37</v>
      </c>
      <c r="L11" s="0" t="n">
        <v>1074</v>
      </c>
      <c r="M11" s="0" t="n">
        <v>1276</v>
      </c>
      <c r="N11" s="0" t="n">
        <v>1666</v>
      </c>
      <c r="O11" s="0" t="n">
        <v>1676</v>
      </c>
      <c r="P11" s="0" t="n">
        <v>1446</v>
      </c>
      <c r="Q11" s="0" t="n">
        <v>1592</v>
      </c>
      <c r="R11" s="0" t="n">
        <v>1562</v>
      </c>
      <c r="S11" s="0" t="n">
        <v>2025</v>
      </c>
      <c r="T11" s="0" t="n">
        <v>1927</v>
      </c>
      <c r="U11" s="0" t="n">
        <v>1977</v>
      </c>
      <c r="V11" s="0" t="n">
        <v>1595</v>
      </c>
      <c r="W11" s="0" t="n">
        <v>1699</v>
      </c>
      <c r="X11" s="31"/>
      <c r="Y11" s="31"/>
      <c r="Z11" s="31"/>
      <c r="AA11" s="31"/>
      <c r="AB11" s="31" t="n">
        <f aca="false">SUM(L11:W11)</f>
        <v>19515</v>
      </c>
      <c r="AC11" s="31"/>
      <c r="AD11" s="31"/>
      <c r="AE11" s="31"/>
      <c r="AF11" s="31"/>
      <c r="AG11" s="31"/>
      <c r="AH11" s="31"/>
      <c r="AI11" s="31"/>
      <c r="AZ11" s="10"/>
      <c r="BA11" s="10"/>
      <c r="BG11" s="10"/>
      <c r="BH11" s="10"/>
      <c r="BN11" s="10"/>
      <c r="BO11" s="10"/>
      <c r="BU11" s="10"/>
      <c r="BV11" s="10"/>
    </row>
    <row r="12" customFormat="false" ht="15" hidden="false" customHeight="false" outlineLevel="0" collapsed="false">
      <c r="C12" s="12" t="s">
        <v>44</v>
      </c>
      <c r="D12" s="13" t="s">
        <v>60</v>
      </c>
      <c r="E12" s="32" t="s">
        <v>52</v>
      </c>
      <c r="F12" s="13" t="s">
        <v>53</v>
      </c>
      <c r="G12" s="13" t="s">
        <v>34</v>
      </c>
      <c r="H12" s="13" t="s">
        <v>61</v>
      </c>
      <c r="I12" s="22" t="s">
        <v>43</v>
      </c>
      <c r="J12" s="33" t="n">
        <v>43101</v>
      </c>
      <c r="K12" s="17" t="s">
        <v>37</v>
      </c>
      <c r="L12" s="0" t="n">
        <f aca="false">VLOOKUP(K12,'[1]Таблица 4-6 01.01.2018'!$A$10:$T$105,15,)</f>
        <v>8281</v>
      </c>
      <c r="M12" s="0" t="n">
        <f aca="false">VLOOKUP(K12,'[1]Таблица 4-6 01.02.2018'!$A$10:$T$105,15,)</f>
        <v>518</v>
      </c>
      <c r="N12" s="0" t="n">
        <f aca="false">VLOOKUP(K12,'[1]Таблица 4-6 01.03.2018'!$A$10:$T$105,15,)</f>
        <v>1205</v>
      </c>
      <c r="O12" s="0" t="n">
        <f aca="false">VLOOKUP(K12,'[1]Таблица 4-6 01.04.2018'!$A$10:$T$105,15,)</f>
        <v>2114</v>
      </c>
      <c r="P12" s="0" t="n">
        <f aca="false">VLOOKUP(K12,'[1]Таблица 4-6 01.05.2018'!$A$10:$T$105,15,)</f>
        <v>2984</v>
      </c>
      <c r="Q12" s="0" t="n">
        <f aca="false">VLOOKUP(K12,'[1]Таблица 4-6 01.06.2018'!$A$10:$T$105,15,)</f>
        <v>3749</v>
      </c>
      <c r="R12" s="0" t="n">
        <f aca="false">VLOOKUP(K12,'[1]Таблица 4-6 01.07.2018'!$A$10:$T$105,15,)</f>
        <v>4578</v>
      </c>
      <c r="S12" s="0" t="n">
        <f aca="false">VLOOKUP(K12,'[1]Таблица 4-6 01.08.2018'!$A$10:$T$105,15,)</f>
        <v>5418</v>
      </c>
      <c r="T12" s="0" t="n">
        <f aca="false">VLOOKUP(K12,'[1]Таблица 4-6 01.09.2018'!$A$10:$T$105,15,)</f>
        <v>6462</v>
      </c>
      <c r="U12" s="0" t="n">
        <f aca="false">VLOOKUP(K12,'[1]Таблица 4-6 01.10.2018'!$A$10:$T$105,15,)</f>
        <v>7467</v>
      </c>
      <c r="V12" s="0" t="n">
        <f aca="false">VLOOKUP(K12,'[1]Таблица 4-6 01.11.2018'!$A$10:$T$105,15,)</f>
        <v>8480</v>
      </c>
      <c r="W12" s="0" t="n">
        <f aca="false">VLOOKUP(K12,'[1]Таблица 4-6 01.12.2018'!$A$10:$T$105,15,)</f>
        <v>9354</v>
      </c>
      <c r="X12" s="31"/>
      <c r="Y12" s="31"/>
      <c r="Z12" s="31"/>
      <c r="AA12" s="31"/>
      <c r="AB12" s="31" t="n">
        <f aca="false">SUM(L12:W12)</f>
        <v>60610</v>
      </c>
      <c r="AC12" s="0" t="n">
        <v>576</v>
      </c>
      <c r="AD12" s="0" t="n">
        <v>811</v>
      </c>
      <c r="AE12" s="0" t="n">
        <v>899</v>
      </c>
      <c r="AF12" s="0" t="n">
        <v>932</v>
      </c>
      <c r="AG12" s="0" t="n">
        <v>704</v>
      </c>
      <c r="AH12" s="0" t="n">
        <v>750</v>
      </c>
      <c r="AI12" s="0" t="n">
        <v>717</v>
      </c>
      <c r="AJ12" s="0" t="n">
        <v>935</v>
      </c>
      <c r="AK12" s="0" t="n">
        <v>909</v>
      </c>
      <c r="AL12" s="0" t="n">
        <v>941</v>
      </c>
      <c r="AM12" s="0" t="n">
        <v>941</v>
      </c>
      <c r="AN12" s="0" t="n">
        <v>977</v>
      </c>
      <c r="AT12" s="0" t="n">
        <v>701</v>
      </c>
      <c r="AU12" s="0" t="n">
        <v>873</v>
      </c>
      <c r="AV12" s="0" t="n">
        <v>1001</v>
      </c>
      <c r="AW12" s="0" t="n">
        <v>532</v>
      </c>
      <c r="AX12" s="0" t="n">
        <v>1022</v>
      </c>
      <c r="AY12" s="0" t="n">
        <v>1370</v>
      </c>
      <c r="AZ12" s="0" t="n">
        <v>1585</v>
      </c>
      <c r="BA12" s="0" t="n">
        <v>1523</v>
      </c>
      <c r="BB12" s="0" t="n">
        <v>1615</v>
      </c>
      <c r="BC12" s="0" t="n">
        <v>1718</v>
      </c>
      <c r="BD12" s="0" t="n">
        <v>1222</v>
      </c>
      <c r="BE12" s="0" t="n">
        <v>1345</v>
      </c>
      <c r="BJ12" s="0" t="n">
        <f aca="false">SUM(AT12:BE12)</f>
        <v>14507</v>
      </c>
      <c r="BK12" s="0" t="n">
        <v>783</v>
      </c>
      <c r="BL12" s="0" t="n">
        <v>1077</v>
      </c>
      <c r="BM12" s="0" t="n">
        <v>1275</v>
      </c>
      <c r="BN12" s="0" t="n">
        <v>1270</v>
      </c>
      <c r="BO12" s="0" t="n">
        <v>998</v>
      </c>
      <c r="BP12" s="0" t="n">
        <v>1321</v>
      </c>
      <c r="BQ12" s="0" t="n">
        <v>818</v>
      </c>
      <c r="BR12" s="0" t="n">
        <v>943</v>
      </c>
      <c r="BS12" s="0" t="n">
        <v>1014</v>
      </c>
      <c r="BT12" s="0" t="n">
        <v>1155</v>
      </c>
      <c r="BU12" s="0" t="n">
        <v>1156</v>
      </c>
      <c r="BV12" s="0" t="n">
        <v>1444</v>
      </c>
      <c r="CA12" s="0" t="n">
        <f aca="false">SUM(BK12:BV12)</f>
        <v>13254</v>
      </c>
      <c r="CB12" s="0" t="n">
        <v>856</v>
      </c>
      <c r="CC12" s="0" t="n">
        <v>1099</v>
      </c>
      <c r="CD12" s="0" t="n">
        <v>1501</v>
      </c>
      <c r="CE12" s="0" t="n">
        <v>397</v>
      </c>
      <c r="CF12" s="0" t="n">
        <v>329</v>
      </c>
      <c r="CG12" s="0" t="n">
        <v>544</v>
      </c>
      <c r="CH12" s="0" t="n">
        <v>692</v>
      </c>
      <c r="CI12" s="0" t="n">
        <v>811</v>
      </c>
      <c r="CJ12" s="0" t="n">
        <v>811</v>
      </c>
      <c r="CL12" s="10"/>
    </row>
    <row r="13" customFormat="false" ht="15" hidden="false" customHeight="false" outlineLevel="0" collapsed="false">
      <c r="C13" s="12" t="s">
        <v>44</v>
      </c>
      <c r="D13" s="13" t="s">
        <v>62</v>
      </c>
      <c r="E13" s="32" t="s">
        <v>52</v>
      </c>
      <c r="F13" s="13" t="s">
        <v>53</v>
      </c>
      <c r="G13" s="13" t="s">
        <v>34</v>
      </c>
      <c r="H13" s="13" t="s">
        <v>61</v>
      </c>
      <c r="I13" s="22" t="s">
        <v>43</v>
      </c>
      <c r="J13" s="33" t="n">
        <v>43101</v>
      </c>
      <c r="K13" s="17" t="s">
        <v>37</v>
      </c>
      <c r="L13" s="0" t="n">
        <f aca="false">VLOOKUP(K13,'[1]Таблица 4-6 01.01.2018'!$A$10:$T$105,9,)</f>
        <v>25236</v>
      </c>
      <c r="M13" s="0" t="n">
        <f aca="false">VLOOKUP(K13,'[1]Таблица 4-6 01.02.2018'!$A$10:$T$105,9,)</f>
        <v>1647</v>
      </c>
      <c r="N13" s="0" t="n">
        <f aca="false">VLOOKUP(K13,'[1]Таблица 4-6 01.03.2018'!$A$10:$T$105,9,)</f>
        <v>3870</v>
      </c>
      <c r="O13" s="0" t="n">
        <f aca="false">VLOOKUP(K13,'[1]Таблица 4-6 01.04.2018'!$A$10:$T$105,9,)</f>
        <v>6693</v>
      </c>
      <c r="P13" s="0" t="n">
        <f aca="false">VLOOKUP(K13,'[1]Таблица 4-6 01.05.2018'!$A$10:$T$105,9,)</f>
        <v>9617</v>
      </c>
      <c r="Q13" s="0" t="n">
        <f aca="false">VLOOKUP(K13,'[1]Таблица 4-6 01.06.2018'!$A$10:$T$105,9,)</f>
        <v>12261</v>
      </c>
      <c r="R13" s="0" t="n">
        <f aca="false">VLOOKUP(K13,'[1]Таблица 4-6 01.07.2018'!$A$10:$T$105,9,)</f>
        <v>15260</v>
      </c>
      <c r="S13" s="0" t="n">
        <f aca="false">VLOOKUP(K13,'[1]Таблица 4-6 01.08.2018'!$A$10:$T$105,9,)</f>
        <v>18165</v>
      </c>
      <c r="T13" s="0" t="n">
        <f aca="false">VLOOKUP(K13,'[1]Таблица 4-6 01.09.2018'!$A$10:$T$105,9,)</f>
        <v>21500</v>
      </c>
      <c r="U13" s="0" t="n">
        <f aca="false">VLOOKUP(K13,'[1]Таблица 4-6 01.10.2018'!$A$10:$T$105,9,)</f>
        <v>24633</v>
      </c>
      <c r="V13" s="0" t="n">
        <f aca="false">VLOOKUP(K13,'[1]Таблица 4-6 01.11.2018'!$A$10:$T$105,9,)</f>
        <v>28057</v>
      </c>
      <c r="W13" s="0" t="n">
        <f aca="false">VLOOKUP(K13,'[1]Таблица 4-6 01.12.2018'!$A$10:$T$105,9,)</f>
        <v>31192</v>
      </c>
      <c r="Y13" s="34"/>
      <c r="Z13" s="34"/>
      <c r="AA13" s="34"/>
      <c r="AB13" s="27" t="n">
        <f aca="false">SUM(L13:W13)</f>
        <v>198131</v>
      </c>
      <c r="AC13" s="0" t="n">
        <v>1861</v>
      </c>
      <c r="AD13" s="0" t="n">
        <v>2508</v>
      </c>
      <c r="AE13" s="0" t="n">
        <v>2569</v>
      </c>
      <c r="AF13" s="0" t="n">
        <v>2739</v>
      </c>
      <c r="AG13" s="0" t="n">
        <v>2073</v>
      </c>
      <c r="AH13" s="0" t="n">
        <v>2322</v>
      </c>
      <c r="AI13" s="0" t="n">
        <v>2508</v>
      </c>
      <c r="AJ13" s="0" t="n">
        <v>2793</v>
      </c>
      <c r="AK13" s="0" t="n">
        <v>2836</v>
      </c>
      <c r="AL13" s="0" t="n">
        <v>3105</v>
      </c>
      <c r="AM13" s="0" t="n">
        <v>3023</v>
      </c>
      <c r="AN13" s="0" t="n">
        <v>3782</v>
      </c>
      <c r="AS13" s="0" t="n">
        <f aca="false">SUM(AC13:AN13)</f>
        <v>32119</v>
      </c>
      <c r="AT13" s="0" t="n">
        <v>2116</v>
      </c>
      <c r="AU13" s="0" t="n">
        <v>2743</v>
      </c>
      <c r="AV13" s="0" t="n">
        <v>3111</v>
      </c>
      <c r="AW13" s="0" t="n">
        <v>2141</v>
      </c>
      <c r="AX13" s="0" t="n">
        <v>2393</v>
      </c>
      <c r="AY13" s="0" t="n">
        <v>3382</v>
      </c>
      <c r="AZ13" s="0" t="n">
        <v>4102</v>
      </c>
      <c r="BA13" s="0" t="n">
        <v>4260</v>
      </c>
      <c r="BB13" s="0" t="n">
        <v>5065</v>
      </c>
      <c r="BC13" s="0" t="n">
        <v>5012</v>
      </c>
      <c r="BD13" s="0" t="n">
        <v>4353</v>
      </c>
      <c r="BE13" s="0" t="n">
        <v>4907</v>
      </c>
      <c r="BJ13" s="0" t="n">
        <f aca="false">SUM(AS13:BE13)</f>
        <v>75704</v>
      </c>
      <c r="BK13" s="0" t="n">
        <v>2396</v>
      </c>
      <c r="BL13" s="0" t="n">
        <v>3515</v>
      </c>
      <c r="BM13" s="0" t="n">
        <v>4384</v>
      </c>
      <c r="BN13" s="0" t="n">
        <v>4659</v>
      </c>
      <c r="BO13" s="0" t="n">
        <v>3563</v>
      </c>
      <c r="BP13" s="0" t="n">
        <v>4412</v>
      </c>
      <c r="BQ13" s="0" t="n">
        <v>3892</v>
      </c>
      <c r="BR13" s="0" t="n">
        <v>3786</v>
      </c>
      <c r="BS13" s="0" t="n">
        <v>3930</v>
      </c>
      <c r="BT13" s="0" t="n">
        <v>4211</v>
      </c>
      <c r="BU13" s="0" t="n">
        <v>4016</v>
      </c>
      <c r="BV13" s="0" t="n">
        <v>5041</v>
      </c>
      <c r="CA13" s="0" t="n">
        <f aca="false">SUM(BK13:BV13)</f>
        <v>47805</v>
      </c>
      <c r="CB13" s="0" t="n">
        <v>2462</v>
      </c>
      <c r="CC13" s="0" t="n">
        <v>3285</v>
      </c>
      <c r="CD13" s="0" t="n">
        <v>3909</v>
      </c>
      <c r="CE13" s="0" t="n">
        <v>1046</v>
      </c>
      <c r="CF13" s="0" t="n">
        <v>834</v>
      </c>
      <c r="CG13" s="0" t="n">
        <v>1511</v>
      </c>
      <c r="CH13" s="0" t="n">
        <v>2273</v>
      </c>
      <c r="CI13" s="0" t="n">
        <v>3004</v>
      </c>
      <c r="CJ13" s="0" t="n">
        <v>3407</v>
      </c>
      <c r="CL13" s="10"/>
    </row>
    <row r="14" customFormat="false" ht="15" hidden="false" customHeight="false" outlineLevel="1" collapsed="false">
      <c r="A14" s="35" t="n">
        <v>7</v>
      </c>
      <c r="B14" s="35" t="s">
        <v>63</v>
      </c>
      <c r="C14" s="13" t="s">
        <v>64</v>
      </c>
      <c r="D14" s="36" t="s">
        <v>65</v>
      </c>
      <c r="E14" s="14" t="s">
        <v>66</v>
      </c>
      <c r="F14" s="37" t="s">
        <v>67</v>
      </c>
      <c r="G14" s="12" t="s">
        <v>54</v>
      </c>
      <c r="H14" s="12" t="s">
        <v>68</v>
      </c>
      <c r="I14" s="22" t="s">
        <v>43</v>
      </c>
      <c r="J14" s="38" t="n">
        <v>43101</v>
      </c>
      <c r="K14" s="17" t="s">
        <v>37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27"/>
      <c r="AC14" s="27"/>
      <c r="AD14" s="27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</row>
    <row r="15" customFormat="false" ht="15" hidden="false" customHeight="false" outlineLevel="1" collapsed="false">
      <c r="A15" s="35" t="n">
        <v>8</v>
      </c>
      <c r="B15" s="35" t="s">
        <v>63</v>
      </c>
      <c r="C15" s="13" t="s">
        <v>64</v>
      </c>
      <c r="D15" s="36" t="s">
        <v>69</v>
      </c>
      <c r="E15" s="14" t="s">
        <v>66</v>
      </c>
      <c r="F15" s="12" t="s">
        <v>70</v>
      </c>
      <c r="G15" s="12" t="s">
        <v>54</v>
      </c>
      <c r="H15" s="12" t="s">
        <v>68</v>
      </c>
      <c r="I15" s="22" t="s">
        <v>43</v>
      </c>
      <c r="J15" s="38" t="n">
        <v>43101</v>
      </c>
      <c r="K15" s="17" t="s">
        <v>37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27"/>
      <c r="AC15" s="27"/>
      <c r="AD15" s="27"/>
      <c r="AE15" s="27"/>
      <c r="AF15" s="27"/>
      <c r="AG15" s="31"/>
      <c r="AH15" s="31"/>
      <c r="AI15" s="31"/>
      <c r="AJ15" s="31"/>
      <c r="AK15" s="31"/>
      <c r="AL15" s="31"/>
      <c r="AM15" s="31"/>
      <c r="AN15" s="31"/>
      <c r="AO15" s="31"/>
    </row>
    <row r="16" customFormat="false" ht="15" hidden="false" customHeight="false" outlineLevel="1" collapsed="false">
      <c r="A16" s="35" t="n">
        <v>9</v>
      </c>
      <c r="B16" s="35" t="s">
        <v>63</v>
      </c>
      <c r="C16" s="13" t="s">
        <v>64</v>
      </c>
      <c r="D16" s="15" t="s">
        <v>71</v>
      </c>
      <c r="E16" s="14" t="s">
        <v>66</v>
      </c>
      <c r="F16" s="12" t="s">
        <v>72</v>
      </c>
      <c r="G16" s="12" t="s">
        <v>54</v>
      </c>
      <c r="H16" s="12" t="s">
        <v>68</v>
      </c>
      <c r="I16" s="22" t="s">
        <v>43</v>
      </c>
      <c r="J16" s="38" t="n">
        <v>43101</v>
      </c>
      <c r="K16" s="17" t="s">
        <v>37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27"/>
      <c r="AC16" s="27"/>
      <c r="AD16" s="27"/>
      <c r="AE16" s="27"/>
      <c r="AF16" s="27"/>
      <c r="AG16" s="31"/>
      <c r="AH16" s="31"/>
      <c r="AI16" s="31"/>
      <c r="AJ16" s="31"/>
      <c r="AK16" s="31"/>
      <c r="AL16" s="31"/>
      <c r="AM16" s="31"/>
      <c r="AN16" s="31"/>
      <c r="AO16" s="31"/>
    </row>
    <row r="17" customFormat="false" ht="15" hidden="false" customHeight="false" outlineLevel="1" collapsed="false">
      <c r="A17" s="35" t="n">
        <v>10</v>
      </c>
      <c r="B17" s="35" t="s">
        <v>63</v>
      </c>
      <c r="C17" s="13" t="s">
        <v>64</v>
      </c>
      <c r="D17" s="15" t="s">
        <v>73</v>
      </c>
      <c r="E17" s="14" t="s">
        <v>66</v>
      </c>
      <c r="F17" s="12" t="s">
        <v>74</v>
      </c>
      <c r="G17" s="12" t="s">
        <v>54</v>
      </c>
      <c r="H17" s="12" t="s">
        <v>68</v>
      </c>
      <c r="I17" s="22" t="s">
        <v>43</v>
      </c>
      <c r="J17" s="38" t="n">
        <v>43101</v>
      </c>
      <c r="K17" s="17" t="s">
        <v>37</v>
      </c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27"/>
      <c r="AC17" s="27"/>
      <c r="AD17" s="27"/>
      <c r="AE17" s="27"/>
      <c r="AF17" s="27"/>
      <c r="AG17" s="31"/>
      <c r="AH17" s="31"/>
      <c r="AI17" s="31"/>
      <c r="AJ17" s="31"/>
      <c r="AK17" s="31"/>
      <c r="AL17" s="31"/>
      <c r="AM17" s="31"/>
      <c r="AN17" s="31"/>
      <c r="AO17" s="31"/>
    </row>
    <row r="18" customFormat="false" ht="15" hidden="false" customHeight="false" outlineLevel="0" collapsed="false">
      <c r="A18" s="39" t="n">
        <v>11</v>
      </c>
      <c r="B18" s="12"/>
      <c r="C18" s="12"/>
      <c r="D18" s="15" t="s">
        <v>75</v>
      </c>
      <c r="E18" s="12"/>
      <c r="F18" s="40"/>
      <c r="G18" s="12" t="s">
        <v>76</v>
      </c>
      <c r="H18" s="12"/>
      <c r="I18" s="41" t="s">
        <v>43</v>
      </c>
      <c r="J18" s="12"/>
      <c r="K18" s="17" t="s">
        <v>37</v>
      </c>
    </row>
    <row r="19" customFormat="false" ht="15" hidden="false" customHeight="false" outlineLevel="0" collapsed="false">
      <c r="A19" s="11" t="n">
        <v>12</v>
      </c>
      <c r="B19" s="12"/>
      <c r="C19" s="12"/>
      <c r="D19" s="22" t="s">
        <v>77</v>
      </c>
      <c r="E19" s="13" t="s">
        <v>78</v>
      </c>
      <c r="F19" s="12"/>
      <c r="G19" s="12" t="s">
        <v>34</v>
      </c>
      <c r="H19" s="13" t="s">
        <v>79</v>
      </c>
      <c r="I19" s="15" t="s">
        <v>36</v>
      </c>
      <c r="J19" s="12"/>
      <c r="K19" s="17" t="s">
        <v>37</v>
      </c>
      <c r="X19" s="27" t="n">
        <f aca="false">X24/AVERAGE(X21:X22)/1000</f>
        <v>402.107958782148</v>
      </c>
      <c r="Y19" s="27" t="n">
        <f aca="false">Y24/AVERAGE(Y21:Y22)/1000</f>
        <v>349.075473154612</v>
      </c>
      <c r="Z19" s="27" t="n">
        <f aca="false">Z24/AVERAGE(Z21:Z22)/1000</f>
        <v>471.365931546901</v>
      </c>
      <c r="AA19" s="27" t="n">
        <f aca="false">AA24/AVERAGE(AA21:AA22)/1000</f>
        <v>413.132109674475</v>
      </c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 t="n">
        <f aca="false">AO24/AVERAGE(AO21:AO22)/1000</f>
        <v>400.758991118609</v>
      </c>
      <c r="AP19" s="27" t="n">
        <f aca="false">AP24/AVERAGE(AP21:AP22)/1000</f>
        <v>338.735619278543</v>
      </c>
      <c r="AQ19" s="27" t="n">
        <f aca="false">AQ24/AVERAGE(AQ21:AQ22)/1000</f>
        <v>481.455124691791</v>
      </c>
      <c r="AR19" s="27" t="n">
        <f aca="false">AR24/AVERAGE(AR21:AR22)/1000</f>
        <v>398.703777409571</v>
      </c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 t="n">
        <f aca="false">BF24/AVERAGE(BF21:BF22)/1000</f>
        <v>388.998699737789</v>
      </c>
      <c r="BG19" s="27" t="n">
        <f aca="false">BG24/AVERAGE(BG21:BG22)/1000</f>
        <v>205.836712958752</v>
      </c>
      <c r="BH19" s="27" t="n">
        <f aca="false">BH24/AVERAGE(BH21:BH22)/1000</f>
        <v>487.881358646177</v>
      </c>
      <c r="BI19" s="27" t="n">
        <f aca="false">BI24/AVERAGE(BI21:BI22)/1000</f>
        <v>357.082588102376</v>
      </c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 t="n">
        <f aca="false">BW24/AVERAGE(BW21:BW22)/1000</f>
        <v>392.892280693319</v>
      </c>
      <c r="BX19" s="27" t="n">
        <f aca="false">BX24/AVERAGE(BX21:BX22)/1000</f>
        <v>264.361834398564</v>
      </c>
      <c r="BY19" s="27" t="n">
        <f aca="false">BY24/AVERAGE(BY21:BY22)/1000</f>
        <v>436.972709604546</v>
      </c>
      <c r="BZ19" s="27" t="n">
        <f aca="false">BZ24/AVERAGE(BZ21:BZ22)/1000</f>
        <v>396.825764491071</v>
      </c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 t="n">
        <f aca="false">CN24/AVERAGE(CN21:CN22)/1000</f>
        <v>397.261312507699</v>
      </c>
      <c r="CO19" s="27" t="n">
        <f aca="false">CO24/AVERAGE(CO21:CO22)/1000</f>
        <v>263.656194187895</v>
      </c>
      <c r="CP19" s="27"/>
      <c r="CQ19" s="27"/>
    </row>
    <row r="20" customFormat="false" ht="15" hidden="false" customHeight="false" outlineLevel="0" collapsed="false">
      <c r="A20" s="11" t="n">
        <v>13</v>
      </c>
      <c r="B20" s="12"/>
      <c r="C20" s="12"/>
      <c r="D20" s="22" t="s">
        <v>80</v>
      </c>
      <c r="E20" s="13" t="s">
        <v>78</v>
      </c>
      <c r="F20" s="12"/>
      <c r="G20" s="12" t="s">
        <v>34</v>
      </c>
      <c r="H20" s="13" t="s">
        <v>79</v>
      </c>
      <c r="I20" s="15" t="s">
        <v>36</v>
      </c>
      <c r="J20" s="12"/>
      <c r="K20" s="17" t="s">
        <v>37</v>
      </c>
      <c r="V20" s="42"/>
      <c r="W20" s="42"/>
      <c r="X20" s="27" t="n">
        <f aca="false">X25/X23/1000</f>
        <v>148.932174765601</v>
      </c>
      <c r="Y20" s="27" t="n">
        <f aca="false">Y25/Y23/1000</f>
        <v>128.704937898233</v>
      </c>
      <c r="Z20" s="27" t="n">
        <f aca="false">Z25/Z23/1000</f>
        <v>157.271829199603</v>
      </c>
      <c r="AA20" s="27" t="n">
        <f aca="false">AA25/AA23/1000</f>
        <v>159.382340016548</v>
      </c>
      <c r="AB20" s="42"/>
      <c r="AC20" s="42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 t="n">
        <f aca="false">AO25/AO23/1000</f>
        <v>144.658553228188</v>
      </c>
      <c r="AP20" s="27" t="n">
        <f aca="false">AP25/AP23/1000</f>
        <v>116.785874750802</v>
      </c>
      <c r="AQ20" s="27" t="n">
        <f aca="false">AQ25/AQ23/1000</f>
        <v>169.714645253855</v>
      </c>
      <c r="AR20" s="27" t="n">
        <f aca="false">AR25/AR23/1000</f>
        <v>144.44654837424</v>
      </c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 t="n">
        <f aca="false">BF25/BF23/1000</f>
        <v>146.978945613613</v>
      </c>
      <c r="BG20" s="27" t="n">
        <f aca="false">BG25/BG23/1000</f>
        <v>94.2095332158078</v>
      </c>
      <c r="BH20" s="27" t="n">
        <f aca="false">BH25/BH23/1000</f>
        <v>159.021440712287</v>
      </c>
      <c r="BI20" s="27" t="n">
        <f aca="false">BI25/BI23/1000</f>
        <v>138.890936585267</v>
      </c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 t="n">
        <f aca="false">BW25/BW23/1000</f>
        <v>149.721071007698</v>
      </c>
      <c r="BX20" s="27" t="n">
        <f aca="false">BX25/BX23/1000</f>
        <v>112.229192973972</v>
      </c>
      <c r="BY20" s="27" t="n">
        <f aca="false">BY25/BY23/1000</f>
        <v>140.84406260832</v>
      </c>
      <c r="BZ20" s="27" t="n">
        <f aca="false">BZ25/BZ23/1000</f>
        <v>167.031876378133</v>
      </c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 t="n">
        <f aca="false">CN25/CN23/1000</f>
        <v>178.092741296245</v>
      </c>
      <c r="CO20" s="27" t="n">
        <f aca="false">CO25/CO23/1000</f>
        <v>132.998950985774</v>
      </c>
      <c r="CP20" s="27"/>
      <c r="CQ20" s="27"/>
    </row>
    <row r="21" customFormat="false" ht="21" hidden="false" customHeight="true" outlineLevel="1" collapsed="false">
      <c r="A21" s="12"/>
      <c r="B21" s="12"/>
      <c r="C21" s="12"/>
      <c r="D21" s="43" t="s">
        <v>81</v>
      </c>
      <c r="E21" s="32" t="s">
        <v>82</v>
      </c>
      <c r="F21" s="12"/>
      <c r="G21" s="12" t="s">
        <v>83</v>
      </c>
      <c r="H21" s="12" t="s">
        <v>68</v>
      </c>
      <c r="I21" s="41" t="s">
        <v>43</v>
      </c>
      <c r="J21" s="16" t="n">
        <v>43101</v>
      </c>
      <c r="K21" s="12" t="s">
        <v>37</v>
      </c>
      <c r="L21" s="44" t="n">
        <v>39.1509881422926</v>
      </c>
      <c r="M21" s="44" t="n">
        <v>39.2902861445787</v>
      </c>
      <c r="N21" s="44" t="n">
        <v>39.3068389057754</v>
      </c>
      <c r="O21" s="44" t="n">
        <v>39.5904696449026</v>
      </c>
      <c r="P21" s="44" t="n">
        <v>41.2123887434553</v>
      </c>
      <c r="Q21" s="44" t="n">
        <v>42.6735269709545</v>
      </c>
      <c r="R21" s="44" t="n">
        <v>43.0250626118072</v>
      </c>
      <c r="S21" s="44" t="n">
        <v>42.5757874762808</v>
      </c>
      <c r="T21" s="44" t="n">
        <v>42.4895238095239</v>
      </c>
      <c r="U21" s="44" t="n">
        <v>42.4952898550728</v>
      </c>
      <c r="V21" s="44" t="n">
        <v>42.5182017543861</v>
      </c>
      <c r="W21" s="44" t="n">
        <v>42.5602925045708</v>
      </c>
      <c r="X21" s="44" t="n">
        <f aca="false">AVERAGE(L21:N21)</f>
        <v>39.2493710642156</v>
      </c>
      <c r="Y21" s="44" t="n">
        <f aca="false">AVERAGE(O21:Q21)</f>
        <v>41.1587951197708</v>
      </c>
      <c r="Z21" s="44" t="n">
        <f aca="false">AVERAGE(R21:T21)</f>
        <v>42.696791299204</v>
      </c>
      <c r="AA21" s="44" t="n">
        <f aca="false">AVERAGE(U21:W21)</f>
        <v>42.5245947046766</v>
      </c>
      <c r="AB21" s="44"/>
      <c r="AC21" s="44" t="n">
        <v>42.928374384237</v>
      </c>
      <c r="AD21" s="44" t="n">
        <v>43.0701092896174</v>
      </c>
      <c r="AE21" s="44" t="n">
        <v>42.9875172413793</v>
      </c>
      <c r="AF21" s="44" t="n">
        <v>43.0266711590301</v>
      </c>
      <c r="AG21" s="44" t="n">
        <v>43.138450184502</v>
      </c>
      <c r="AH21" s="44" t="n">
        <v>43.2642629482075</v>
      </c>
      <c r="AI21" s="44" t="n">
        <v>43.3121297836945</v>
      </c>
      <c r="AJ21" s="44" t="n">
        <v>43.3731992337162</v>
      </c>
      <c r="AK21" s="44" t="n">
        <v>43.4388888888885</v>
      </c>
      <c r="AL21" s="44" t="n">
        <v>43.4478720000005</v>
      </c>
      <c r="AM21" s="44" t="n">
        <v>43.4668441064642</v>
      </c>
      <c r="AN21" s="44" t="n">
        <v>43.4460972222226</v>
      </c>
      <c r="AO21" s="44" t="n">
        <f aca="false">AVERAGE(AC21:AE21)</f>
        <v>42.9953336384112</v>
      </c>
      <c r="AP21" s="44" t="n">
        <f aca="false">AVERAGE(AF21:AH21)</f>
        <v>43.1431280972465</v>
      </c>
      <c r="AQ21" s="44" t="n">
        <f aca="false">AVERAGE(AI21:AK21)</f>
        <v>43.3747393020998</v>
      </c>
      <c r="AR21" s="44" t="n">
        <f aca="false">AVERAGE(AL21:AN21)</f>
        <v>43.4536044428958</v>
      </c>
      <c r="AS21" s="44"/>
      <c r="AT21" s="44" t="n">
        <v>43.5013454545458</v>
      </c>
      <c r="AU21" s="44" t="n">
        <v>43.5787037037038</v>
      </c>
      <c r="AV21" s="44" t="n">
        <v>43.562786885246</v>
      </c>
      <c r="AW21" s="44" t="n">
        <v>43.2562816455699</v>
      </c>
      <c r="AX21" s="44" t="n">
        <v>43.19</v>
      </c>
      <c r="AY21" s="44" t="n">
        <v>43.1224449339209</v>
      </c>
      <c r="AZ21" s="44" t="n">
        <v>43.5074736842098</v>
      </c>
      <c r="BA21" s="44" t="n">
        <v>43.813913595934</v>
      </c>
      <c r="BB21" s="44" t="n">
        <v>43.8473554913297</v>
      </c>
      <c r="BC21" s="44" t="n">
        <v>44.0170046801871</v>
      </c>
      <c r="BD21" s="44" t="n">
        <v>44.1586766917298</v>
      </c>
      <c r="BE21" s="44" t="n">
        <v>44.228387096774</v>
      </c>
      <c r="BF21" s="44" t="n">
        <f aca="false">AVERAGE(AT21:AV21)</f>
        <v>43.5476120144985</v>
      </c>
      <c r="BG21" s="44" t="n">
        <f aca="false">AVERAGE(AW21:AY21)</f>
        <v>43.1895755264969</v>
      </c>
      <c r="BH21" s="44" t="n">
        <f aca="false">AVERAGE(AZ21:BB21)</f>
        <v>43.7229142571578</v>
      </c>
      <c r="BI21" s="44" t="n">
        <f aca="false">AVERAGE(BC21:BE21)</f>
        <v>44.1346894895636</v>
      </c>
      <c r="BJ21" s="44"/>
      <c r="BK21" s="44" t="n">
        <v>44.4075166666664</v>
      </c>
      <c r="BL21" s="44" t="n">
        <v>44.6022738693469</v>
      </c>
      <c r="BM21" s="44" t="n">
        <v>45.0883300970879</v>
      </c>
      <c r="BN21" s="44" t="n">
        <v>45.6326909090915</v>
      </c>
      <c r="BO21" s="44" t="n">
        <v>45.9528082191783</v>
      </c>
      <c r="BP21" s="44" t="n">
        <v>46.1657942708332</v>
      </c>
      <c r="BQ21" s="44" t="n">
        <v>46.5789062500005</v>
      </c>
      <c r="BR21" s="44" t="n">
        <v>46.852056737588</v>
      </c>
      <c r="BS21" s="44" t="n">
        <v>46.4293846153846</v>
      </c>
      <c r="BT21" s="44" t="n">
        <v>46.7124253731354</v>
      </c>
      <c r="BU21" s="44" t="n">
        <v>47.208827160494</v>
      </c>
      <c r="BV21" s="44" t="n">
        <v>47.9168038740914</v>
      </c>
      <c r="BW21" s="44" t="n">
        <f aca="false">AVERAGE(BK21:BM21)</f>
        <v>44.699373544367</v>
      </c>
      <c r="BX21" s="44" t="n">
        <f aca="false">AVERAGE(BN21:BP21)</f>
        <v>45.917097799701</v>
      </c>
      <c r="BY21" s="44" t="n">
        <f aca="false">AVERAGE(BQ21:BS21)</f>
        <v>46.6201158676577</v>
      </c>
      <c r="BZ21" s="44" t="n">
        <f aca="false">AVERAGE(BT21:BV21)</f>
        <v>47.2793521359069</v>
      </c>
      <c r="CA21" s="44"/>
      <c r="CB21" s="44" t="n">
        <v>48.5108045977015</v>
      </c>
      <c r="CC21" s="44" t="n">
        <v>48.3982442748097</v>
      </c>
      <c r="CD21" s="44" t="n">
        <v>48.3535587188617</v>
      </c>
      <c r="CE21" s="44" t="n">
        <v>48.0331315483125</v>
      </c>
      <c r="CF21" s="44" t="n">
        <v>48.0033431952669</v>
      </c>
      <c r="CG21" s="44" t="n">
        <v>47.8987554904838</v>
      </c>
      <c r="CH21" s="44" t="n">
        <v>47.9565753424663</v>
      </c>
      <c r="CI21" s="44" t="n">
        <v>47.9572486772492</v>
      </c>
      <c r="CJ21" s="44" t="n">
        <v>47.8753874538747</v>
      </c>
      <c r="CK21" s="44" t="n">
        <v>47.9260092449929</v>
      </c>
      <c r="CL21" s="44" t="n">
        <v>47.9560526315792</v>
      </c>
      <c r="CM21" s="44"/>
      <c r="CN21" s="44" t="n">
        <f aca="false">AVERAGE(CB21:CD21)</f>
        <v>48.4208691971243</v>
      </c>
      <c r="CO21" s="44" t="n">
        <f aca="false">AVERAGE(CE21:CG21)</f>
        <v>47.978410078021</v>
      </c>
      <c r="CP21" s="44" t="n">
        <f aca="false">AVERAGE(CH21:CJ21)</f>
        <v>47.9297371578634</v>
      </c>
      <c r="CQ21" s="44" t="n">
        <f aca="false">AVERAGE(CK21:CM21)</f>
        <v>47.941030938286</v>
      </c>
      <c r="CR21" s="10"/>
    </row>
    <row r="22" customFormat="false" ht="17.25" hidden="false" customHeight="true" outlineLevel="1" collapsed="false">
      <c r="A22" s="12"/>
      <c r="B22" s="12"/>
      <c r="C22" s="12"/>
      <c r="D22" s="43" t="s">
        <v>84</v>
      </c>
      <c r="E22" s="32" t="s">
        <v>82</v>
      </c>
      <c r="F22" s="12"/>
      <c r="G22" s="12" t="s">
        <v>83</v>
      </c>
      <c r="H22" s="12" t="s">
        <v>68</v>
      </c>
      <c r="I22" s="41" t="s">
        <v>43</v>
      </c>
      <c r="J22" s="16" t="n">
        <v>43101</v>
      </c>
      <c r="K22" s="12" t="s">
        <v>37</v>
      </c>
      <c r="L22" s="44" t="n">
        <v>42.3566160520606</v>
      </c>
      <c r="M22" s="44" t="n">
        <v>42.5165811965812</v>
      </c>
      <c r="N22" s="44" t="n">
        <v>42.5411262798636</v>
      </c>
      <c r="O22" s="44" t="n">
        <v>42.6142459736458</v>
      </c>
      <c r="P22" s="44" t="n">
        <v>44.3886712224757</v>
      </c>
      <c r="Q22" s="44" t="n">
        <v>45.9464393939397</v>
      </c>
      <c r="R22" s="44" t="n">
        <v>46.156086956522</v>
      </c>
      <c r="S22" s="44" t="n">
        <v>45.9166591422126</v>
      </c>
      <c r="T22" s="44" t="n">
        <v>45.759269406393</v>
      </c>
      <c r="U22" s="44" t="n">
        <v>45.6787474747478</v>
      </c>
      <c r="V22" s="44" t="n">
        <v>45.7510610079578</v>
      </c>
      <c r="W22" s="44" t="n">
        <v>45.8958244111351</v>
      </c>
      <c r="X22" s="44" t="n">
        <f aca="false">AVERAGE(L22:N22)</f>
        <v>42.4714411761685</v>
      </c>
      <c r="Y22" s="44" t="n">
        <f aca="false">AVERAGE(O22:Q22)</f>
        <v>44.3164521966871</v>
      </c>
      <c r="Z22" s="44" t="n">
        <f aca="false">AVERAGE(R22:T22)</f>
        <v>45.9440051683758</v>
      </c>
      <c r="AA22" s="44" t="n">
        <f aca="false">AVERAGE(U22:W22)</f>
        <v>45.7752109646136</v>
      </c>
      <c r="AB22" s="44"/>
      <c r="AC22" s="44" t="n">
        <v>45.5898682042837</v>
      </c>
      <c r="AD22" s="44" t="n">
        <v>45.6713165266106</v>
      </c>
      <c r="AE22" s="44" t="n">
        <v>44.403482587065</v>
      </c>
      <c r="AF22" s="44" t="n">
        <v>44.3140740740743</v>
      </c>
      <c r="AG22" s="44" t="n">
        <v>44.3828978224457</v>
      </c>
      <c r="AH22" s="44" t="n">
        <v>44.6767148014439</v>
      </c>
      <c r="AI22" s="44" t="n">
        <v>44.648646209386</v>
      </c>
      <c r="AJ22" s="44" t="n">
        <v>44.9027835051545</v>
      </c>
      <c r="AK22" s="44" t="n">
        <v>44.9662229617299</v>
      </c>
      <c r="AL22" s="44" t="n">
        <v>45.31399688958</v>
      </c>
      <c r="AM22" s="44" t="n">
        <v>45.825</v>
      </c>
      <c r="AN22" s="44" t="n">
        <v>46.5657252888321</v>
      </c>
      <c r="AO22" s="44" t="n">
        <f aca="false">AVERAGE(AC22:AE22)</f>
        <v>45.2215557726531</v>
      </c>
      <c r="AP22" s="44" t="n">
        <f aca="false">AVERAGE(AF22:AH22)</f>
        <v>44.457895565988</v>
      </c>
      <c r="AQ22" s="44" t="n">
        <f aca="false">AVERAGE(AI22:AK22)</f>
        <v>44.8392175587568</v>
      </c>
      <c r="AR22" s="44" t="n">
        <f aca="false">AVERAGE(AL22:AN22)</f>
        <v>45.9015740594707</v>
      </c>
      <c r="AS22" s="44"/>
      <c r="AT22" s="44" t="n">
        <v>47.2872680412369</v>
      </c>
      <c r="AU22" s="44" t="n">
        <v>47.3187104622869</v>
      </c>
      <c r="AV22" s="44" t="n">
        <v>47.2866213592231</v>
      </c>
      <c r="AW22" s="44" t="n">
        <v>47.1088888888888</v>
      </c>
      <c r="AX22" s="44" t="n">
        <v>47.1111420612814</v>
      </c>
      <c r="AY22" s="44" t="n">
        <v>47.4448159057442</v>
      </c>
      <c r="AZ22" s="44" t="n">
        <v>47.5630381679392</v>
      </c>
      <c r="BA22" s="44" t="n">
        <v>47.8615055467515</v>
      </c>
      <c r="BB22" s="44" t="n">
        <v>48.2251406249998</v>
      </c>
      <c r="BC22" s="44" t="n">
        <v>48.5266909090907</v>
      </c>
      <c r="BD22" s="44" t="n">
        <v>48.6360000000006</v>
      </c>
      <c r="BE22" s="44" t="n">
        <v>48.7319919786097</v>
      </c>
      <c r="BF22" s="44" t="n">
        <f aca="false">AVERAGE(AT22:AV22)</f>
        <v>47.2975332875823</v>
      </c>
      <c r="BG22" s="44" t="n">
        <f aca="false">AVERAGE(AW22:AY22)</f>
        <v>47.2216156186381</v>
      </c>
      <c r="BH22" s="44" t="n">
        <f aca="false">AVERAGE(AZ22:BB22)</f>
        <v>47.8832281132302</v>
      </c>
      <c r="BI22" s="44" t="n">
        <f aca="false">AVERAGE(BC22:BE22)</f>
        <v>48.631560962567</v>
      </c>
      <c r="BJ22" s="44"/>
      <c r="BK22" s="44" t="n">
        <v>48.872243713733</v>
      </c>
      <c r="BL22" s="44" t="n">
        <v>49.1302272727274</v>
      </c>
      <c r="BM22" s="44" t="n">
        <v>49.5485779816518</v>
      </c>
      <c r="BN22" s="44" t="n">
        <v>49.973292517007</v>
      </c>
      <c r="BO22" s="44" t="n">
        <v>50.3051762820517</v>
      </c>
      <c r="BP22" s="44" t="n">
        <v>50.6127809798274</v>
      </c>
      <c r="BQ22" s="44" t="n">
        <v>50.781486676017</v>
      </c>
      <c r="BR22" s="44" t="n">
        <v>51.2685930735931</v>
      </c>
      <c r="BS22" s="44" t="n">
        <v>51.3741636141629</v>
      </c>
      <c r="BT22" s="44" t="n">
        <v>51.4965744680843</v>
      </c>
      <c r="BU22" s="44" t="n">
        <v>51.9089264413525</v>
      </c>
      <c r="BV22" s="44" t="n">
        <v>52.4635871559636</v>
      </c>
      <c r="BW22" s="44" t="n">
        <f aca="false">AVERAGE(BK22:BM22)</f>
        <v>49.1836829893707</v>
      </c>
      <c r="BX22" s="44" t="n">
        <f aca="false">AVERAGE(BN22:BP22)</f>
        <v>50.2970832596287</v>
      </c>
      <c r="BY22" s="44" t="n">
        <f aca="false">AVERAGE(BQ22:BS22)</f>
        <v>51.141414454591</v>
      </c>
      <c r="BZ22" s="44" t="n">
        <f aca="false">AVERAGE(BT22:BV22)</f>
        <v>51.9563626884668</v>
      </c>
      <c r="CA22" s="44"/>
      <c r="CB22" s="44" t="n">
        <v>53.0136197183095</v>
      </c>
      <c r="CC22" s="44" t="n">
        <v>52.8865242165244</v>
      </c>
      <c r="CD22" s="44" t="n">
        <v>52.9280426098537</v>
      </c>
      <c r="CE22" s="44" t="n">
        <v>52.9156056338025</v>
      </c>
      <c r="CF22" s="44" t="n">
        <v>52.694808652246</v>
      </c>
      <c r="CG22" s="44" t="n">
        <v>52.7572611464966</v>
      </c>
      <c r="CH22" s="44" t="n">
        <v>52.7041745730548</v>
      </c>
      <c r="CI22" s="44" t="n">
        <v>52.663079922027</v>
      </c>
      <c r="CJ22" s="44" t="n">
        <v>52.8664351245087</v>
      </c>
      <c r="CK22" s="44" t="n">
        <v>52.7743094841928</v>
      </c>
      <c r="CL22" s="44" t="n">
        <v>52.6753280839894</v>
      </c>
      <c r="CM22" s="44"/>
      <c r="CN22" s="44" t="n">
        <f aca="false">AVERAGE(CB22:CD22)</f>
        <v>52.9427288482292</v>
      </c>
      <c r="CO22" s="44" t="n">
        <f aca="false">AVERAGE(CE22:CG22)</f>
        <v>52.7892251441817</v>
      </c>
      <c r="CP22" s="44" t="n">
        <f aca="false">AVERAGE(CH22:CJ22)</f>
        <v>52.7445632065302</v>
      </c>
      <c r="CQ22" s="44" t="n">
        <f aca="false">AVERAGE(CK22:CM22)</f>
        <v>52.7248187840911</v>
      </c>
      <c r="CR22" s="10"/>
    </row>
    <row r="23" customFormat="false" ht="17.25" hidden="false" customHeight="true" outlineLevel="1" collapsed="false">
      <c r="A23" s="12"/>
      <c r="B23" s="12"/>
      <c r="C23" s="12"/>
      <c r="D23" s="43" t="s">
        <v>85</v>
      </c>
      <c r="E23" s="32" t="s">
        <v>82</v>
      </c>
      <c r="F23" s="12"/>
      <c r="G23" s="12" t="s">
        <v>83</v>
      </c>
      <c r="H23" s="12" t="s">
        <v>68</v>
      </c>
      <c r="I23" s="41" t="s">
        <v>43</v>
      </c>
      <c r="J23" s="16" t="n">
        <v>43101</v>
      </c>
      <c r="K23" s="12" t="s">
        <v>37</v>
      </c>
      <c r="L23" s="44" t="n">
        <v>40.0700534759355</v>
      </c>
      <c r="M23" s="44" t="n">
        <v>40.1360803324097</v>
      </c>
      <c r="N23" s="44" t="n">
        <v>39.5871951219507</v>
      </c>
      <c r="O23" s="44" t="n">
        <v>40.0103336921422</v>
      </c>
      <c r="P23" s="44" t="n">
        <v>42.1502316293922</v>
      </c>
      <c r="Q23" s="44" t="n">
        <v>43.5069977426641</v>
      </c>
      <c r="R23" s="44" t="n">
        <v>43.8983175803407</v>
      </c>
      <c r="S23" s="44" t="n">
        <v>43.7385336048886</v>
      </c>
      <c r="T23" s="44" t="n">
        <v>43.4141705069129</v>
      </c>
      <c r="U23" s="44" t="n">
        <v>43.2883778966138</v>
      </c>
      <c r="V23" s="44" t="n">
        <v>43.4569230769235</v>
      </c>
      <c r="W23" s="44" t="n">
        <v>44.359036544851</v>
      </c>
      <c r="X23" s="44" t="n">
        <f aca="false">AVERAGE(L23:N23)</f>
        <v>39.931109643432</v>
      </c>
      <c r="Y23" s="44" t="n">
        <f aca="false">AVERAGE(O23:Q23)</f>
        <v>41.8891876880662</v>
      </c>
      <c r="Z23" s="44" t="n">
        <f aca="false">AVERAGE(R23:T23)</f>
        <v>43.6836738973807</v>
      </c>
      <c r="AA23" s="44" t="n">
        <f aca="false">AVERAGE(U23:W23)</f>
        <v>43.7014458394628</v>
      </c>
      <c r="AB23" s="44"/>
      <c r="AC23" s="44" t="n">
        <v>46.3110943396229</v>
      </c>
      <c r="AD23" s="44" t="n">
        <v>46.2652980132452</v>
      </c>
      <c r="AE23" s="44" t="n">
        <v>46.2561263736265</v>
      </c>
      <c r="AF23" s="44" t="n">
        <v>46.4413104524177</v>
      </c>
      <c r="AG23" s="44" t="n">
        <v>46.6308152173912</v>
      </c>
      <c r="AH23" s="44" t="n">
        <v>46.845783365571</v>
      </c>
      <c r="AI23" s="44" t="n">
        <v>46.9244705882356</v>
      </c>
      <c r="AJ23" s="44" t="n">
        <v>47.0615898617513</v>
      </c>
      <c r="AK23" s="44" t="n">
        <v>47.0907444668011</v>
      </c>
      <c r="AL23" s="44" t="n">
        <v>47.0786481113323</v>
      </c>
      <c r="AM23" s="44" t="n">
        <v>47.1282599118944</v>
      </c>
      <c r="AN23" s="44" t="n">
        <v>47.2150070721358</v>
      </c>
      <c r="AO23" s="44" t="n">
        <f aca="false">AVERAGE(AC23:AE23)</f>
        <v>46.2775062421648</v>
      </c>
      <c r="AP23" s="44" t="n">
        <f aca="false">AVERAGE(AF23:AH23)</f>
        <v>46.6393030117933</v>
      </c>
      <c r="AQ23" s="44" t="n">
        <f aca="false">AVERAGE(AI23:AK23)</f>
        <v>47.0256016389293</v>
      </c>
      <c r="AR23" s="44" t="n">
        <f aca="false">AVERAGE(AL23:AN23)</f>
        <v>47.1406383651208</v>
      </c>
      <c r="AS23" s="44"/>
      <c r="AT23" s="44" t="n">
        <v>47.1862499999998</v>
      </c>
      <c r="AU23" s="44" t="n">
        <v>47.1998095238091</v>
      </c>
      <c r="AV23" s="44" t="n">
        <v>46.5085714285711</v>
      </c>
      <c r="AW23" s="44" t="n">
        <v>46.2946305418715</v>
      </c>
      <c r="AX23" s="44" t="n">
        <v>46.3497087378641</v>
      </c>
      <c r="AY23" s="44" t="n">
        <v>46.3178777393305</v>
      </c>
      <c r="AZ23" s="44" t="n">
        <v>46.5309179415853</v>
      </c>
      <c r="BA23" s="44" t="n">
        <v>46.6266519823785</v>
      </c>
      <c r="BB23" s="44" t="n">
        <v>46.6030120481925</v>
      </c>
      <c r="BC23" s="44" t="n">
        <v>46.6405642023344</v>
      </c>
      <c r="BD23" s="44" t="n">
        <v>46.6507564575643</v>
      </c>
      <c r="BE23" s="44" t="n">
        <v>46.995198237885</v>
      </c>
      <c r="BF23" s="44" t="n">
        <f aca="false">AVERAGE(AT23:AV23)</f>
        <v>46.9648769841267</v>
      </c>
      <c r="BG23" s="44" t="n">
        <f aca="false">AVERAGE(AW23:AY23)</f>
        <v>46.3207390063554</v>
      </c>
      <c r="BH23" s="44" t="n">
        <f aca="false">AVERAGE(AZ23:BB23)</f>
        <v>46.5868606573854</v>
      </c>
      <c r="BI23" s="44" t="n">
        <f aca="false">AVERAGE(BC23:BE23)</f>
        <v>46.7621729659279</v>
      </c>
      <c r="BJ23" s="44"/>
      <c r="BK23" s="44" t="n">
        <v>47.9024622356496</v>
      </c>
      <c r="BL23" s="44" t="n">
        <v>47.7720956399436</v>
      </c>
      <c r="BM23" s="44" t="n">
        <v>47.5414581178901</v>
      </c>
      <c r="BN23" s="44" t="n">
        <v>47.9162860727728</v>
      </c>
      <c r="BO23" s="44" t="n">
        <v>48.1238020086086</v>
      </c>
      <c r="BP23" s="44" t="n">
        <v>48.2834143049932</v>
      </c>
      <c r="BQ23" s="44" t="n">
        <v>48.4895738203953</v>
      </c>
      <c r="BR23" s="44" t="n">
        <v>48.7824013921116</v>
      </c>
      <c r="BS23" s="44" t="n">
        <v>48.5803178807945</v>
      </c>
      <c r="BT23" s="44" t="n">
        <v>48.9696558317401</v>
      </c>
      <c r="BU23" s="44" t="n">
        <v>49.5332152842502</v>
      </c>
      <c r="BV23" s="44" t="n">
        <v>51.318572806172</v>
      </c>
      <c r="BW23" s="44" t="n">
        <f aca="false">AVERAGE(BK23:BM23)</f>
        <v>47.7386719978278</v>
      </c>
      <c r="BX23" s="44" t="n">
        <f aca="false">AVERAGE(BN23:BP23)</f>
        <v>48.1078341287915</v>
      </c>
      <c r="BY23" s="44" t="n">
        <f aca="false">AVERAGE(BQ23:BS23)</f>
        <v>48.6174310311005</v>
      </c>
      <c r="BZ23" s="44" t="n">
        <f aca="false">AVERAGE(BT23:BV23)</f>
        <v>49.9404813073875</v>
      </c>
      <c r="CA23" s="44"/>
      <c r="CB23" s="44" t="n">
        <v>52.2303298350829</v>
      </c>
      <c r="CC23" s="44" t="n">
        <v>52.4331527093593</v>
      </c>
      <c r="CD23" s="44" t="n">
        <v>52.1629214780605</v>
      </c>
      <c r="CE23" s="44" t="n">
        <v>51.9486161879899</v>
      </c>
      <c r="CF23" s="44" t="n">
        <v>51.8231839258112</v>
      </c>
      <c r="CG23" s="44" t="n">
        <v>51.8063141993953</v>
      </c>
      <c r="CH23" s="44" t="n">
        <v>51.8243386243384</v>
      </c>
      <c r="CI23" s="44" t="n">
        <v>52.0730593607304</v>
      </c>
      <c r="CJ23" s="44" t="n">
        <v>52.6218993710687</v>
      </c>
      <c r="CK23" s="44" t="n">
        <v>53.3956308851229</v>
      </c>
      <c r="CL23" s="44" t="n">
        <v>53.7564556962022</v>
      </c>
      <c r="CM23" s="44"/>
      <c r="CN23" s="44" t="n">
        <f aca="false">AVERAGE(CB23:CD23)</f>
        <v>52.2754680075009</v>
      </c>
      <c r="CO23" s="44" t="n">
        <f aca="false">AVERAGE(CE23:CG23)</f>
        <v>51.8593714377322</v>
      </c>
      <c r="CP23" s="44" t="n">
        <f aca="false">AVERAGE(CH23:CJ23)</f>
        <v>52.1730991187125</v>
      </c>
      <c r="CQ23" s="44" t="n">
        <f aca="false">AVERAGE(CK23:CM23)</f>
        <v>53.5760432906626</v>
      </c>
      <c r="CR23" s="10"/>
    </row>
    <row r="24" customFormat="false" ht="17.25" hidden="false" customHeight="true" outlineLevel="1" collapsed="false">
      <c r="A24" s="12"/>
      <c r="B24" s="12"/>
      <c r="C24" s="12"/>
      <c r="D24" s="43" t="s">
        <v>86</v>
      </c>
      <c r="E24" s="45" t="s">
        <v>87</v>
      </c>
      <c r="F24" s="13" t="s">
        <v>88</v>
      </c>
      <c r="G24" s="12" t="s">
        <v>54</v>
      </c>
      <c r="H24" s="46" t="s">
        <v>89</v>
      </c>
      <c r="I24" s="47" t="s">
        <v>36</v>
      </c>
      <c r="J24" s="16" t="n">
        <v>43101</v>
      </c>
      <c r="K24" s="17" t="s">
        <v>37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42"/>
      <c r="W24" s="42"/>
      <c r="X24" s="48" t="n">
        <v>16430294.5</v>
      </c>
      <c r="Y24" s="48" t="n">
        <f aca="false">31348950.7-X24</f>
        <v>14918656.2</v>
      </c>
      <c r="Z24" s="48" t="n">
        <f aca="false">52240076.5-Y24-X24</f>
        <v>20891125.8</v>
      </c>
      <c r="AA24" s="48" t="n">
        <f aca="false">70479819-Z24-Y24-X24</f>
        <v>18239742.5</v>
      </c>
      <c r="AB24" s="48" t="n">
        <v>70479819</v>
      </c>
      <c r="AC24" s="48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 t="n">
        <v>17676855.8</v>
      </c>
      <c r="AP24" s="50" t="n">
        <f aca="false">32513649.3-AO24</f>
        <v>14836793.5</v>
      </c>
      <c r="AQ24" s="50" t="n">
        <f aca="false">53749180.1-AP24-AO24</f>
        <v>21235530.8</v>
      </c>
      <c r="AR24" s="50" t="n">
        <f aca="false">71562303.7-AQ24-AP24-AO24</f>
        <v>17813123.6</v>
      </c>
      <c r="AS24" s="50" t="n">
        <v>71562303.7</v>
      </c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50" t="n">
        <v>17669321.7</v>
      </c>
      <c r="BG24" s="50" t="n">
        <f aca="false">26974292.9-BF24</f>
        <v>9304971.2</v>
      </c>
      <c r="BH24" s="50" t="n">
        <f aca="false">49320757.5-BG24-BF24</f>
        <v>22346464.6</v>
      </c>
      <c r="BI24" s="50" t="n">
        <f aca="false">65883363.9-BH24-BG24-BF24</f>
        <v>16562606.4</v>
      </c>
      <c r="BJ24" s="50" t="n">
        <v>65883363.9</v>
      </c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24"/>
      <c r="BW24" s="24" t="n">
        <v>18442964.1</v>
      </c>
      <c r="BX24" s="24" t="n">
        <f aca="false">31160642.8-BW24</f>
        <v>12717678.7</v>
      </c>
      <c r="BY24" s="24" t="n">
        <f aca="false">52520203.2-BX24-BW24</f>
        <v>21359560.4</v>
      </c>
      <c r="BZ24" s="24" t="n">
        <f aca="false">72209847.4-BY24-BX24-BW24</f>
        <v>19689644.2</v>
      </c>
      <c r="CA24" s="24" t="n">
        <v>72209847.4</v>
      </c>
      <c r="CB24" s="24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51"/>
      <c r="CN24" s="24" t="n">
        <v>20133918</v>
      </c>
      <c r="CO24" s="24" t="n">
        <f aca="false">33417923.6-CN24</f>
        <v>13284005.6</v>
      </c>
      <c r="CP24" s="10"/>
      <c r="CQ24" s="10"/>
      <c r="CR24" s="10"/>
    </row>
    <row r="25" customFormat="false" ht="17.25" hidden="false" customHeight="true" outlineLevel="1" collapsed="false">
      <c r="A25" s="12"/>
      <c r="B25" s="12"/>
      <c r="C25" s="12"/>
      <c r="D25" s="12" t="s">
        <v>90</v>
      </c>
      <c r="E25" s="14" t="s">
        <v>87</v>
      </c>
      <c r="F25" s="13" t="s">
        <v>88</v>
      </c>
      <c r="G25" s="12" t="s">
        <v>54</v>
      </c>
      <c r="H25" s="13" t="s">
        <v>89</v>
      </c>
      <c r="I25" s="15" t="s">
        <v>36</v>
      </c>
      <c r="J25" s="16" t="n">
        <v>43101</v>
      </c>
      <c r="K25" s="17" t="s">
        <v>37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42"/>
      <c r="W25" s="42"/>
      <c r="X25" s="48" t="n">
        <v>5947027</v>
      </c>
      <c r="Y25" s="48" t="n">
        <f aca="false">11338372.3-X25</f>
        <v>5391345.3</v>
      </c>
      <c r="Z25" s="48" t="n">
        <f aca="false">18208583.6-Y25-X25</f>
        <v>6870211.3</v>
      </c>
      <c r="AA25" s="48" t="n">
        <f aca="false">25173822.3-Z25-Y25-X25</f>
        <v>6965238.7</v>
      </c>
      <c r="AB25" s="48" t="n">
        <v>25173822.3</v>
      </c>
      <c r="AC25" s="48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 t="n">
        <v>6694437.1</v>
      </c>
      <c r="AP25" s="50" t="n">
        <f aca="false">12141248.9-AO25</f>
        <v>5446811.8</v>
      </c>
      <c r="AQ25" s="50" t="n">
        <f aca="false">20122182.2-AP25-AO25</f>
        <v>7980933.3</v>
      </c>
      <c r="AR25" s="50" t="n">
        <f aca="false">26931484.7-AQ25-AP25-AO25</f>
        <v>6809302.5</v>
      </c>
      <c r="AS25" s="50" t="n">
        <v>26931484.7</v>
      </c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 t="n">
        <v>6902848.1</v>
      </c>
      <c r="BG25" s="49" t="n">
        <f aca="false">11266703.3-BF25</f>
        <v>4363855.2</v>
      </c>
      <c r="BH25" s="49" t="n">
        <f aca="false">18675013-BG25-BF25</f>
        <v>7408309.7</v>
      </c>
      <c r="BI25" s="49" t="n">
        <f aca="false">25169855-BH25-BG25-BF25</f>
        <v>6494842</v>
      </c>
      <c r="BJ25" s="49" t="n">
        <v>25169855</v>
      </c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24"/>
      <c r="BW25" s="24" t="n">
        <v>7147485.1</v>
      </c>
      <c r="BX25" s="24" t="n">
        <f aca="false">12546588.5-BW25</f>
        <v>5399103.4</v>
      </c>
      <c r="BY25" s="24" t="n">
        <f aca="false">19394065-BX25-BW25</f>
        <v>6847476.5</v>
      </c>
      <c r="BZ25" s="24" t="n">
        <f aca="false">27735717.3-BY25-BX25-BW25</f>
        <v>8341652.3</v>
      </c>
      <c r="CA25" s="24" t="n">
        <v>27735717.3</v>
      </c>
      <c r="CB25" s="24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51"/>
      <c r="CN25" s="24" t="n">
        <v>9309881.4</v>
      </c>
      <c r="CO25" s="24" t="n">
        <f aca="false">16207123.4-CN25</f>
        <v>6897242</v>
      </c>
      <c r="CP25" s="10"/>
      <c r="CQ25" s="10"/>
      <c r="CR25" s="10"/>
    </row>
    <row r="26" customFormat="false" ht="15" hidden="false" customHeight="false" outlineLevel="0" collapsed="false">
      <c r="A26" s="11" t="n">
        <v>14</v>
      </c>
      <c r="B26" s="12"/>
      <c r="C26" s="12"/>
      <c r="D26" s="13" t="s">
        <v>91</v>
      </c>
      <c r="E26" s="14" t="s">
        <v>92</v>
      </c>
      <c r="F26" s="13" t="s">
        <v>93</v>
      </c>
      <c r="G26" s="12" t="s">
        <v>76</v>
      </c>
      <c r="H26" s="12" t="s">
        <v>61</v>
      </c>
      <c r="I26" s="22" t="s">
        <v>43</v>
      </c>
      <c r="J26" s="52" t="n">
        <v>43497</v>
      </c>
      <c r="K26" s="0" t="s">
        <v>37</v>
      </c>
      <c r="AD26" s="27" t="n">
        <v>87.5357142857143</v>
      </c>
      <c r="AE26" s="27" t="n">
        <v>107.548387096774</v>
      </c>
      <c r="AF26" s="27" t="n">
        <v>119.466666666667</v>
      </c>
      <c r="AG26" s="27" t="n">
        <v>94.6774193548387</v>
      </c>
      <c r="AH26" s="27" t="n">
        <v>99.2666666666667</v>
      </c>
      <c r="AI26" s="27" t="n">
        <v>109.166666666667</v>
      </c>
      <c r="AJ26" s="27" t="n">
        <v>99.3548387096774</v>
      </c>
      <c r="AK26" s="27" t="n">
        <v>99.7666666666667</v>
      </c>
      <c r="AL26" s="27" t="n">
        <v>111.645161290323</v>
      </c>
      <c r="AM26" s="27" t="n">
        <v>108.7</v>
      </c>
      <c r="AN26" s="27" t="n">
        <v>99.2258064516129</v>
      </c>
      <c r="AO26" s="27"/>
      <c r="AP26" s="27"/>
      <c r="AQ26" s="27"/>
      <c r="AR26" s="27"/>
      <c r="AS26" s="27"/>
      <c r="AT26" s="27" t="n">
        <v>82.0645161290323</v>
      </c>
      <c r="AU26" s="27" t="n">
        <v>83.1428571428571</v>
      </c>
      <c r="AV26" s="27" t="n">
        <v>120</v>
      </c>
      <c r="AW26" s="27" t="n">
        <v>38.2666666666667</v>
      </c>
      <c r="AX26" s="27" t="n">
        <v>70.6451612903226</v>
      </c>
      <c r="AY26" s="27" t="n">
        <v>116.233333333333</v>
      </c>
      <c r="AZ26" s="27" t="n">
        <v>116.6</v>
      </c>
      <c r="BA26" s="27" t="n">
        <v>119.935483870968</v>
      </c>
      <c r="BB26" s="27" t="n">
        <v>108.966666666667</v>
      </c>
      <c r="BC26" s="27" t="n">
        <v>116.612903225806</v>
      </c>
      <c r="BD26" s="27" t="n">
        <v>153.933333333333</v>
      </c>
      <c r="BE26" s="27" t="n">
        <v>117.161290322581</v>
      </c>
      <c r="BF26" s="27"/>
      <c r="BG26" s="27"/>
      <c r="BH26" s="27"/>
      <c r="BI26" s="27"/>
      <c r="BJ26" s="27"/>
      <c r="BK26" s="27" t="n">
        <v>100.451612903226</v>
      </c>
      <c r="BL26" s="27" t="n">
        <v>128.928571428571</v>
      </c>
      <c r="BM26" s="27" t="n">
        <v>165.322580645161</v>
      </c>
      <c r="BN26" s="27" t="n">
        <v>179.033333333333</v>
      </c>
      <c r="BO26" s="27" t="n">
        <v>165.161290322581</v>
      </c>
      <c r="BP26" s="27" t="n">
        <v>181.233333333333</v>
      </c>
      <c r="BQ26" s="27" t="n">
        <v>176.6</v>
      </c>
      <c r="BR26" s="27" t="n">
        <v>161.193548387097</v>
      </c>
      <c r="BS26" s="27" t="n">
        <v>184.4</v>
      </c>
      <c r="BT26" s="27" t="n">
        <v>175.451612903226</v>
      </c>
      <c r="BU26" s="27" t="n">
        <v>195.7</v>
      </c>
      <c r="BV26" s="27" t="n">
        <v>173.645161290323</v>
      </c>
      <c r="BW26" s="27"/>
      <c r="BX26" s="27"/>
      <c r="BY26" s="27"/>
      <c r="BZ26" s="27"/>
      <c r="CA26" s="27"/>
      <c r="CB26" s="27" t="n">
        <v>145.741935483871</v>
      </c>
      <c r="CC26" s="27" t="n">
        <v>196.142857142857</v>
      </c>
      <c r="CD26" s="27" t="n">
        <v>194</v>
      </c>
      <c r="CE26" s="27" t="n">
        <v>150.4</v>
      </c>
      <c r="CF26" s="27" t="n">
        <v>137.612903225806</v>
      </c>
      <c r="CG26" s="27" t="n">
        <v>168.866666666667</v>
      </c>
      <c r="CH26" s="27" t="n">
        <v>142.133333333333</v>
      </c>
      <c r="CI26" s="27" t="n">
        <v>193.548387096774</v>
      </c>
      <c r="CJ26" s="27" t="n">
        <v>163.266666666667</v>
      </c>
      <c r="CK26" s="27" t="n">
        <v>144.387096774194</v>
      </c>
      <c r="CL26" s="27" t="n">
        <v>171.421052631579</v>
      </c>
    </row>
    <row r="27" customFormat="false" ht="15" hidden="false" customHeight="false" outlineLevel="0" collapsed="false">
      <c r="A27" s="11" t="n">
        <v>15</v>
      </c>
      <c r="B27" s="12"/>
      <c r="C27" s="12"/>
      <c r="D27" s="43" t="s">
        <v>94</v>
      </c>
      <c r="E27" s="14" t="s">
        <v>92</v>
      </c>
      <c r="F27" s="13" t="s">
        <v>93</v>
      </c>
      <c r="G27" s="12" t="s">
        <v>76</v>
      </c>
      <c r="H27" s="12" t="s">
        <v>61</v>
      </c>
      <c r="I27" s="22" t="s">
        <v>43</v>
      </c>
      <c r="J27" s="52" t="n">
        <v>43497</v>
      </c>
      <c r="K27" s="0" t="s">
        <v>37</v>
      </c>
      <c r="AD27" s="27" t="n">
        <v>91.2857142857143</v>
      </c>
      <c r="AE27" s="27" t="n">
        <v>96.7096774193548</v>
      </c>
      <c r="AF27" s="27" t="n">
        <v>99.1333333333333</v>
      </c>
      <c r="AG27" s="27" t="n">
        <v>100.161290322581</v>
      </c>
      <c r="AH27" s="27" t="n">
        <v>105.8</v>
      </c>
      <c r="AI27" s="27" t="n">
        <v>101.8</v>
      </c>
      <c r="AJ27" s="27" t="n">
        <v>106.193548387097</v>
      </c>
      <c r="AK27" s="27" t="n">
        <v>101.266666666667</v>
      </c>
      <c r="AL27" s="27" t="n">
        <v>102.225806451613</v>
      </c>
      <c r="AM27" s="27" t="n">
        <v>105.166666666667</v>
      </c>
      <c r="AN27" s="27" t="n">
        <v>98.4193548387097</v>
      </c>
      <c r="AO27" s="27"/>
      <c r="AP27" s="27"/>
      <c r="AQ27" s="27"/>
      <c r="AR27" s="27"/>
      <c r="AS27" s="27"/>
      <c r="AT27" s="27" t="n">
        <v>89.9354838709678</v>
      </c>
      <c r="AU27" s="27" t="n">
        <v>94.2857142857143</v>
      </c>
      <c r="AV27" s="27" t="n">
        <v>98.5161290322581</v>
      </c>
      <c r="AW27" s="27" t="n">
        <v>55.9333333333333</v>
      </c>
      <c r="AX27" s="27" t="n">
        <v>72.4516129032258</v>
      </c>
      <c r="AY27" s="27" t="n">
        <v>101.5</v>
      </c>
      <c r="AZ27" s="27" t="n">
        <v>99.5333333333333</v>
      </c>
      <c r="BA27" s="27" t="n">
        <v>117.516129032258</v>
      </c>
      <c r="BB27" s="27" t="n">
        <v>106.8</v>
      </c>
      <c r="BC27" s="27" t="n">
        <v>99.9354838709678</v>
      </c>
      <c r="BD27" s="27" t="n">
        <v>108.866666666667</v>
      </c>
      <c r="BE27" s="27" t="n">
        <v>110.064516129032</v>
      </c>
      <c r="BF27" s="27"/>
      <c r="BG27" s="27"/>
      <c r="BH27" s="27"/>
      <c r="BI27" s="27"/>
      <c r="BJ27" s="27"/>
      <c r="BK27" s="27" t="n">
        <v>99.0322580645161</v>
      </c>
      <c r="BL27" s="27" t="n">
        <v>106.928571428571</v>
      </c>
      <c r="BM27" s="27" t="n">
        <v>111.451612903226</v>
      </c>
      <c r="BN27" s="27" t="n">
        <v>116.7</v>
      </c>
      <c r="BO27" s="27" t="n">
        <v>118.483870967742</v>
      </c>
      <c r="BP27" s="27" t="n">
        <v>124.233333333333</v>
      </c>
      <c r="BQ27" s="27" t="n">
        <v>119.9</v>
      </c>
      <c r="BR27" s="27" t="n">
        <v>128.645161290323</v>
      </c>
      <c r="BS27" s="27" t="n">
        <v>122.266666666667</v>
      </c>
      <c r="BT27" s="27" t="n">
        <v>119.903225806452</v>
      </c>
      <c r="BU27" s="27" t="n">
        <v>118.666666666667</v>
      </c>
      <c r="BV27" s="27" t="n">
        <v>123.451612903226</v>
      </c>
      <c r="BW27" s="27"/>
      <c r="BX27" s="27"/>
      <c r="BY27" s="27"/>
      <c r="BZ27" s="27"/>
      <c r="CA27" s="27"/>
      <c r="CB27" s="27" t="n">
        <v>111.064516129032</v>
      </c>
      <c r="CC27" s="27" t="n">
        <v>116.178571428571</v>
      </c>
      <c r="CD27" s="27" t="n">
        <v>105.548387096774</v>
      </c>
      <c r="CE27" s="27" t="n">
        <v>111.2</v>
      </c>
      <c r="CF27" s="27" t="n">
        <v>107.258064516129</v>
      </c>
      <c r="CG27" s="27" t="n">
        <v>115.266666666667</v>
      </c>
      <c r="CH27" s="27" t="n">
        <v>101.433333333333</v>
      </c>
      <c r="CI27" s="27" t="n">
        <v>118.322580645161</v>
      </c>
      <c r="CJ27" s="27" t="n">
        <v>106.7</v>
      </c>
      <c r="CK27" s="27" t="n">
        <v>101.548387096774</v>
      </c>
      <c r="CL27" s="27" t="n">
        <v>107.315789473684</v>
      </c>
    </row>
    <row r="28" customFormat="false" ht="15" hidden="false" customHeight="false" outlineLevel="0" collapsed="false">
      <c r="A28" s="11" t="n">
        <v>16</v>
      </c>
      <c r="B28" s="53" t="s">
        <v>95</v>
      </c>
      <c r="C28" s="12" t="s">
        <v>96</v>
      </c>
      <c r="D28" s="12" t="s">
        <v>97</v>
      </c>
      <c r="E28" s="14" t="s">
        <v>98</v>
      </c>
      <c r="F28" s="12" t="s">
        <v>99</v>
      </c>
      <c r="G28" s="12" t="s">
        <v>83</v>
      </c>
      <c r="H28" s="12" t="s">
        <v>100</v>
      </c>
      <c r="I28" s="22" t="s">
        <v>43</v>
      </c>
      <c r="J28" s="16" t="n">
        <v>43374</v>
      </c>
      <c r="K28" s="13" t="s">
        <v>37</v>
      </c>
      <c r="U28" s="54" t="n">
        <v>233.9</v>
      </c>
      <c r="V28" s="54" t="n">
        <v>242.25</v>
      </c>
      <c r="W28" s="54" t="n">
        <v>243.05</v>
      </c>
      <c r="X28" s="10"/>
      <c r="Y28" s="10"/>
      <c r="Z28" s="10"/>
      <c r="AA28" s="10"/>
      <c r="AB28" s="10"/>
      <c r="AC28" s="54" t="n">
        <v>246.4</v>
      </c>
      <c r="AD28" s="54" t="n">
        <v>247.9</v>
      </c>
      <c r="AE28" s="54" t="n">
        <v>249.75</v>
      </c>
      <c r="AF28" s="54" t="n">
        <v>250.25</v>
      </c>
      <c r="AG28" s="54" t="n">
        <v>247.8</v>
      </c>
      <c r="AH28" s="54" t="n">
        <v>251.8</v>
      </c>
      <c r="AI28" s="54" t="n">
        <v>252.55</v>
      </c>
      <c r="AJ28" s="54" t="n">
        <v>251.75</v>
      </c>
      <c r="AK28" s="54" t="n">
        <v>251.785</v>
      </c>
      <c r="AL28" s="54" t="n">
        <v>253.0667</v>
      </c>
      <c r="AM28" s="54" t="n">
        <v>244.9</v>
      </c>
      <c r="AN28" s="54" t="n">
        <v>251.3</v>
      </c>
      <c r="AO28" s="55"/>
      <c r="AP28" s="55"/>
      <c r="AQ28" s="55"/>
      <c r="AR28" s="55"/>
      <c r="AS28" s="55" t="n">
        <f aca="false">SUM(AC28:AN28)</f>
        <v>2999.2517</v>
      </c>
      <c r="AT28" s="54" t="n">
        <v>252.25</v>
      </c>
      <c r="AU28" s="54" t="n">
        <v>244.15</v>
      </c>
      <c r="AV28" s="54" t="n">
        <v>239.45</v>
      </c>
      <c r="AW28" s="54" t="n">
        <v>242.65</v>
      </c>
      <c r="AX28" s="54" t="n">
        <v>237.55</v>
      </c>
      <c r="AY28" s="54" t="n">
        <v>231.5</v>
      </c>
      <c r="AZ28" s="54" t="n">
        <v>242.9</v>
      </c>
      <c r="BA28" s="54" t="n">
        <v>246.45</v>
      </c>
      <c r="BB28" s="54" t="n">
        <v>238</v>
      </c>
      <c r="BC28" s="54" t="n">
        <v>241.9</v>
      </c>
      <c r="BD28" s="54" t="n">
        <v>243.65</v>
      </c>
      <c r="BE28" s="54" t="n">
        <v>236.9667</v>
      </c>
      <c r="BF28" s="55"/>
      <c r="BG28" s="55"/>
      <c r="BH28" s="55"/>
      <c r="BI28" s="55"/>
      <c r="BJ28" s="55" t="n">
        <f aca="false">SUM(AT28:BE28)</f>
        <v>2897.4167</v>
      </c>
      <c r="BK28" s="54" t="n">
        <v>241.25</v>
      </c>
      <c r="BL28" s="54" t="n">
        <v>245.585</v>
      </c>
      <c r="BM28" s="54" t="n">
        <v>253.6</v>
      </c>
      <c r="BN28" s="54" t="n">
        <v>249.515</v>
      </c>
      <c r="BO28" s="54" t="n">
        <v>248.56</v>
      </c>
      <c r="BP28" s="54" t="n">
        <v>254.725</v>
      </c>
      <c r="BQ28" s="54" t="n">
        <v>252.3033</v>
      </c>
      <c r="BR28" s="54" t="n">
        <v>251.5</v>
      </c>
      <c r="BS28" s="54" t="n">
        <v>251.18</v>
      </c>
      <c r="BT28" s="54" t="n">
        <v>248.77</v>
      </c>
      <c r="BU28" s="54" t="n">
        <v>249.885</v>
      </c>
      <c r="BV28" s="54" t="n">
        <v>254.7667</v>
      </c>
      <c r="BW28" s="55"/>
      <c r="BX28" s="55"/>
      <c r="BY28" s="55"/>
      <c r="BZ28" s="55"/>
      <c r="CA28" s="55" t="n">
        <f aca="false">SUM(BK28:BV28)</f>
        <v>3001.64</v>
      </c>
    </row>
    <row r="29" customFormat="false" ht="15" hidden="false" customHeight="false" outlineLevel="0" collapsed="false">
      <c r="A29" s="11" t="n">
        <v>17</v>
      </c>
      <c r="B29" s="53" t="s">
        <v>95</v>
      </c>
      <c r="C29" s="12" t="s">
        <v>96</v>
      </c>
      <c r="D29" s="12" t="s">
        <v>101</v>
      </c>
      <c r="E29" s="14" t="s">
        <v>98</v>
      </c>
      <c r="F29" s="12" t="s">
        <v>99</v>
      </c>
      <c r="G29" s="12" t="s">
        <v>83</v>
      </c>
      <c r="H29" s="12" t="s">
        <v>100</v>
      </c>
      <c r="I29" s="22" t="s">
        <v>43</v>
      </c>
      <c r="J29" s="16" t="n">
        <v>43374</v>
      </c>
      <c r="K29" s="13" t="s">
        <v>37</v>
      </c>
      <c r="U29" s="54" t="n">
        <v>5158.35</v>
      </c>
      <c r="V29" s="54" t="n">
        <v>1093.45</v>
      </c>
      <c r="W29" s="54" t="n">
        <v>883.2</v>
      </c>
      <c r="AC29" s="54" t="n">
        <v>3906.4</v>
      </c>
      <c r="AD29" s="54" t="n">
        <v>4142.3</v>
      </c>
      <c r="AE29" s="54" t="n">
        <v>3996.7</v>
      </c>
      <c r="AF29" s="54" t="n">
        <v>4162.4</v>
      </c>
      <c r="AG29" s="54" t="n">
        <v>718.1333</v>
      </c>
      <c r="AH29" s="54" t="n">
        <v>716.35</v>
      </c>
      <c r="AI29" s="54" t="n">
        <v>735.1</v>
      </c>
      <c r="AJ29" s="54" t="n">
        <v>722.75</v>
      </c>
      <c r="AK29" s="54" t="n">
        <v>717.2</v>
      </c>
      <c r="AL29" s="54" t="n">
        <v>733.4333</v>
      </c>
      <c r="AM29" s="54" t="n">
        <v>801.15</v>
      </c>
      <c r="AN29" s="54" t="n">
        <v>760.5</v>
      </c>
      <c r="AO29" s="55"/>
      <c r="AP29" s="55"/>
      <c r="AQ29" s="55"/>
      <c r="AR29" s="55"/>
      <c r="AS29" s="55" t="n">
        <f aca="false">SUM(AC29:AN29)</f>
        <v>22112.4166</v>
      </c>
      <c r="AT29" s="54" t="n">
        <v>78347.2</v>
      </c>
      <c r="AU29" s="54" t="n">
        <v>80549.55</v>
      </c>
      <c r="AV29" s="54" t="n">
        <v>78631.85</v>
      </c>
      <c r="AW29" s="54" t="n">
        <v>79311.25</v>
      </c>
      <c r="AX29" s="54" t="n">
        <v>75633</v>
      </c>
      <c r="AY29" s="54" t="n">
        <v>75260.7</v>
      </c>
      <c r="AZ29" s="54" t="n">
        <v>75126.37</v>
      </c>
      <c r="BA29" s="54" t="n">
        <v>76924.6</v>
      </c>
      <c r="BB29" s="54" t="n">
        <v>78462.55</v>
      </c>
      <c r="BC29" s="54" t="n">
        <v>79319.75</v>
      </c>
      <c r="BD29" s="54" t="n">
        <v>79574.1</v>
      </c>
      <c r="BE29" s="54" t="n">
        <v>76617.37</v>
      </c>
      <c r="BF29" s="55"/>
      <c r="BG29" s="55"/>
      <c r="BH29" s="55"/>
      <c r="BI29" s="55"/>
      <c r="BJ29" s="55" t="n">
        <f aca="false">SUM(AT29:BE29)</f>
        <v>933758.29</v>
      </c>
      <c r="BK29" s="54" t="n">
        <v>805.575</v>
      </c>
      <c r="BL29" s="54" t="n">
        <v>856.56</v>
      </c>
      <c r="BM29" s="54" t="n">
        <v>883.315</v>
      </c>
      <c r="BN29" s="54" t="n">
        <v>880.96</v>
      </c>
      <c r="BO29" s="54" t="n">
        <v>850.035</v>
      </c>
      <c r="BP29" s="54" t="n">
        <v>876.1</v>
      </c>
      <c r="BQ29" s="54" t="n">
        <v>888.88</v>
      </c>
      <c r="BR29" s="54" t="n">
        <v>833.05</v>
      </c>
      <c r="BS29" s="54" t="n">
        <v>850.705</v>
      </c>
      <c r="BT29" s="54" t="n">
        <v>928.215</v>
      </c>
      <c r="BU29" s="54" t="n">
        <v>882.4</v>
      </c>
      <c r="BV29" s="54" t="n">
        <v>883.3367</v>
      </c>
      <c r="BW29" s="55"/>
      <c r="BX29" s="55"/>
      <c r="BY29" s="55"/>
      <c r="BZ29" s="55"/>
      <c r="CA29" s="55" t="n">
        <f aca="false">SUM(BK29:BV29)</f>
        <v>10419.1317</v>
      </c>
    </row>
    <row r="30" customFormat="false" ht="15" hidden="false" customHeight="false" outlineLevel="0" collapsed="false">
      <c r="A30" s="11" t="n">
        <v>18</v>
      </c>
      <c r="B30" s="53"/>
      <c r="C30" s="12" t="s">
        <v>96</v>
      </c>
      <c r="D30" s="12" t="s">
        <v>102</v>
      </c>
      <c r="E30" s="14" t="s">
        <v>98</v>
      </c>
      <c r="F30" s="12" t="s">
        <v>99</v>
      </c>
      <c r="G30" s="12" t="s">
        <v>83</v>
      </c>
      <c r="H30" s="12" t="s">
        <v>100</v>
      </c>
      <c r="I30" s="22" t="s">
        <v>43</v>
      </c>
      <c r="J30" s="16" t="n">
        <v>43374</v>
      </c>
      <c r="K30" s="13" t="s">
        <v>37</v>
      </c>
      <c r="U30" s="54" t="n">
        <v>3370.95</v>
      </c>
      <c r="V30" s="54" t="n">
        <v>646.2</v>
      </c>
      <c r="W30" s="54" t="n">
        <v>594.25</v>
      </c>
      <c r="AC30" s="54" t="n">
        <v>4519.05</v>
      </c>
      <c r="AD30" s="54" t="n">
        <v>4582.3</v>
      </c>
      <c r="AE30" s="54" t="n">
        <v>4585.65</v>
      </c>
      <c r="AF30" s="54" t="n">
        <v>3809.95</v>
      </c>
      <c r="AG30" s="54" t="n">
        <v>630.4667</v>
      </c>
      <c r="AH30" s="54" t="n">
        <v>659</v>
      </c>
      <c r="AI30" s="54" t="n">
        <v>649</v>
      </c>
      <c r="AJ30" s="54" t="n">
        <v>641</v>
      </c>
      <c r="AK30" s="54" t="n">
        <v>643.35</v>
      </c>
      <c r="AL30" s="54" t="n">
        <v>638.9333</v>
      </c>
      <c r="AM30" s="54" t="n">
        <v>633.75</v>
      </c>
      <c r="AN30" s="54" t="n">
        <v>626.3</v>
      </c>
      <c r="AO30" s="55"/>
      <c r="AP30" s="55"/>
      <c r="AQ30" s="55"/>
      <c r="AR30" s="55"/>
      <c r="AS30" s="55" t="n">
        <f aca="false">SUM(AC30:AN30)</f>
        <v>22618.75</v>
      </c>
      <c r="AT30" s="54" t="n">
        <v>623.75</v>
      </c>
      <c r="AU30" s="54" t="n">
        <v>619.35</v>
      </c>
      <c r="AV30" s="54" t="n">
        <v>598.85</v>
      </c>
      <c r="AW30" s="54" t="n">
        <v>610.575</v>
      </c>
      <c r="AX30" s="54" t="n">
        <v>613.5</v>
      </c>
      <c r="AY30" s="54" t="n">
        <v>610.5</v>
      </c>
      <c r="AZ30" s="54" t="n">
        <v>641.3</v>
      </c>
      <c r="BA30" s="54" t="n">
        <v>646.7</v>
      </c>
      <c r="BB30" s="54" t="n">
        <v>626.8</v>
      </c>
      <c r="BC30" s="54" t="n">
        <v>629</v>
      </c>
      <c r="BD30" s="54" t="n">
        <v>639.35</v>
      </c>
      <c r="BE30" s="54" t="n">
        <v>631.9667</v>
      </c>
      <c r="BF30" s="55"/>
      <c r="BG30" s="55"/>
      <c r="BH30" s="55"/>
      <c r="BI30" s="55"/>
      <c r="BJ30" s="55" t="n">
        <f aca="false">SUM(AT30:BE30)</f>
        <v>7491.6417</v>
      </c>
      <c r="BK30" s="54" t="n">
        <v>1182.525</v>
      </c>
      <c r="BL30" s="54" t="n">
        <v>1381.85</v>
      </c>
      <c r="BM30" s="54" t="n">
        <v>1437.71</v>
      </c>
      <c r="BN30" s="54" t="n">
        <v>1664.635</v>
      </c>
      <c r="BO30" s="54" t="n">
        <v>1632.94</v>
      </c>
      <c r="BP30" s="54" t="n">
        <v>1473.56</v>
      </c>
      <c r="BQ30" s="54" t="n">
        <v>1262.58</v>
      </c>
      <c r="BR30" s="54" t="n">
        <v>1170.215</v>
      </c>
      <c r="BS30" s="54" t="n">
        <v>1257.885</v>
      </c>
      <c r="BT30" s="54" t="n">
        <v>1348.255</v>
      </c>
      <c r="BU30" s="54" t="n">
        <v>1304.81</v>
      </c>
      <c r="BV30" s="54" t="n">
        <v>1165.1</v>
      </c>
      <c r="BW30" s="55"/>
      <c r="BX30" s="55"/>
      <c r="BY30" s="55"/>
      <c r="BZ30" s="55"/>
      <c r="CA30" s="55" t="n">
        <f aca="false">SUM(BK30:BV30)</f>
        <v>16282.065</v>
      </c>
    </row>
    <row r="31" customFormat="false" ht="15" hidden="false" customHeight="false" outlineLevel="0" collapsed="false">
      <c r="A31" s="11" t="n">
        <v>19</v>
      </c>
      <c r="B31" s="53" t="s">
        <v>95</v>
      </c>
      <c r="C31" s="12" t="s">
        <v>103</v>
      </c>
      <c r="D31" s="12" t="s">
        <v>104</v>
      </c>
      <c r="E31" s="14" t="s">
        <v>98</v>
      </c>
      <c r="F31" s="12" t="s">
        <v>99</v>
      </c>
      <c r="G31" s="12" t="s">
        <v>83</v>
      </c>
      <c r="H31" s="12" t="s">
        <v>100</v>
      </c>
      <c r="I31" s="22" t="s">
        <v>43</v>
      </c>
      <c r="J31" s="16" t="n">
        <v>43374</v>
      </c>
      <c r="K31" s="13" t="s">
        <v>37</v>
      </c>
      <c r="U31" s="54" t="n">
        <v>19377.4</v>
      </c>
      <c r="V31" s="54" t="n">
        <v>15512.15</v>
      </c>
      <c r="W31" s="54" t="n">
        <v>35145.5</v>
      </c>
      <c r="AC31" s="54" t="n">
        <v>45383.75</v>
      </c>
      <c r="AD31" s="54" t="n">
        <v>48415.7</v>
      </c>
      <c r="AE31" s="54" t="n">
        <v>49367.2</v>
      </c>
      <c r="AF31" s="54" t="n">
        <v>47708.65</v>
      </c>
      <c r="AG31" s="54" t="n">
        <v>31329.77</v>
      </c>
      <c r="AH31" s="54" t="n">
        <v>30753.05</v>
      </c>
      <c r="AI31" s="54" t="n">
        <v>31396.7</v>
      </c>
      <c r="AJ31" s="54" t="n">
        <v>34545.5</v>
      </c>
      <c r="AK31" s="54" t="n">
        <v>35805.29</v>
      </c>
      <c r="AL31" s="54" t="n">
        <v>37457.53</v>
      </c>
      <c r="AM31" s="54" t="n">
        <v>31865.4</v>
      </c>
      <c r="AN31" s="54" t="n">
        <v>25368</v>
      </c>
      <c r="AO31" s="55"/>
      <c r="AP31" s="55"/>
      <c r="AQ31" s="55"/>
      <c r="AR31" s="55"/>
      <c r="AS31" s="55" t="n">
        <f aca="false">SUM(AC31:AN31)</f>
        <v>449396.54</v>
      </c>
      <c r="AT31" s="54" t="n">
        <v>22819.25</v>
      </c>
      <c r="AU31" s="54" t="n">
        <v>21638.4</v>
      </c>
      <c r="AV31" s="54" t="n">
        <v>20511.05</v>
      </c>
      <c r="AW31" s="54" t="n">
        <v>19719.4</v>
      </c>
      <c r="AX31" s="54" t="n">
        <v>21261.5</v>
      </c>
      <c r="AY31" s="54" t="n">
        <v>20812.55</v>
      </c>
      <c r="AZ31" s="54" t="n">
        <v>457472.8</v>
      </c>
      <c r="BA31" s="54" t="n">
        <v>743592.8</v>
      </c>
      <c r="BB31" s="54" t="n">
        <v>740061.4</v>
      </c>
      <c r="BC31" s="54" t="n">
        <v>22483.7</v>
      </c>
      <c r="BD31" s="54" t="n">
        <v>19055.6</v>
      </c>
      <c r="BE31" s="54" t="n">
        <v>1417949</v>
      </c>
      <c r="BF31" s="55"/>
      <c r="BG31" s="55"/>
      <c r="BH31" s="55"/>
      <c r="BI31" s="55"/>
      <c r="BJ31" s="55" t="n">
        <f aca="false">SUM(AT31:BE31)</f>
        <v>3527377.45</v>
      </c>
      <c r="BK31" s="54" t="n">
        <v>17650</v>
      </c>
      <c r="BL31" s="54" t="n">
        <v>20179.15</v>
      </c>
      <c r="BM31" s="54" t="n">
        <v>25173.2</v>
      </c>
      <c r="BN31" s="54" t="n">
        <v>19415.9</v>
      </c>
      <c r="BO31" s="54" t="n">
        <v>15534.22</v>
      </c>
      <c r="BP31" s="54" t="n">
        <v>17713.44</v>
      </c>
      <c r="BQ31" s="54" t="n">
        <v>16496.04</v>
      </c>
      <c r="BR31" s="54" t="n">
        <v>15347.2</v>
      </c>
      <c r="BS31" s="54" t="n">
        <v>14543</v>
      </c>
      <c r="BT31" s="54" t="n">
        <v>14395.27</v>
      </c>
      <c r="BU31" s="54" t="n">
        <v>16967.2</v>
      </c>
      <c r="BV31" s="54" t="n">
        <v>20347.85</v>
      </c>
      <c r="BW31" s="55"/>
      <c r="BX31" s="55"/>
      <c r="BY31" s="55"/>
      <c r="BZ31" s="55"/>
      <c r="CA31" s="55" t="n">
        <f aca="false">SUM(BK31:BV31)</f>
        <v>213762.47</v>
      </c>
    </row>
    <row r="32" customFormat="false" ht="15" hidden="false" customHeight="false" outlineLevel="0" collapsed="false">
      <c r="A32" s="11" t="n">
        <v>20</v>
      </c>
      <c r="B32" s="53" t="s">
        <v>95</v>
      </c>
      <c r="C32" s="12" t="s">
        <v>103</v>
      </c>
      <c r="D32" s="12" t="s">
        <v>105</v>
      </c>
      <c r="E32" s="14" t="s">
        <v>98</v>
      </c>
      <c r="F32" s="12" t="s">
        <v>99</v>
      </c>
      <c r="G32" s="12" t="s">
        <v>83</v>
      </c>
      <c r="H32" s="12" t="s">
        <v>100</v>
      </c>
      <c r="I32" s="22" t="s">
        <v>43</v>
      </c>
      <c r="J32" s="16" t="n">
        <v>43374</v>
      </c>
      <c r="K32" s="13" t="s">
        <v>37</v>
      </c>
      <c r="U32" s="54" t="n">
        <v>60718.3</v>
      </c>
      <c r="V32" s="54" t="n">
        <v>82605.8</v>
      </c>
      <c r="W32" s="54" t="n">
        <v>80028.45</v>
      </c>
      <c r="AC32" s="54" t="n">
        <v>75770.7</v>
      </c>
      <c r="AD32" s="54" t="n">
        <v>70154.5</v>
      </c>
      <c r="AE32" s="54" t="n">
        <v>72476.3</v>
      </c>
      <c r="AF32" s="54" t="n">
        <v>73131.85</v>
      </c>
      <c r="AG32" s="54" t="n">
        <v>70188.7</v>
      </c>
      <c r="AH32" s="54" t="n">
        <v>68644.55</v>
      </c>
      <c r="AI32" s="54" t="n">
        <v>71996.85</v>
      </c>
      <c r="AJ32" s="54" t="n">
        <v>75850</v>
      </c>
      <c r="AK32" s="54" t="n">
        <v>54528.9</v>
      </c>
      <c r="AL32" s="54" t="n">
        <v>78717.5</v>
      </c>
      <c r="AM32" s="54" t="n">
        <v>80162.35</v>
      </c>
      <c r="AN32" s="54" t="n">
        <v>77917.5</v>
      </c>
      <c r="AO32" s="55"/>
      <c r="AP32" s="55"/>
      <c r="AQ32" s="55"/>
      <c r="AR32" s="55"/>
      <c r="AS32" s="55" t="n">
        <f aca="false">SUM(AC32:AN32)</f>
        <v>869539.7</v>
      </c>
      <c r="AT32" s="54" t="n">
        <v>78347.2</v>
      </c>
      <c r="AU32" s="54" t="n">
        <v>80549.55</v>
      </c>
      <c r="AV32" s="54" t="n">
        <v>78631.85</v>
      </c>
      <c r="AW32" s="54" t="n">
        <v>79311.25</v>
      </c>
      <c r="AX32" s="54" t="n">
        <v>75633</v>
      </c>
      <c r="AY32" s="54" t="n">
        <v>75260.7</v>
      </c>
      <c r="AZ32" s="54" t="n">
        <v>75126.37</v>
      </c>
      <c r="BA32" s="54" t="n">
        <v>76924.6</v>
      </c>
      <c r="BB32" s="54" t="n">
        <v>78462.55</v>
      </c>
      <c r="BC32" s="54" t="n">
        <v>79319.75</v>
      </c>
      <c r="BD32" s="54" t="n">
        <v>79574.1</v>
      </c>
      <c r="BE32" s="54" t="n">
        <v>76617.37</v>
      </c>
      <c r="BF32" s="55"/>
      <c r="BG32" s="55"/>
      <c r="BH32" s="55"/>
      <c r="BI32" s="55"/>
      <c r="BJ32" s="55" t="n">
        <f aca="false">SUM(AT32:BE32)</f>
        <v>933758.29</v>
      </c>
      <c r="BK32" s="54" t="n">
        <v>74618.25</v>
      </c>
      <c r="BL32" s="54" t="n">
        <v>70525.4</v>
      </c>
      <c r="BM32" s="54" t="n">
        <v>71929.85</v>
      </c>
      <c r="BN32" s="54" t="n">
        <v>73688.59</v>
      </c>
      <c r="BO32" s="54" t="n">
        <v>72897.98</v>
      </c>
      <c r="BP32" s="54" t="n">
        <v>78850.31</v>
      </c>
      <c r="BQ32" s="54" t="n">
        <v>80398.09</v>
      </c>
      <c r="BR32" s="54" t="n">
        <v>80115.66</v>
      </c>
      <c r="BS32" s="54" t="n">
        <v>86532.9</v>
      </c>
      <c r="BT32" s="54" t="n">
        <v>86202.99</v>
      </c>
      <c r="BU32" s="54" t="n">
        <v>79778.01</v>
      </c>
      <c r="BV32" s="54" t="n">
        <v>84860.97</v>
      </c>
      <c r="BW32" s="55"/>
      <c r="BX32" s="55"/>
      <c r="BY32" s="55"/>
      <c r="BZ32" s="55"/>
      <c r="CA32" s="55" t="n">
        <f aca="false">SUM(BK32:BV32)</f>
        <v>940399</v>
      </c>
    </row>
    <row r="33" customFormat="false" ht="15" hidden="false" customHeight="false" outlineLevel="0" collapsed="false">
      <c r="A33" s="11" t="n">
        <v>21</v>
      </c>
      <c r="B33" s="53"/>
      <c r="C33" s="12" t="s">
        <v>103</v>
      </c>
      <c r="D33" s="12" t="s">
        <v>106</v>
      </c>
      <c r="E33" s="14" t="s">
        <v>98</v>
      </c>
      <c r="F33" s="12" t="s">
        <v>99</v>
      </c>
      <c r="G33" s="12" t="s">
        <v>83</v>
      </c>
      <c r="H33" s="12" t="s">
        <v>100</v>
      </c>
      <c r="I33" s="22" t="s">
        <v>43</v>
      </c>
      <c r="J33" s="16" t="n">
        <v>43374</v>
      </c>
      <c r="K33" s="13" t="s">
        <v>37</v>
      </c>
      <c r="U33" s="54" t="n">
        <v>62500.65</v>
      </c>
      <c r="V33" s="54" t="n">
        <v>57693.9</v>
      </c>
      <c r="W33" s="54" t="n">
        <v>60155.6</v>
      </c>
      <c r="AC33" s="54" t="n">
        <v>58752.6</v>
      </c>
      <c r="AD33" s="54" t="n">
        <v>55500.85</v>
      </c>
      <c r="AE33" s="54" t="n">
        <v>55244.6</v>
      </c>
      <c r="AF33" s="54" t="n">
        <v>54995.25</v>
      </c>
      <c r="AG33" s="54" t="n">
        <v>60933.5</v>
      </c>
      <c r="AH33" s="54" t="n">
        <v>63893.8</v>
      </c>
      <c r="AI33" s="54" t="n">
        <v>64739.65</v>
      </c>
      <c r="AJ33" s="54" t="n">
        <v>65272.4</v>
      </c>
      <c r="AK33" s="54" t="n">
        <v>65839.85</v>
      </c>
      <c r="AL33" s="54" t="n">
        <v>64801.73</v>
      </c>
      <c r="AM33" s="54" t="n">
        <v>63363.15</v>
      </c>
      <c r="AN33" s="54" t="n">
        <v>62698.1</v>
      </c>
      <c r="AO33" s="55"/>
      <c r="AP33" s="55"/>
      <c r="AQ33" s="55"/>
      <c r="AR33" s="55"/>
      <c r="AS33" s="55" t="n">
        <f aca="false">SUM(AC33:AN33)</f>
        <v>736035.48</v>
      </c>
      <c r="AT33" s="54" t="n">
        <v>58752.6</v>
      </c>
      <c r="AU33" s="54" t="n">
        <v>55500.85</v>
      </c>
      <c r="AV33" s="54" t="n">
        <v>55244.6</v>
      </c>
      <c r="AW33" s="54" t="n">
        <v>54995.25</v>
      </c>
      <c r="AX33" s="54" t="n">
        <v>60933.5</v>
      </c>
      <c r="AY33" s="54" t="n">
        <v>63893.8</v>
      </c>
      <c r="AZ33" s="54" t="n">
        <v>64739.65</v>
      </c>
      <c r="BA33" s="54" t="n">
        <v>65272.4</v>
      </c>
      <c r="BB33" s="54" t="n">
        <v>65839.85</v>
      </c>
      <c r="BC33" s="54" t="n">
        <v>64801.73</v>
      </c>
      <c r="BD33" s="54" t="n">
        <v>63363.15</v>
      </c>
      <c r="BE33" s="54" t="n">
        <v>62698.1</v>
      </c>
      <c r="BF33" s="55"/>
      <c r="BG33" s="55"/>
      <c r="BH33" s="55"/>
      <c r="BI33" s="55"/>
      <c r="BJ33" s="55" t="n">
        <f aca="false">SUM(AT33:BE33)</f>
        <v>736035.48</v>
      </c>
      <c r="BK33" s="54" t="n">
        <v>68024.25</v>
      </c>
      <c r="BL33" s="54" t="n">
        <v>74173.82</v>
      </c>
      <c r="BM33" s="54" t="n">
        <v>74543.7</v>
      </c>
      <c r="BN33" s="54" t="n">
        <v>68370.44</v>
      </c>
      <c r="BO33" s="54" t="n">
        <v>64234.99</v>
      </c>
      <c r="BP33" s="54" t="n">
        <v>62896.37</v>
      </c>
      <c r="BQ33" s="54" t="n">
        <v>67005.97</v>
      </c>
      <c r="BR33" s="54" t="n">
        <v>68912.24</v>
      </c>
      <c r="BS33" s="54" t="n">
        <v>76540.69</v>
      </c>
      <c r="BT33" s="54" t="n">
        <v>89315.91</v>
      </c>
      <c r="BU33" s="54" t="n">
        <v>74384.02</v>
      </c>
      <c r="BV33" s="54" t="n">
        <v>68009.38</v>
      </c>
      <c r="BW33" s="55"/>
      <c r="BX33" s="55"/>
      <c r="BY33" s="55"/>
      <c r="BZ33" s="55"/>
      <c r="CA33" s="55" t="n">
        <f aca="false">SUM(BK33:BV33)</f>
        <v>856411.78</v>
      </c>
    </row>
    <row r="34" customFormat="false" ht="15" hidden="false" customHeight="false" outlineLevel="0" collapsed="false">
      <c r="A34" s="11" t="n">
        <v>22</v>
      </c>
      <c r="B34" s="53"/>
      <c r="C34" s="12" t="s">
        <v>107</v>
      </c>
      <c r="D34" s="13" t="s">
        <v>108</v>
      </c>
      <c r="E34" s="14" t="s">
        <v>32</v>
      </c>
      <c r="F34" s="12" t="s">
        <v>33</v>
      </c>
      <c r="G34" s="12" t="s">
        <v>34</v>
      </c>
      <c r="H34" s="13" t="s">
        <v>35</v>
      </c>
      <c r="I34" s="15" t="s">
        <v>36</v>
      </c>
      <c r="J34" s="16" t="n">
        <v>43101</v>
      </c>
      <c r="K34" s="13" t="s">
        <v>37</v>
      </c>
      <c r="X34" s="25" t="n">
        <v>23.8</v>
      </c>
      <c r="Y34" s="25" t="n">
        <f aca="false">52.9-X34</f>
        <v>29.1</v>
      </c>
      <c r="Z34" s="25" t="n">
        <f aca="false">138.3-Y34-X34</f>
        <v>85.4</v>
      </c>
      <c r="AA34" s="25" t="n">
        <f aca="false">166.8-Z34-Y34-X34</f>
        <v>28.5</v>
      </c>
      <c r="AB34" s="56" t="n">
        <f aca="false">SUM(X34:AA34)</f>
        <v>166.8</v>
      </c>
      <c r="AO34" s="25" t="n">
        <v>25.6</v>
      </c>
      <c r="AP34" s="0" t="n">
        <f aca="false">75.4-AO34</f>
        <v>49.8</v>
      </c>
      <c r="AQ34" s="0" t="n">
        <f aca="false">104-AP34-AO34</f>
        <v>28.6</v>
      </c>
      <c r="AR34" s="0" t="n">
        <f aca="false">134.6-AQ34-AP34-AO34</f>
        <v>30.6</v>
      </c>
      <c r="AS34" s="56" t="n">
        <f aca="false">SUM(AO34:AR34)</f>
        <v>134.6</v>
      </c>
      <c r="BF34" s="25" t="n">
        <v>24.3</v>
      </c>
      <c r="BG34" s="25" t="n">
        <f aca="false">40.7-BF34</f>
        <v>16.4</v>
      </c>
      <c r="BH34" s="25" t="n">
        <f aca="false">119.5-BG34-BF34</f>
        <v>78.8</v>
      </c>
      <c r="BI34" s="25" t="n">
        <f aca="false">139.6-BH34-BG34-BF34</f>
        <v>20.1</v>
      </c>
      <c r="BJ34" s="57" t="n">
        <f aca="false">SUM(BF34:BI34)</f>
        <v>139.6</v>
      </c>
      <c r="BW34" s="25" t="n">
        <v>3.4</v>
      </c>
      <c r="BX34" s="25" t="n">
        <f aca="false">16.3-BW34</f>
        <v>12.9</v>
      </c>
      <c r="BY34" s="0" t="n">
        <f aca="false">94.4-BX34-BW34</f>
        <v>78.1</v>
      </c>
      <c r="BZ34" s="0" t="n">
        <f aca="false">265-BY34-BX34-BW34</f>
        <v>170.6</v>
      </c>
      <c r="CA34" s="0" t="n">
        <v>265</v>
      </c>
      <c r="CN34" s="0" t="n">
        <v>34.2</v>
      </c>
      <c r="CO34" s="0" t="n">
        <f aca="false">101-CN34</f>
        <v>66.8</v>
      </c>
      <c r="CP34" s="25" t="n">
        <f aca="false">136.9-CO34-CN34</f>
        <v>35.9</v>
      </c>
    </row>
    <row r="35" customFormat="false" ht="15" hidden="false" customHeight="false" outlineLevel="0" collapsed="false">
      <c r="A35" s="39" t="n">
        <v>23</v>
      </c>
      <c r="B35" s="53" t="s">
        <v>95</v>
      </c>
      <c r="C35" s="12" t="s">
        <v>107</v>
      </c>
      <c r="D35" s="12" t="s">
        <v>109</v>
      </c>
      <c r="E35" s="14"/>
      <c r="F35" s="58" t="s">
        <v>110</v>
      </c>
      <c r="G35" s="12" t="s">
        <v>34</v>
      </c>
      <c r="H35" s="13" t="s">
        <v>35</v>
      </c>
      <c r="I35" s="15" t="s">
        <v>36</v>
      </c>
      <c r="J35" s="16" t="n">
        <v>43831</v>
      </c>
      <c r="K35" s="13"/>
      <c r="BF35" s="55"/>
      <c r="BG35" s="55"/>
      <c r="BH35" s="55"/>
      <c r="BI35" s="55"/>
      <c r="BJ35" s="55"/>
    </row>
    <row r="36" customFormat="false" ht="15" hidden="false" customHeight="false" outlineLevel="0" collapsed="false">
      <c r="A36" s="11" t="n">
        <v>24</v>
      </c>
      <c r="B36" s="12"/>
      <c r="C36" s="12" t="s">
        <v>111</v>
      </c>
      <c r="D36" s="12" t="s">
        <v>112</v>
      </c>
      <c r="E36" s="14" t="s">
        <v>113</v>
      </c>
      <c r="F36" s="12" t="s">
        <v>99</v>
      </c>
      <c r="G36" s="12" t="s">
        <v>76</v>
      </c>
      <c r="H36" s="12" t="s">
        <v>114</v>
      </c>
      <c r="I36" s="22" t="s">
        <v>43</v>
      </c>
      <c r="J36" s="59" t="n">
        <v>43891</v>
      </c>
      <c r="K36" s="60" t="s">
        <v>37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 t="n">
        <v>1.666666667</v>
      </c>
      <c r="AW36" s="60" t="n">
        <v>-26.725</v>
      </c>
      <c r="AX36" s="60" t="n">
        <v>-23</v>
      </c>
      <c r="AY36" s="60" t="n">
        <v>-7.55</v>
      </c>
      <c r="AZ36" s="60" t="n">
        <v>1.625</v>
      </c>
      <c r="BA36" s="60" t="n">
        <v>4.18</v>
      </c>
      <c r="BB36" s="60" t="n">
        <v>6.925</v>
      </c>
      <c r="BC36" s="60" t="n">
        <v>7.5</v>
      </c>
      <c r="BD36" s="60" t="n">
        <v>8.14</v>
      </c>
      <c r="BE36" s="60" t="n">
        <v>9.925</v>
      </c>
      <c r="BF36" s="60"/>
      <c r="BG36" s="60"/>
      <c r="BH36" s="60"/>
      <c r="BI36" s="60"/>
      <c r="BJ36" s="60"/>
      <c r="BK36" s="60" t="n">
        <v>6.78</v>
      </c>
      <c r="BL36" s="60" t="n">
        <v>9.866666667</v>
      </c>
      <c r="BM36" s="60" t="n">
        <v>11.275</v>
      </c>
      <c r="BN36" s="60" t="n">
        <v>13.675</v>
      </c>
      <c r="BO36" s="60" t="n">
        <v>12.06</v>
      </c>
      <c r="BP36" s="60" t="n">
        <v>15.675</v>
      </c>
      <c r="BQ36" s="60" t="n">
        <v>15.975</v>
      </c>
      <c r="BR36" s="60" t="n">
        <v>16.34</v>
      </c>
      <c r="BS36" s="60" t="n">
        <v>18.15</v>
      </c>
      <c r="BT36" s="60" t="n">
        <v>18.74</v>
      </c>
      <c r="BU36" s="60" t="n">
        <v>15.7</v>
      </c>
      <c r="BV36" s="60" t="n">
        <v>20.6</v>
      </c>
      <c r="BW36" s="60"/>
      <c r="BX36" s="60"/>
      <c r="BY36" s="60"/>
      <c r="BZ36" s="60"/>
      <c r="CA36" s="60"/>
      <c r="CB36" s="60" t="n">
        <v>17.475</v>
      </c>
      <c r="CC36" s="60" t="n">
        <v>20.425</v>
      </c>
      <c r="CD36" s="60" t="n">
        <v>20.025</v>
      </c>
      <c r="CE36" s="60" t="n">
        <v>20.85</v>
      </c>
      <c r="CF36" s="60" t="n">
        <v>22.32</v>
      </c>
      <c r="CG36" s="60" t="n">
        <v>23.925</v>
      </c>
      <c r="CH36" s="60" t="n">
        <v>24.58</v>
      </c>
      <c r="CI36" s="60" t="n">
        <v>25.775</v>
      </c>
      <c r="CJ36" s="60" t="n">
        <v>27.9</v>
      </c>
      <c r="CK36" s="61"/>
    </row>
    <row r="37" customFormat="false" ht="15" hidden="false" customHeight="false" outlineLevel="0" collapsed="false">
      <c r="A37" s="11" t="n">
        <v>25</v>
      </c>
      <c r="B37" s="62" t="s">
        <v>115</v>
      </c>
      <c r="C37" s="62" t="s">
        <v>116</v>
      </c>
      <c r="D37" s="12" t="s">
        <v>117</v>
      </c>
      <c r="E37" s="14" t="s">
        <v>118</v>
      </c>
      <c r="F37" s="12" t="s">
        <v>99</v>
      </c>
      <c r="G37" s="12" t="s">
        <v>76</v>
      </c>
      <c r="H37" s="12" t="s">
        <v>61</v>
      </c>
      <c r="I37" s="22" t="s">
        <v>43</v>
      </c>
      <c r="J37" s="16" t="n">
        <v>43800</v>
      </c>
      <c r="K37" s="17" t="s">
        <v>37</v>
      </c>
      <c r="AN37" s="63" t="n">
        <v>82.2903225806452</v>
      </c>
      <c r="AO37" s="63"/>
      <c r="AP37" s="63"/>
      <c r="AQ37" s="63"/>
      <c r="AR37" s="63"/>
      <c r="AS37" s="63" t="n">
        <v>66.6129032258065</v>
      </c>
      <c r="AT37" s="63" t="n">
        <v>76.7241379310345</v>
      </c>
      <c r="AU37" s="63" t="n">
        <v>76.3548387096774</v>
      </c>
      <c r="AV37" s="63" t="n">
        <v>46.8</v>
      </c>
      <c r="AW37" s="63" t="n">
        <v>58.0645161290323</v>
      </c>
      <c r="AX37" s="63" t="n">
        <v>75.0333333333333</v>
      </c>
      <c r="AY37" s="63" t="n">
        <v>82.4193548387097</v>
      </c>
      <c r="AZ37" s="63" t="n">
        <v>80.1290322580645</v>
      </c>
      <c r="BA37" s="63" t="n">
        <v>82.2</v>
      </c>
      <c r="BB37" s="63" t="n">
        <v>78.741935483871</v>
      </c>
      <c r="BC37" s="63" t="n">
        <v>69.9666666666667</v>
      </c>
      <c r="BD37" s="63" t="n">
        <v>75.5161290322581</v>
      </c>
      <c r="BE37" s="63"/>
      <c r="BF37" s="63"/>
      <c r="BG37" s="63"/>
      <c r="BH37" s="63"/>
      <c r="BI37" s="63" t="n">
        <v>62.6129032258064</v>
      </c>
      <c r="BJ37" s="63" t="n">
        <v>73.7857142857143</v>
      </c>
      <c r="BK37" s="63" t="n">
        <v>76.8064516129032</v>
      </c>
      <c r="BL37" s="63" t="n">
        <v>82.3666666666667</v>
      </c>
      <c r="BM37" s="63" t="n">
        <v>78.9032258064516</v>
      </c>
      <c r="BN37" s="63" t="n">
        <v>83.1</v>
      </c>
      <c r="BO37" s="63" t="n">
        <v>84.4838709677419</v>
      </c>
      <c r="BP37" s="63" t="n">
        <v>82.3870967741935</v>
      </c>
      <c r="BQ37" s="63" t="n">
        <v>86.4333333333333</v>
      </c>
      <c r="BR37" s="63" t="n">
        <v>80.2258064516129</v>
      </c>
      <c r="BS37" s="63" t="n">
        <v>73.9333333333333</v>
      </c>
      <c r="BT37" s="63" t="n">
        <v>76.6896551724138</v>
      </c>
      <c r="BU37" s="63"/>
      <c r="BV37" s="63"/>
      <c r="BW37" s="63"/>
      <c r="BX37" s="63"/>
      <c r="BY37" s="63" t="n">
        <v>62.8666666666667</v>
      </c>
      <c r="BZ37" s="63" t="n">
        <v>70.5</v>
      </c>
      <c r="CA37" s="63" t="n">
        <v>61.2903225806452</v>
      </c>
      <c r="CB37" s="63" t="n">
        <v>62</v>
      </c>
      <c r="CC37" s="63" t="n">
        <v>62.1290322580645</v>
      </c>
      <c r="CD37" s="63" t="n">
        <v>65.8333333333333</v>
      </c>
      <c r="CE37" s="63" t="n">
        <v>63.3225806451613</v>
      </c>
      <c r="CF37" s="63" t="n">
        <v>62.1290322580645</v>
      </c>
      <c r="CG37" s="63" t="n">
        <v>59.7</v>
      </c>
      <c r="CH37" s="63" t="n">
        <v>55.2903225806452</v>
      </c>
      <c r="CI37" s="63" t="n">
        <v>52.2222222222222</v>
      </c>
      <c r="CJ37" s="64" t="n">
        <v>59.7</v>
      </c>
      <c r="CK37" s="64" t="n">
        <v>55.29032</v>
      </c>
      <c r="CL37" s="64" t="n">
        <v>52.22222</v>
      </c>
    </row>
    <row r="38" customFormat="false" ht="15" hidden="false" customHeight="false" outlineLevel="0" collapsed="false">
      <c r="A38" s="11" t="n">
        <v>26</v>
      </c>
      <c r="B38" s="12"/>
      <c r="C38" s="13" t="s">
        <v>119</v>
      </c>
      <c r="D38" s="43" t="s">
        <v>120</v>
      </c>
      <c r="E38" s="14" t="s">
        <v>92</v>
      </c>
      <c r="F38" s="12" t="s">
        <v>93</v>
      </c>
      <c r="G38" s="12" t="s">
        <v>76</v>
      </c>
      <c r="H38" s="12" t="s">
        <v>61</v>
      </c>
      <c r="I38" s="22" t="s">
        <v>43</v>
      </c>
      <c r="J38" s="52" t="n">
        <v>43497</v>
      </c>
      <c r="K38" s="0" t="s">
        <v>37</v>
      </c>
      <c r="AD38" s="27" t="n">
        <v>83.8928571428571</v>
      </c>
      <c r="AE38" s="27" t="n">
        <v>87.4838709677419</v>
      </c>
      <c r="AF38" s="27" t="n">
        <v>91.4</v>
      </c>
      <c r="AG38" s="27" t="n">
        <v>93.7096774193548</v>
      </c>
      <c r="AH38" s="27" t="n">
        <v>100.5</v>
      </c>
      <c r="AI38" s="27" t="n">
        <v>107.4</v>
      </c>
      <c r="AJ38" s="27" t="n">
        <v>101.032258064516</v>
      </c>
      <c r="AK38" s="27" t="n">
        <v>106.766666666667</v>
      </c>
      <c r="AL38" s="27" t="n">
        <v>107.677419354839</v>
      </c>
      <c r="AM38" s="27" t="n">
        <v>109.8</v>
      </c>
      <c r="AN38" s="27" t="n">
        <v>127.096774193548</v>
      </c>
      <c r="AO38" s="27"/>
      <c r="AP38" s="27"/>
      <c r="AQ38" s="27"/>
      <c r="AR38" s="27"/>
      <c r="AS38" s="27"/>
      <c r="AT38" s="27" t="n">
        <v>95.4516129032258</v>
      </c>
      <c r="AU38" s="27" t="n">
        <v>95.7857142857143</v>
      </c>
      <c r="AV38" s="27" t="n">
        <v>126.354838709677</v>
      </c>
      <c r="AW38" s="27" t="n">
        <v>66.4666666666667</v>
      </c>
      <c r="AX38" s="27" t="n">
        <v>109.870967741935</v>
      </c>
      <c r="AY38" s="27" t="n">
        <v>135.866666666667</v>
      </c>
      <c r="AZ38" s="27" t="n">
        <v>138.033333333333</v>
      </c>
      <c r="BA38" s="27" t="n">
        <v>135.612903225806</v>
      </c>
      <c r="BB38" s="27" t="n">
        <v>139.833333333333</v>
      </c>
      <c r="BC38" s="27" t="n">
        <v>138.967741935484</v>
      </c>
      <c r="BD38" s="27" t="n">
        <v>158.466666666667</v>
      </c>
      <c r="BE38" s="27" t="n">
        <v>192.41935483871</v>
      </c>
      <c r="BF38" s="27"/>
      <c r="BG38" s="27"/>
      <c r="BH38" s="27"/>
      <c r="BI38" s="27"/>
      <c r="BJ38" s="27"/>
      <c r="BK38" s="27" t="n">
        <v>142.354838709677</v>
      </c>
      <c r="BL38" s="27" t="n">
        <v>161</v>
      </c>
      <c r="BM38" s="27" t="n">
        <v>157.193548387097</v>
      </c>
      <c r="BN38" s="27" t="n">
        <v>160.4</v>
      </c>
      <c r="BO38" s="27" t="n">
        <v>163.096774193548</v>
      </c>
      <c r="BP38" s="27" t="n">
        <v>179.433333333333</v>
      </c>
      <c r="BQ38" s="27" t="n">
        <v>174.233333333333</v>
      </c>
      <c r="BR38" s="27" t="n">
        <v>168.096774193548</v>
      </c>
      <c r="BS38" s="27" t="n">
        <v>172.133333333333</v>
      </c>
      <c r="BT38" s="27" t="n">
        <v>172.612903225806</v>
      </c>
      <c r="BU38" s="27" t="n">
        <v>180.2</v>
      </c>
      <c r="BV38" s="27" t="n">
        <v>208.741935483871</v>
      </c>
      <c r="BW38" s="27"/>
      <c r="BX38" s="27"/>
      <c r="BY38" s="27"/>
      <c r="BZ38" s="27"/>
      <c r="CA38" s="27"/>
      <c r="CB38" s="27" t="n">
        <v>147.129032258065</v>
      </c>
      <c r="CC38" s="27" t="n">
        <v>188.178571428571</v>
      </c>
      <c r="CD38" s="27" t="n">
        <v>176.032258064516</v>
      </c>
      <c r="CE38" s="27" t="n">
        <v>117.466666666667</v>
      </c>
      <c r="CF38" s="27" t="n">
        <v>119.290322580645</v>
      </c>
      <c r="CG38" s="27" t="n">
        <v>115.2</v>
      </c>
      <c r="CH38" s="27" t="n">
        <v>112.766666666667</v>
      </c>
      <c r="CI38" s="27" t="n">
        <v>116.709677419355</v>
      </c>
      <c r="CJ38" s="27" t="n">
        <v>113.6</v>
      </c>
      <c r="CK38" s="27" t="n">
        <v>112.677419354839</v>
      </c>
      <c r="CL38" s="27" t="n">
        <v>121.947368421053</v>
      </c>
    </row>
    <row r="39" customFormat="false" ht="15" hidden="false" customHeight="false" outlineLevel="0" collapsed="false">
      <c r="A39" s="11" t="n">
        <v>27</v>
      </c>
      <c r="B39" s="12"/>
      <c r="C39" s="13" t="s">
        <v>119</v>
      </c>
      <c r="D39" s="43" t="s">
        <v>121</v>
      </c>
      <c r="E39" s="14" t="s">
        <v>92</v>
      </c>
      <c r="F39" s="12" t="s">
        <v>93</v>
      </c>
      <c r="G39" s="12" t="s">
        <v>76</v>
      </c>
      <c r="H39" s="12" t="s">
        <v>61</v>
      </c>
      <c r="I39" s="22" t="s">
        <v>43</v>
      </c>
      <c r="J39" s="52" t="n">
        <v>43497</v>
      </c>
      <c r="K39" s="0" t="s">
        <v>37</v>
      </c>
      <c r="AD39" s="27" t="n">
        <v>95.1071428571429</v>
      </c>
      <c r="AE39" s="27" t="n">
        <v>96.4516129032258</v>
      </c>
      <c r="AF39" s="27" t="n">
        <v>100</v>
      </c>
      <c r="AG39" s="27" t="n">
        <v>95.9677419354839</v>
      </c>
      <c r="AH39" s="27" t="n">
        <v>102.033333333333</v>
      </c>
      <c r="AI39" s="27" t="n">
        <v>111.266666666667</v>
      </c>
      <c r="AJ39" s="27" t="n">
        <v>98.4516129032258</v>
      </c>
      <c r="AK39" s="27" t="n">
        <v>97.7333333333333</v>
      </c>
      <c r="AL39" s="27" t="n">
        <v>112.354838709677</v>
      </c>
      <c r="AM39" s="27" t="n">
        <v>115.133333333333</v>
      </c>
      <c r="AN39" s="27" t="n">
        <v>112.870967741935</v>
      </c>
      <c r="AO39" s="27"/>
      <c r="AP39" s="27"/>
      <c r="AQ39" s="27"/>
      <c r="AR39" s="27"/>
      <c r="AS39" s="27"/>
      <c r="AT39" s="27" t="n">
        <v>95.5161290322581</v>
      </c>
      <c r="AU39" s="27" t="n">
        <v>119.642857142857</v>
      </c>
      <c r="AV39" s="27" t="n">
        <v>115.483870967742</v>
      </c>
      <c r="AW39" s="27" t="n">
        <v>49.0666666666667</v>
      </c>
      <c r="AX39" s="27" t="n">
        <v>66.7096774193548</v>
      </c>
      <c r="AY39" s="27" t="n">
        <v>109.9</v>
      </c>
      <c r="AZ39" s="27" t="n">
        <v>146.966666666667</v>
      </c>
      <c r="BA39" s="27" t="n">
        <v>130.58064516129</v>
      </c>
      <c r="BB39" s="27" t="n">
        <v>141.6</v>
      </c>
      <c r="BC39" s="27" t="n">
        <v>146.193548387097</v>
      </c>
      <c r="BD39" s="27" t="n">
        <v>139.566666666667</v>
      </c>
      <c r="BE39" s="27" t="n">
        <v>131.838709677419</v>
      </c>
      <c r="BF39" s="27"/>
      <c r="BG39" s="27"/>
      <c r="BH39" s="27"/>
      <c r="BI39" s="27"/>
      <c r="BJ39" s="27"/>
      <c r="BK39" s="27" t="n">
        <v>126.354838709677</v>
      </c>
      <c r="BL39" s="27" t="n">
        <v>156.464285714286</v>
      </c>
      <c r="BM39" s="27" t="n">
        <v>161.806451612903</v>
      </c>
      <c r="BN39" s="27" t="n">
        <v>169.333333333333</v>
      </c>
      <c r="BO39" s="27" t="n">
        <v>146.354838709677</v>
      </c>
      <c r="BP39" s="27" t="n">
        <v>159.266666666667</v>
      </c>
      <c r="BQ39" s="27" t="n">
        <v>175.233333333333</v>
      </c>
      <c r="BR39" s="27" t="n">
        <v>159.612903225806</v>
      </c>
      <c r="BS39" s="27" t="n">
        <v>166.1</v>
      </c>
      <c r="BT39" s="27" t="n">
        <v>172.709677419355</v>
      </c>
      <c r="BU39" s="27" t="n">
        <v>171.933333333333</v>
      </c>
      <c r="BV39" s="27"/>
      <c r="BW39" s="27"/>
      <c r="BX39" s="27"/>
      <c r="BY39" s="27"/>
      <c r="BZ39" s="27"/>
      <c r="CA39" s="27"/>
      <c r="CB39" s="27" t="n">
        <v>154.935483870968</v>
      </c>
      <c r="CC39" s="27" t="n">
        <v>186.464285714286</v>
      </c>
      <c r="CD39" s="27" t="n">
        <v>175.838709677419</v>
      </c>
      <c r="CE39" s="27" t="n">
        <v>169.9</v>
      </c>
      <c r="CF39" s="27" t="n">
        <v>152.225806451613</v>
      </c>
      <c r="CG39" s="27" t="n">
        <v>153.733333333333</v>
      </c>
      <c r="CH39" s="27" t="n">
        <v>157.9</v>
      </c>
      <c r="CI39" s="27" t="n">
        <v>152.322580645161</v>
      </c>
      <c r="CJ39" s="27" t="n">
        <v>156.233333333333</v>
      </c>
      <c r="CK39" s="27" t="n">
        <v>158.741935483871</v>
      </c>
      <c r="CL39" s="27" t="n">
        <v>156.736842105263</v>
      </c>
    </row>
    <row r="40" customFormat="false" ht="15" hidden="false" customHeight="false" outlineLevel="0" collapsed="false">
      <c r="A40" s="11" t="n">
        <v>28</v>
      </c>
      <c r="B40" s="12"/>
      <c r="C40" s="13" t="s">
        <v>119</v>
      </c>
      <c r="D40" s="43" t="s">
        <v>122</v>
      </c>
      <c r="E40" s="14" t="s">
        <v>92</v>
      </c>
      <c r="F40" s="12" t="s">
        <v>93</v>
      </c>
      <c r="G40" s="12" t="s">
        <v>76</v>
      </c>
      <c r="H40" s="12" t="s">
        <v>61</v>
      </c>
      <c r="I40" s="22" t="s">
        <v>43</v>
      </c>
      <c r="J40" s="52" t="n">
        <v>43497</v>
      </c>
      <c r="K40" s="0" t="s">
        <v>37</v>
      </c>
      <c r="AD40" s="27" t="n">
        <v>90.3214285714286</v>
      </c>
      <c r="AE40" s="27" t="n">
        <v>94.6129032258065</v>
      </c>
      <c r="AF40" s="27" t="n">
        <v>88.6333333333333</v>
      </c>
      <c r="AG40" s="27" t="n">
        <v>107.032258064516</v>
      </c>
      <c r="AH40" s="27" t="n">
        <v>111.4</v>
      </c>
      <c r="AI40" s="27" t="n">
        <v>100.666666666667</v>
      </c>
      <c r="AJ40" s="27" t="n">
        <v>112.354838709677</v>
      </c>
      <c r="AK40" s="27" t="n">
        <v>109.8</v>
      </c>
      <c r="AL40" s="27" t="n">
        <v>100.548387096774</v>
      </c>
      <c r="AM40" s="27" t="n">
        <v>97.2</v>
      </c>
      <c r="AN40" s="27" t="n">
        <v>90.2258064516129</v>
      </c>
      <c r="AO40" s="27"/>
      <c r="AP40" s="27"/>
      <c r="AQ40" s="27"/>
      <c r="AR40" s="27"/>
      <c r="AS40" s="27"/>
      <c r="AT40" s="27" t="n">
        <v>90.1935483870968</v>
      </c>
      <c r="AU40" s="27" t="n">
        <v>90.5357142857143</v>
      </c>
      <c r="AV40" s="27" t="n">
        <v>72.3548387096774</v>
      </c>
      <c r="AW40" s="27" t="n">
        <v>19.7666666666667</v>
      </c>
      <c r="AX40" s="27" t="n">
        <v>24.4193548387097</v>
      </c>
      <c r="AY40" s="27" t="n">
        <v>38.4</v>
      </c>
      <c r="AZ40" s="27" t="n">
        <v>86.4666666666667</v>
      </c>
      <c r="BA40" s="27" t="n">
        <v>113.161290322581</v>
      </c>
      <c r="BB40" s="27" t="n">
        <v>111.366666666667</v>
      </c>
      <c r="BC40" s="27" t="n">
        <v>87.2903225806452</v>
      </c>
      <c r="BD40" s="27" t="n">
        <v>75</v>
      </c>
      <c r="BE40" s="27" t="n">
        <v>75.9677419354839</v>
      </c>
      <c r="BF40" s="27"/>
      <c r="BG40" s="27"/>
      <c r="BH40" s="27"/>
      <c r="BI40" s="27"/>
      <c r="BJ40" s="27"/>
      <c r="BK40" s="27" t="n">
        <v>83.1935483870968</v>
      </c>
      <c r="BL40" s="27" t="n">
        <v>91.9642857142857</v>
      </c>
      <c r="BM40" s="27" t="n">
        <v>92.6451612903226</v>
      </c>
      <c r="BN40" s="27" t="n">
        <v>97.4</v>
      </c>
      <c r="BO40" s="27" t="n">
        <v>111.064516129032</v>
      </c>
      <c r="BP40" s="27" t="n">
        <v>113.433333333333</v>
      </c>
      <c r="BQ40" s="27" t="n">
        <v>100.5</v>
      </c>
      <c r="BR40" s="27" t="n">
        <v>104.935483870968</v>
      </c>
      <c r="BS40" s="27" t="n">
        <v>110.733333333333</v>
      </c>
      <c r="BT40" s="27" t="n">
        <v>100.258064516129</v>
      </c>
      <c r="BU40" s="27" t="n">
        <v>74.1</v>
      </c>
      <c r="BV40" s="27" t="n">
        <v>88.5161290322581</v>
      </c>
      <c r="BW40" s="27"/>
      <c r="BX40" s="27"/>
      <c r="BY40" s="27"/>
      <c r="BZ40" s="27"/>
      <c r="CA40" s="27"/>
      <c r="CB40" s="27" t="n">
        <v>102.516129032258</v>
      </c>
      <c r="CC40" s="27" t="n">
        <v>102.5</v>
      </c>
      <c r="CD40" s="27" t="n">
        <v>79.2258064516129</v>
      </c>
      <c r="CE40" s="27" t="n">
        <v>89.8666666666667</v>
      </c>
      <c r="CF40" s="27" t="n">
        <v>93.8709677419355</v>
      </c>
      <c r="CG40" s="27" t="n">
        <v>100.333333333333</v>
      </c>
      <c r="CH40" s="27" t="n">
        <v>73.0666666666667</v>
      </c>
      <c r="CI40" s="27" t="n">
        <v>94.9032258064516</v>
      </c>
      <c r="CJ40" s="27" t="n">
        <v>83.3333333333333</v>
      </c>
      <c r="CK40" s="27" t="n">
        <v>72.7096774193548</v>
      </c>
      <c r="CL40" s="27" t="n">
        <v>89.5789473684211</v>
      </c>
    </row>
    <row r="41" customFormat="false" ht="15" hidden="false" customHeight="false" outlineLevel="0" collapsed="false">
      <c r="A41" s="35" t="n">
        <v>29</v>
      </c>
      <c r="B41" s="35" t="s">
        <v>63</v>
      </c>
      <c r="C41" s="12" t="s">
        <v>123</v>
      </c>
      <c r="D41" s="15" t="s">
        <v>124</v>
      </c>
      <c r="E41" s="14" t="s">
        <v>125</v>
      </c>
      <c r="F41" s="40" t="s">
        <v>126</v>
      </c>
      <c r="G41" s="12" t="s">
        <v>34</v>
      </c>
      <c r="H41" s="12" t="s">
        <v>127</v>
      </c>
      <c r="I41" s="39" t="s">
        <v>128</v>
      </c>
      <c r="J41" s="12"/>
      <c r="K41" s="12" t="s">
        <v>37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50" customFormat="false" ht="15" hidden="false" customHeight="false" outlineLevel="1" collapsed="false"/>
    <row r="51" customFormat="false" ht="15" hidden="false" customHeight="false" outlineLevel="1" collapsed="false"/>
    <row r="52" customFormat="false" ht="15" hidden="false" customHeight="false" outlineLevel="1" collapsed="false"/>
    <row r="53" customFormat="false" ht="15" hidden="false" customHeight="false" outlineLevel="1" collapsed="false"/>
    <row r="54" customFormat="false" ht="15" hidden="false" customHeight="false" outlineLevel="1" collapsed="false"/>
    <row r="55" customFormat="false" ht="15" hidden="false" customHeight="false" outlineLevel="1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4" r:id="rId1" display="https://fedstat.ru/indicator/43298"/>
    <hyperlink ref="E5" r:id="rId2" display="https://www.atsenergo.ru/nreport?rname=trade_region_spub&amp;rdate=20191112"/>
    <hyperlink ref="E6" r:id="rId3" display="https://sberindex.ru/ru/dashboards/kolichestvo-predlozhenii-o-prodazhe-pervichki"/>
    <hyperlink ref="E7" r:id="rId4" display="https://fedstat.ru/indicator/43298"/>
    <hyperlink ref="E8" r:id="rId5" display="https://fedstat.ru/indicator/43298"/>
    <hyperlink ref="E9" r:id="rId6" display="http://www.cbr.ru/statistics/bank_sector/mortgage/"/>
    <hyperlink ref="E10" r:id="rId7" display="http://www.cbr.ru/vfs/statistics/banksector/borrowings/02_28_escrow_accounts.xlsx"/>
    <hyperlink ref="E11" r:id="rId8" display="http://www.cbr.ru/statistics/bank_sector/mortgage/"/>
    <hyperlink ref="E12" r:id="rId9" display="http://www.cbr.ru/statistics/bank_sector/mortgage/"/>
    <hyperlink ref="E13" r:id="rId10" display="http://www.cbr.ru/statistics/bank_sector/mortgage/"/>
    <hyperlink ref="E14" r:id="rId11" display="https://roskazna.gov.ru/ispolnenie-byudzhetov/konsolidirovannye-byudzhety-subektov/1019/"/>
    <hyperlink ref="E15" r:id="rId12" display="https://roskazna.gov.ru/ispolnenie-byudzhetov/konsolidirovannye-byudzhety-subektov/1019/"/>
    <hyperlink ref="E16" r:id="rId13" display="https://roskazna.gov.ru/ispolnenie-byudzhetov/konsolidirovannye-byudzhety-subektov/1019/"/>
    <hyperlink ref="E17" r:id="rId14" display="https://roskazna.gov.ru/ispolnenie-byudzhetov/konsolidirovannye-byudzhety-subektov/1019/"/>
    <hyperlink ref="E21" r:id="rId15" display="https://www.benzin-price.ru/price2.php?region_id=61"/>
    <hyperlink ref="E22" r:id="rId16" display="https://www.benzin-price.ru/price2.php?region_id=61"/>
    <hyperlink ref="E23" r:id="rId17" display="https://www.benzin-price.ru/price2.php?region_id=61"/>
    <hyperlink ref="E24" r:id="rId18" display="https://www.fedstat.ru/indicator/57699"/>
    <hyperlink ref="F24" r:id="rId19" display="файл &quot;Розничная продажа топлива&quot;"/>
    <hyperlink ref="E25" r:id="rId20" display="https://www.fedstat.ru/indicator/57699"/>
    <hyperlink ref="F25" r:id="rId21" display="файл &quot;Розничная продажа топлива&quot;"/>
    <hyperlink ref="E26" r:id="rId22" display="https://index.tinkoff.ru/?start=07.2022&amp;end=11.2022&amp;region=%D0%9D%D0%B8%D0%B6%D0%B5%D0%B3%D0%BE%D1%80%D0%BE%D0%B4%D1%81%D0%BA%D0%B0%D1%8F+%D0%BE%D0%B1%D0%BB%D0%B0%D1%81%D1%82%D1%8C"/>
    <hyperlink ref="E27" r:id="rId23" display="https://index.tinkoff.ru/?start=07.2022&amp;end=11.2022&amp;region=%D0%9D%D0%B8%D0%B6%D0%B5%D0%B3%D0%BE%D1%80%D0%BE%D0%B4%D1%81%D0%BA%D0%B0%D1%8F+%D0%BE%D0%B1%D0%BB%D0%B0%D1%81%D1%82%D1%8C"/>
    <hyperlink ref="E28" r:id="rId24" display="https://www.gipernn.ru/"/>
    <hyperlink ref="E29" r:id="rId25" display="https://www.gipernn.ru/"/>
    <hyperlink ref="E30" r:id="rId26" display="https://www.gipernn.ru/"/>
    <hyperlink ref="E31" r:id="rId27" display="https://www.gipernn.ru/"/>
    <hyperlink ref="E32" r:id="rId28" display="https://www.gipernn.ru/"/>
    <hyperlink ref="E33" r:id="rId29" display="https://www.gipernn.ru/"/>
    <hyperlink ref="E34" r:id="rId30" display="https://fedstat.ru/indicator/43298"/>
    <hyperlink ref="E36" r:id="rId31" display="https://sberindex.ru/ru/dashboards/izmenenie-aktivnosti-msp-po-regionam"/>
    <hyperlink ref="E37" r:id="rId32" display="https://sberindex.ru/ru/dashboards/indeks-potrebitelskoi-aktivnosti"/>
    <hyperlink ref="E38" r:id="rId33" display="https://index.tinkoff.ru/?start=07.2022&amp;end=11.2022&amp;region=%D0%9D%D0%B8%D0%B6%D0%B5%D0%B3%D0%BE%D1%80%D0%BE%D0%B4%D1%81%D0%BA%D0%B0%D1%8F+%D0%BE%D0%B1%D0%BB%D0%B0%D1%81%D1%82%D1%8C"/>
    <hyperlink ref="E39" r:id="rId34" display="https://index.tinkoff.ru/?start=07.2022&amp;end=11.2022&amp;region=%D0%9D%D0%B8%D0%B6%D0%B5%D0%B3%D0%BE%D1%80%D0%BE%D0%B4%D1%81%D0%BA%D0%B0%D1%8F+%D0%BE%D0%B1%D0%BB%D0%B0%D1%81%D1%82%D1%8C"/>
    <hyperlink ref="E40" r:id="rId35" display="https://index.tinkoff.ru/?start=07.2022&amp;end=11.2022&amp;region=%D0%9D%D0%B8%D0%B6%D0%B5%D0%B3%D0%BE%D1%80%D0%BE%D0%B4%D1%81%D0%BA%D0%B0%D1%8F+%D0%BE%D0%B1%D0%BB%D0%B0%D1%81%D1%82%D1%8C"/>
    <hyperlink ref="E41" r:id="rId36" display="https://edu.gov.ru/activity/statistics/secondary_prof_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2022-11-07T17:08:48Z</dcterms:created>
  <dc:creator>Сергей Макрушин</dc:creator>
  <dc:description/>
  <dc:language>ru-RU</dc:language>
  <cp:lastModifiedBy/>
  <dcterms:modified xsi:type="dcterms:W3CDTF">2022-11-25T12:06:49Z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