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"/>
    </mc:Choice>
  </mc:AlternateContent>
  <xr:revisionPtr revIDLastSave="0" documentId="13_ncr:1_{724BE78B-5CF9-4C07-9D81-6EEB6E9D9D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раснодарский край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11" i="4" l="1"/>
  <c r="CJ11" i="4"/>
  <c r="CI11" i="4"/>
  <c r="CH11" i="4"/>
  <c r="CG11" i="4"/>
  <c r="CF11" i="4"/>
  <c r="CE11" i="4"/>
  <c r="CD11" i="4"/>
  <c r="CC11" i="4"/>
  <c r="CB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N11" i="4"/>
  <c r="AM11" i="4"/>
  <c r="AL11" i="4"/>
  <c r="AK11" i="4"/>
  <c r="AJ11" i="4"/>
  <c r="AI11" i="4"/>
  <c r="CA42" i="4"/>
  <c r="BJ42" i="4"/>
  <c r="AS42" i="4"/>
  <c r="AB42" i="4"/>
  <c r="CO24" i="4"/>
  <c r="CN24" i="4"/>
  <c r="CN21" i="4" s="1"/>
  <c r="CO23" i="4"/>
  <c r="CN23" i="4"/>
  <c r="CO22" i="4"/>
  <c r="CN22" i="4"/>
  <c r="BZ24" i="4"/>
  <c r="BY24" i="4"/>
  <c r="BX24" i="4"/>
  <c r="BW24" i="4"/>
  <c r="BW21" i="4" s="1"/>
  <c r="BZ23" i="4"/>
  <c r="BY23" i="4"/>
  <c r="BX23" i="4"/>
  <c r="BW23" i="4"/>
  <c r="BZ22" i="4"/>
  <c r="BY22" i="4"/>
  <c r="BX22" i="4"/>
  <c r="BW22" i="4"/>
  <c r="BI24" i="4"/>
  <c r="BH24" i="4"/>
  <c r="BG24" i="4"/>
  <c r="BF24" i="4"/>
  <c r="BF21" i="4" s="1"/>
  <c r="BI23" i="4"/>
  <c r="BH23" i="4"/>
  <c r="BG23" i="4"/>
  <c r="BF23" i="4"/>
  <c r="BI22" i="4"/>
  <c r="BH22" i="4"/>
  <c r="BG22" i="4"/>
  <c r="BF22" i="4"/>
  <c r="AR24" i="4"/>
  <c r="AQ24" i="4"/>
  <c r="AP24" i="4"/>
  <c r="AO24" i="4"/>
  <c r="AO21" i="4" s="1"/>
  <c r="AR23" i="4"/>
  <c r="AQ23" i="4"/>
  <c r="AP23" i="4"/>
  <c r="AO23" i="4"/>
  <c r="AR22" i="4"/>
  <c r="AQ22" i="4"/>
  <c r="AP22" i="4"/>
  <c r="AO22" i="4"/>
  <c r="AA24" i="4"/>
  <c r="Z24" i="4"/>
  <c r="Y24" i="4"/>
  <c r="X24" i="4"/>
  <c r="X21" i="4" s="1"/>
  <c r="AA23" i="4"/>
  <c r="Z23" i="4"/>
  <c r="Y23" i="4"/>
  <c r="X23" i="4"/>
  <c r="AA22" i="4"/>
  <c r="Z22" i="4"/>
  <c r="Y22" i="4"/>
  <c r="X22" i="4"/>
  <c r="X20" i="4" l="1"/>
  <c r="AO20" i="4"/>
  <c r="BW20" i="4"/>
  <c r="BF20" i="4"/>
  <c r="CN20" i="4"/>
  <c r="BX41" i="4"/>
  <c r="BY41" i="4" s="1"/>
  <c r="BZ41" i="4" s="1"/>
  <c r="BG41" i="4"/>
  <c r="BH41" i="4" s="1"/>
  <c r="BI41" i="4" s="1"/>
  <c r="AP41" i="4"/>
  <c r="AQ41" i="4" s="1"/>
  <c r="AR41" i="4" s="1"/>
  <c r="Y41" i="4"/>
  <c r="Z41" i="4" s="1"/>
  <c r="CO26" i="4"/>
  <c r="CO21" i="4" s="1"/>
  <c r="BX26" i="4"/>
  <c r="BG26" i="4"/>
  <c r="AP26" i="4"/>
  <c r="Y26" i="4"/>
  <c r="CO25" i="4"/>
  <c r="CO20" i="4" s="1"/>
  <c r="BX25" i="4"/>
  <c r="BY25" i="4" s="1"/>
  <c r="BZ25" i="4" s="1"/>
  <c r="BZ20" i="4" s="1"/>
  <c r="BG25" i="4"/>
  <c r="BH25" i="4" s="1"/>
  <c r="BI25" i="4" s="1"/>
  <c r="BI20" i="4" s="1"/>
  <c r="AP25" i="4"/>
  <c r="AQ25" i="4" s="1"/>
  <c r="AR25" i="4" s="1"/>
  <c r="AR20" i="4" s="1"/>
  <c r="Y25" i="4"/>
  <c r="Z25" i="4" s="1"/>
  <c r="AA25" i="4" s="1"/>
  <c r="AA20" i="4" s="1"/>
  <c r="BX8" i="4"/>
  <c r="BY8" i="4" s="1"/>
  <c r="BG8" i="4"/>
  <c r="BH8" i="4" s="1"/>
  <c r="AP8" i="4"/>
  <c r="AQ8" i="4" s="1"/>
  <c r="Y8" i="4"/>
  <c r="Z8" i="4" s="1"/>
  <c r="BG7" i="4"/>
  <c r="BH7" i="4" s="1"/>
  <c r="AP7" i="4"/>
  <c r="AQ7" i="4" s="1"/>
  <c r="Y7" i="4"/>
  <c r="Z7" i="4" s="1"/>
  <c r="CO4" i="4"/>
  <c r="CP4" i="4" s="1"/>
  <c r="BX4" i="4"/>
  <c r="BY4" i="4" s="1"/>
  <c r="BZ4" i="4" s="1"/>
  <c r="BG4" i="4"/>
  <c r="BH4" i="4" s="1"/>
  <c r="BI4" i="4" s="1"/>
  <c r="AP4" i="4"/>
  <c r="AQ4" i="4" s="1"/>
  <c r="AR4" i="4" s="1"/>
  <c r="Y4" i="4"/>
  <c r="Z4" i="4" s="1"/>
  <c r="AA4" i="4" s="1"/>
  <c r="BX20" i="4" l="1"/>
  <c r="BY20" i="4"/>
  <c r="BY26" i="4"/>
  <c r="BX21" i="4"/>
  <c r="Z20" i="4"/>
  <c r="Y20" i="4"/>
  <c r="Z26" i="4"/>
  <c r="Y21" i="4"/>
  <c r="AQ26" i="4"/>
  <c r="AP21" i="4"/>
  <c r="BG20" i="4"/>
  <c r="BH26" i="4"/>
  <c r="BG21" i="4"/>
  <c r="AQ20" i="4"/>
  <c r="AP20" i="4"/>
  <c r="BH20" i="4"/>
  <c r="AA41" i="4"/>
  <c r="AB41" i="4" s="1"/>
  <c r="AA7" i="4"/>
  <c r="AB7" i="4" s="1"/>
  <c r="AR7" i="4"/>
  <c r="AS7" i="4" s="1"/>
  <c r="BI7" i="4"/>
  <c r="BJ7" i="4" s="1"/>
  <c r="AA8" i="4"/>
  <c r="AB8" i="4" s="1"/>
  <c r="AR8" i="4"/>
  <c r="AS8" i="4" s="1"/>
  <c r="BI8" i="4"/>
  <c r="BJ8" i="4" s="1"/>
  <c r="BZ8" i="4"/>
  <c r="CA8" i="4" s="1"/>
  <c r="AR26" i="4" l="1"/>
  <c r="AR21" i="4" s="1"/>
  <c r="AQ21" i="4"/>
  <c r="BI26" i="4"/>
  <c r="BI21" i="4" s="1"/>
  <c r="BH21" i="4"/>
  <c r="AA26" i="4"/>
  <c r="AA21" i="4" s="1"/>
  <c r="Z21" i="4"/>
  <c r="BZ26" i="4"/>
  <c r="BZ21" i="4" s="1"/>
  <c r="BY21" i="4"/>
</calcChain>
</file>

<file path=xl/sharedStrings.xml><?xml version="1.0" encoding="utf-8"?>
<sst xmlns="http://schemas.openxmlformats.org/spreadsheetml/2006/main" count="380" uniqueCount="145">
  <si>
    <t>Источник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</si>
  <si>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</si>
  <si>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</si>
  <si>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</si>
  <si>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</si>
  <si>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</si>
  <si>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</si>
  <si>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</si>
  <si>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</si>
  <si>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1кв2020</t>
  </si>
  <si>
    <t>2кв2020</t>
  </si>
  <si>
    <t>3кв2020</t>
  </si>
  <si>
    <t>4кв2020</t>
  </si>
  <si>
    <t>1кв2021</t>
  </si>
  <si>
    <t>2кв2021</t>
  </si>
  <si>
    <t>3кв2021</t>
  </si>
  <si>
    <t>4кв2021</t>
  </si>
  <si>
    <t>1кв2022</t>
  </si>
  <si>
    <t>2кв2022</t>
  </si>
  <si>
    <t>3кв2022</t>
  </si>
  <si>
    <t>4кв2022</t>
  </si>
  <si>
    <t>мес</t>
  </si>
  <si>
    <t>https://sberindex.ru/ru/dashboards/indeks-potrebitelskoi-aktivnosti</t>
  </si>
  <si>
    <t>индекс</t>
  </si>
  <si>
    <t>чел.</t>
  </si>
  <si>
    <t>год</t>
  </si>
  <si>
    <t>кв</t>
  </si>
  <si>
    <t>млнруб.</t>
  </si>
  <si>
    <t>Кол-во выпущенных специалистов сварочного производства и сварщиков</t>
  </si>
  <si>
    <t>https://edu.gov.ru/activity/statistics/secondary_prof_edu</t>
  </si>
  <si>
    <t>цена</t>
  </si>
  <si>
    <t>руб./кв.м</t>
  </si>
  <si>
    <t>руб</t>
  </si>
  <si>
    <t>количество</t>
  </si>
  <si>
    <t>https://sberindex.ru/ru/dashboards/kolichestvo-predlozhenii-o-prodazhe-pervichki</t>
  </si>
  <si>
    <t>https://fedstat.ru/indicator/43298</t>
  </si>
  <si>
    <t>https://nizhstat.gks.ru/folder/32680</t>
  </si>
  <si>
    <t>http://www.cbr.ru/vfs/statistics/banksector/borrowings/02_28_escrow_accounts.xlsx</t>
  </si>
  <si>
    <t>денежный</t>
  </si>
  <si>
    <t>Ипотека по ДДУ в деньгах</t>
  </si>
  <si>
    <t>http://www.cbr.ru/statistics/bank_sector/mortgage/</t>
  </si>
  <si>
    <t>ед.</t>
  </si>
  <si>
    <t>Ипотека всего в деньгах</t>
  </si>
  <si>
    <t>Ипотека всего в количестве выданных кредитов</t>
  </si>
  <si>
    <t>Полный плановый объем потребления электроэнергии</t>
  </si>
  <si>
    <t>https://www.atsenergo.ru/nreport?rname=trade_region_spub&amp;rdate=20191112</t>
  </si>
  <si>
    <t>МВт.ч.</t>
  </si>
  <si>
    <t>Цена на 95 бензин (розничные цены)</t>
  </si>
  <si>
    <t>https://www.benzin-price.ru/stat_month.php?month=5&amp;year=2019&amp;region_id=52</t>
  </si>
  <si>
    <t>руб/л</t>
  </si>
  <si>
    <t>Цена на 92 бензин (розничные цены)</t>
  </si>
  <si>
    <t>https://www.benzin-price.ru/stat_month.php?month=1&amp;year=2018&amp;region_id=52</t>
  </si>
  <si>
    <t>Цена на ДТ (розничные цены)</t>
  </si>
  <si>
    <t>https://www.benzin-price.ru/stat_month.php?month=1&amp;year=2018&amp;region_id=53</t>
  </si>
  <si>
    <t>Розничная продажа бензинов автомобильных (в деньгах; накопительный итог)</t>
  </si>
  <si>
    <t>https://www.fedstat.ru/indicator/57699</t>
  </si>
  <si>
    <t>Розничная продажа Дизельное топливо (в деньгах; накопительный итог)</t>
  </si>
  <si>
    <t>Оценка объема потребеления безина</t>
  </si>
  <si>
    <t>Оценка объема потребеления ДТ</t>
  </si>
  <si>
    <t>Индекс грузоперевозок НН (собирается)</t>
  </si>
  <si>
    <t>автоуслуги (по тратам потребителей) - Тинькофф индекс</t>
  </si>
  <si>
    <t>https://index.tinkoff.ru/?start=07.2022&amp;end=11.2022&amp;region=%D0%9D%D0%B8%D0%B6%D0%B5%D0%B3%D0%BE%D1%80%D0%BE%D0%B4%D1%81%D0%BA%D0%B0%D1%8F+%D0%BE%D0%B1%D0%BB%D0%B0%D1%81%D1%82%D1%8C</t>
  </si>
  <si>
    <t>топливо (потратам потребителей)-Тинькофф индекс</t>
  </si>
  <si>
    <t>Индекс потребительской активности - Сбериндекс</t>
  </si>
  <si>
    <t>дом и ремонт (по тратам потребителей) - Тинькофф индекс</t>
  </si>
  <si>
    <t>медуслуги (по тратам потребителей)-Тинькофф индекс</t>
  </si>
  <si>
    <t>рестораны (по тратам потребителей)-Тинькофф индекс</t>
  </si>
  <si>
    <t>https://sberindex.ru/ru/dashboards/izmenenie-aktivnosti-msp-po-regionam</t>
  </si>
  <si>
    <t>%</t>
  </si>
  <si>
    <t>https://roskazna.gov.ru/ispolnenie-byudzhetov/konsolidirovannye-byudzhety-subektov/1019/</t>
  </si>
  <si>
    <t>из них: Закупка товаров, работ и услуг для обеспечения государственных (муниципальных) нужд</t>
  </si>
  <si>
    <t>из них: Капитальные вложения в объекты государственной (муниципальной) собственности</t>
  </si>
  <si>
    <t>из них: Иные бюджетные ассигнования (собирается)</t>
  </si>
  <si>
    <t>Аренда нежилой недвижимости</t>
  </si>
  <si>
    <t>Аренда складской недвижимости</t>
  </si>
  <si>
    <t>Аренда торговой недвижимости</t>
  </si>
  <si>
    <t>Аренда офисной недвижимости</t>
  </si>
  <si>
    <t>Продажа складской недвижимости</t>
  </si>
  <si>
    <t>Цены нежилой недвижимости</t>
  </si>
  <si>
    <t>Продажа торговой недвижимости</t>
  </si>
  <si>
    <t>Продажа офисной недвижимости</t>
  </si>
  <si>
    <t>Предложения новостроек</t>
  </si>
  <si>
    <t>число объявлений</t>
  </si>
  <si>
    <t>Жилые здания, жилые помещения и т.п.</t>
  </si>
  <si>
    <t>из коммерческих: торговые площади</t>
  </si>
  <si>
    <t>(торговля)</t>
  </si>
  <si>
    <t>Строительство план</t>
  </si>
  <si>
    <t>Строительство факт</t>
  </si>
  <si>
    <t>Бизнес-строительство</t>
  </si>
  <si>
    <t>Изменение активности МСП по регионам (Сбериндекс)</t>
  </si>
  <si>
    <t>Промышленность / энергетика</t>
  </si>
  <si>
    <t>электроэнергетика</t>
  </si>
  <si>
    <t>Активность МСП</t>
  </si>
  <si>
    <t>промышленность строительство факт</t>
  </si>
  <si>
    <t>Сварщик</t>
  </si>
  <si>
    <t>(ковид)</t>
  </si>
  <si>
    <t>ЖКХ</t>
  </si>
  <si>
    <t>по рынкам</t>
  </si>
  <si>
    <t>ковид+</t>
  </si>
  <si>
    <t>Направление</t>
  </si>
  <si>
    <t>Показатель</t>
  </si>
  <si>
    <t>Тип данных</t>
  </si>
  <si>
    <t>Ед. изм.</t>
  </si>
  <si>
    <t>Периодичность</t>
  </si>
  <si>
    <t>Дата начала</t>
  </si>
  <si>
    <t>Территориальный разрез</t>
  </si>
  <si>
    <t>млн л.</t>
  </si>
  <si>
    <t>расчёты</t>
  </si>
  <si>
    <t>млн руб.</t>
  </si>
  <si>
    <t>Ипотека по ДДУ в количестве выданных кредитов</t>
  </si>
  <si>
    <t>тыс. кв. м</t>
  </si>
  <si>
    <t>Всего введено зданий</t>
  </si>
  <si>
    <t>Коммунальное хозяйство - всего (накопительный итог на начало месяца) - собирается</t>
  </si>
  <si>
    <t>тыс. руб</t>
  </si>
  <si>
    <t>из нежилых: коммерческие здания</t>
  </si>
  <si>
    <t>из нежилых: Промышленные здания</t>
  </si>
  <si>
    <t>Где брать</t>
  </si>
  <si>
    <t>Общий файл в облаке</t>
  </si>
  <si>
    <t>файл "Ввод зданий по регионам поквартально"</t>
  </si>
  <si>
    <t>файл "Тинькофф индексы"</t>
  </si>
  <si>
    <t>Файл "02_28_Escrow_accounts"</t>
  </si>
  <si>
    <t>Файлы ЦБ об ИЖК</t>
  </si>
  <si>
    <t>файл "Розничная продажа топлива"</t>
  </si>
  <si>
    <t>Краснодарский край</t>
  </si>
  <si>
    <t>с сайта, расчёт как срзнач понедельного</t>
  </si>
  <si>
    <t>файл "Электричество_потребление_только_суммы_помесячно"</t>
  </si>
  <si>
    <t>Доля онлайн платежей в безналичных тратах населения</t>
  </si>
  <si>
    <t>https://index.tinkoff.ru/?start=07.2022&amp;end=11.2022&amp;region=%D0%A0%D0%BE%D1%81%D1%82%D0%BE%D0%B2%D1%81%D0%BA%D0%B0%D1%8F+%D0%BE%D0%B1%D0%BB%D0%B0%D1%81%D1%82%D1%8C</t>
  </si>
  <si>
    <t>доля</t>
  </si>
  <si>
    <t>онлайн-торговля</t>
  </si>
  <si>
    <t>https://krasnodarskyy-kray.restate.ru/graph/ceny-arendy-kommercheskoy/#form2</t>
  </si>
  <si>
    <t>https://krasnodarskyy-kray.restate.ru/graph/ceny-prodazhi-kommercheskoy/</t>
  </si>
  <si>
    <t>https://krasnodarskyy-kray.restate.ru/graph/ceny-prodazhi-skladov/</t>
  </si>
  <si>
    <t>https://krasnodarskyy-kray.restate.ru/graph/ceny-arendy-skladov/#form1</t>
  </si>
  <si>
    <t>https://krasnodarskyy-kray.restate.ru/graph/ceny-arendy-ofisov/#form1</t>
  </si>
  <si>
    <t>https://krasnodarskyy-kray.restate.ru/graph/ceny-prodazhi-ofisov/</t>
  </si>
  <si>
    <t>https://krasnodar.restate.ru/graph/ceny-arendy-skladov/#form1</t>
  </si>
  <si>
    <t>https://krasnodar.restate.ru/graph/ceny-prodazhi-skladov/</t>
  </si>
  <si>
    <t>https://krasnodar.restate.ru/graph/ceny-prodazhi-ofisov/</t>
  </si>
  <si>
    <t>https://krasnodar.restate.ru/graph/ceny-prodazhi-ofisov/#form1</t>
  </si>
  <si>
    <t>https://krasnodar.restate.ru/graph/ceny-arendy-kommercheskoy/#form1</t>
  </si>
  <si>
    <t>город Краснодар</t>
  </si>
  <si>
    <t>Средства на счетах эскроу в рублях (накопительный итог)</t>
  </si>
  <si>
    <t>Средства на счетах эскроу в рублях (ежемесячные изменения)</t>
  </si>
  <si>
    <t>расчёт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</si>
</sst>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#,##0.0"/>
    <numFmt numFmtId="166" formatCode="#,##0.####"/>
    <numFmt numFmtId="167" formatCode="#,##0;\-#,##0;0"/>
    <numFmt numFmtId="168" formatCode="0.000"/>
    <numFmt numFmtId="169" formatCode="#,##0.0000"/>
    <numFmt numFmtId="170" formatCode="_-* #,##0_-;\-* #,##0_-;_-* &quot;-&quot;??_-;_-@_-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color rgb="FF333333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scheme val="minor"/>
    </font>
    <font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Protection="0"/>
    <xf numFmtId="0" fontId="16" fillId="0" borderId="0"/>
    <xf numFmtId="0" fontId="18" fillId="0" borderId="0"/>
    <xf numFmtId="0" fontId="19" fillId="0" borderId="0"/>
    <xf numFmtId="0" fontId="2" fillId="0" borderId="0"/>
    <xf numFmtId="0" fontId="20" fillId="0" borderId="0"/>
    <xf numFmtId="43" fontId="22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6" fillId="0" borderId="0" xfId="0" applyFont="1" applyAlignment="1">
      <alignment horizontal="left"/>
    </xf>
    <xf numFmtId="2" fontId="0" fillId="0" borderId="0" xfId="0" applyNumberFormat="1"/>
    <xf numFmtId="0" fontId="5" fillId="0" borderId="1" xfId="0" applyFont="1" applyBorder="1"/>
    <xf numFmtId="0" fontId="7" fillId="0" borderId="0" xfId="0" applyFont="1" applyAlignment="1">
      <alignment horizontal="right" vertical="top"/>
    </xf>
    <xf numFmtId="165" fontId="7" fillId="0" borderId="0" xfId="0" applyNumberFormat="1" applyFont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6" fillId="0" borderId="1" xfId="0" applyFont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9" fillId="0" borderId="0" xfId="0" applyFont="1"/>
    <xf numFmtId="0" fontId="3" fillId="0" borderId="1" xfId="0" applyFont="1" applyBorder="1"/>
    <xf numFmtId="0" fontId="3" fillId="7" borderId="1" xfId="0" applyFont="1" applyFill="1" applyBorder="1"/>
    <xf numFmtId="0" fontId="0" fillId="8" borderId="1" xfId="0" applyFill="1" applyBorder="1"/>
    <xf numFmtId="0" fontId="12" fillId="10" borderId="0" xfId="0" applyFont="1" applyFill="1"/>
    <xf numFmtId="17" fontId="12" fillId="10" borderId="0" xfId="0" applyNumberFormat="1" applyFont="1" applyFill="1"/>
    <xf numFmtId="16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 wrapText="1"/>
    </xf>
    <xf numFmtId="0" fontId="3" fillId="0" borderId="1" xfId="0" applyFont="1" applyBorder="1" applyAlignment="1">
      <alignment horizontal="left"/>
    </xf>
    <xf numFmtId="0" fontId="9" fillId="10" borderId="0" xfId="0" applyFont="1" applyFill="1"/>
    <xf numFmtId="0" fontId="10" fillId="10" borderId="0" xfId="0" applyFont="1" applyFill="1"/>
    <xf numFmtId="0" fontId="9" fillId="10" borderId="0" xfId="0" applyFont="1" applyFill="1" applyAlignment="1">
      <alignment wrapText="1"/>
    </xf>
    <xf numFmtId="17" fontId="9" fillId="10" borderId="0" xfId="0" applyNumberFormat="1" applyFont="1" applyFill="1"/>
    <xf numFmtId="0" fontId="11" fillId="10" borderId="0" xfId="0" applyFont="1" applyFill="1" applyAlignment="1">
      <alignment horizontal="left"/>
    </xf>
    <xf numFmtId="165" fontId="0" fillId="0" borderId="0" xfId="0" applyNumberFormat="1"/>
    <xf numFmtId="165" fontId="7" fillId="0" borderId="0" xfId="0" applyNumberFormat="1" applyFont="1" applyAlignment="1">
      <alignment vertical="top"/>
    </xf>
    <xf numFmtId="0" fontId="13" fillId="0" borderId="1" xfId="0" applyFont="1" applyBorder="1"/>
    <xf numFmtId="0" fontId="4" fillId="0" borderId="1" xfId="1" applyBorder="1"/>
    <xf numFmtId="17" fontId="13" fillId="0" borderId="1" xfId="0" applyNumberFormat="1" applyFont="1" applyBorder="1"/>
    <xf numFmtId="0" fontId="3" fillId="6" borderId="1" xfId="0" applyFont="1" applyFill="1" applyBorder="1"/>
    <xf numFmtId="0" fontId="8" fillId="9" borderId="0" xfId="0" applyFont="1" applyFill="1"/>
    <xf numFmtId="3" fontId="0" fillId="0" borderId="3" xfId="0" applyNumberFormat="1" applyBorder="1" applyAlignment="1">
      <alignment horizontal="right" vertical="top"/>
    </xf>
    <xf numFmtId="166" fontId="0" fillId="0" borderId="0" xfId="0" applyNumberFormat="1" applyAlignment="1">
      <alignment horizontal="right" vertical="top"/>
    </xf>
    <xf numFmtId="167" fontId="14" fillId="0" borderId="4" xfId="0" applyNumberFormat="1" applyFont="1" applyBorder="1" applyAlignment="1">
      <alignment horizontal="right" vertical="center" wrapText="1"/>
    </xf>
    <xf numFmtId="167" fontId="14" fillId="0" borderId="4" xfId="0" applyNumberFormat="1" applyFont="1" applyBorder="1" applyAlignment="1">
      <alignment vertical="center" wrapText="1"/>
    </xf>
    <xf numFmtId="167" fontId="15" fillId="0" borderId="4" xfId="0" applyNumberFormat="1" applyFont="1" applyBorder="1" applyAlignment="1">
      <alignment horizontal="right" vertical="center" wrapText="1"/>
    </xf>
    <xf numFmtId="167" fontId="15" fillId="11" borderId="4" xfId="0" applyNumberFormat="1" applyFont="1" applyFill="1" applyBorder="1" applyAlignment="1">
      <alignment horizontal="right" vertical="center" wrapText="1"/>
    </xf>
    <xf numFmtId="167" fontId="17" fillId="11" borderId="4" xfId="2" applyNumberFormat="1" applyFont="1" applyFill="1" applyBorder="1" applyAlignment="1">
      <alignment horizontal="right" vertical="center"/>
    </xf>
    <xf numFmtId="167" fontId="15" fillId="11" borderId="4" xfId="0" applyNumberFormat="1" applyFont="1" applyFill="1" applyBorder="1" applyAlignment="1">
      <alignment vertical="center" wrapText="1"/>
    </xf>
    <xf numFmtId="167" fontId="15" fillId="11" borderId="4" xfId="2" applyNumberFormat="1" applyFont="1" applyFill="1" applyBorder="1" applyAlignment="1">
      <alignment vertical="center" wrapText="1"/>
    </xf>
    <xf numFmtId="167" fontId="15" fillId="11" borderId="4" xfId="2" applyNumberFormat="1" applyFont="1" applyFill="1" applyBorder="1" applyAlignment="1">
      <alignment horizontal="right" vertical="center" wrapText="1"/>
    </xf>
    <xf numFmtId="3" fontId="18" fillId="0" borderId="3" xfId="3" applyNumberFormat="1" applyBorder="1" applyAlignment="1">
      <alignment horizontal="right" vertical="top"/>
    </xf>
    <xf numFmtId="168" fontId="0" fillId="0" borderId="0" xfId="0" applyNumberFormat="1"/>
    <xf numFmtId="168" fontId="19" fillId="0" borderId="0" xfId="4" applyNumberFormat="1"/>
    <xf numFmtId="166" fontId="7" fillId="0" borderId="0" xfId="0" applyNumberFormat="1" applyFont="1" applyAlignment="1">
      <alignment horizontal="right" vertical="top"/>
    </xf>
    <xf numFmtId="0" fontId="0" fillId="12" borderId="1" xfId="0" applyFill="1" applyBorder="1"/>
    <xf numFmtId="2" fontId="2" fillId="0" borderId="0" xfId="5" applyNumberFormat="1"/>
    <xf numFmtId="0" fontId="0" fillId="0" borderId="5" xfId="0" applyBorder="1"/>
    <xf numFmtId="0" fontId="2" fillId="0" borderId="1" xfId="0" applyFont="1" applyBorder="1"/>
    <xf numFmtId="169" fontId="0" fillId="0" borderId="0" xfId="0" applyNumberFormat="1"/>
    <xf numFmtId="165" fontId="0" fillId="0" borderId="0" xfId="0" applyNumberFormat="1" applyAlignment="1">
      <alignment horizontal="right" vertical="top"/>
    </xf>
    <xf numFmtId="169" fontId="0" fillId="0" borderId="0" xfId="0" applyNumberFormat="1" applyAlignment="1">
      <alignment horizontal="left"/>
    </xf>
    <xf numFmtId="166" fontId="0" fillId="0" borderId="0" xfId="0" applyNumberFormat="1"/>
    <xf numFmtId="17" fontId="0" fillId="0" borderId="6" xfId="0" applyNumberFormat="1" applyBorder="1"/>
    <xf numFmtId="0" fontId="0" fillId="0" borderId="6" xfId="0" applyBorder="1"/>
    <xf numFmtId="0" fontId="20" fillId="13" borderId="7" xfId="6" applyFill="1" applyBorder="1"/>
    <xf numFmtId="0" fontId="20" fillId="13" borderId="8" xfId="6" applyFill="1" applyBorder="1"/>
    <xf numFmtId="0" fontId="3" fillId="4" borderId="1" xfId="0" applyFont="1" applyFill="1" applyBorder="1"/>
    <xf numFmtId="170" fontId="0" fillId="0" borderId="0" xfId="7" applyNumberFormat="1" applyFont="1"/>
    <xf numFmtId="170" fontId="19" fillId="0" borderId="0" xfId="7" applyNumberFormat="1" applyFont="1"/>
    <xf numFmtId="164" fontId="0" fillId="0" borderId="0" xfId="0" applyNumberFormat="1" applyAlignment="1">
      <alignment horizontal="left"/>
    </xf>
    <xf numFmtId="0" fontId="1" fillId="0" borderId="1" xfId="0" applyFont="1" applyBorder="1"/>
  </cellXfs>
  <cellStyles count="8">
    <cellStyle name="Гиперссылка" xfId="1" builtinId="8"/>
    <cellStyle name="Обычный" xfId="0" builtinId="0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F57DEDC7-A360-413A-8A38-5DE714A08C30}"/>
    <cellStyle name="Финансовый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edstat.ru/indicator/57699" TargetMode="External"/><Relationship Id="rId18" Type="http://schemas.openxmlformats.org/officeDocument/2006/relationships/hyperlink" Target="https://sberindex.ru/ru/dashboards/indeks-potrebitelskoi-aktivnosti" TargetMode="External"/><Relationship Id="rId26" Type="http://schemas.openxmlformats.org/officeDocument/2006/relationships/hyperlink" Target="https://roskazna.gov.ru/ispolnenie-byudzhetov/konsolidirovannye-byudzhety-subektov/1019/" TargetMode="External"/><Relationship Id="rId3" Type="http://schemas.openxmlformats.org/officeDocument/2006/relationships/hyperlink" Target="https://fedstat.ru/indicator/43298" TargetMode="External"/><Relationship Id="rId21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7" Type="http://schemas.openxmlformats.org/officeDocument/2006/relationships/hyperlink" Target="https://fedstat.ru/indicator/43298" TargetMode="External"/><Relationship Id="rId12" Type="http://schemas.openxmlformats.org/officeDocument/2006/relationships/hyperlink" Target="https://www.benzin-price.ru/stat_month.php?month=1&amp;year=2018&amp;region_id=52" TargetMode="External"/><Relationship Id="rId17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5" Type="http://schemas.openxmlformats.org/officeDocument/2006/relationships/hyperlink" Target="https://roskazna.gov.ru/ispolnenie-byudzhetov/konsolidirovannye-byudzhety-subektov/1019/" TargetMode="External"/><Relationship Id="rId33" Type="http://schemas.openxmlformats.org/officeDocument/2006/relationships/hyperlink" Target="https://krasnodarskyy-kray.restate.ru/graph/ceny-arendy-kommercheskoy/" TargetMode="External"/><Relationship Id="rId2" Type="http://schemas.openxmlformats.org/officeDocument/2006/relationships/hyperlink" Target="https://sberindex.ru/ru/dashboards/kolichestvo-predlozhenii-o-prodazhe-pervichki" TargetMode="External"/><Relationship Id="rId16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0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9" Type="http://schemas.openxmlformats.org/officeDocument/2006/relationships/hyperlink" Target="http://www.cbr.ru/statistics/bank_sector/mortgage/" TargetMode="External"/><Relationship Id="rId1" Type="http://schemas.openxmlformats.org/officeDocument/2006/relationships/hyperlink" Target="https://edu.gov.ru/activity/statistics/secondary_prof_edu" TargetMode="External"/><Relationship Id="rId6" Type="http://schemas.openxmlformats.org/officeDocument/2006/relationships/hyperlink" Target="https://nizhstat.gks.ru/folder/32680" TargetMode="External"/><Relationship Id="rId11" Type="http://schemas.openxmlformats.org/officeDocument/2006/relationships/hyperlink" Target="https://www.benzin-price.ru/stat_month.php?month=1&amp;year=2018&amp;region_id=52" TargetMode="External"/><Relationship Id="rId24" Type="http://schemas.openxmlformats.org/officeDocument/2006/relationships/hyperlink" Target="https://roskazna.gov.ru/ispolnenie-byudzhetov/konsolidirovannye-byudzhety-subektov/1019/" TargetMode="External"/><Relationship Id="rId32" Type="http://schemas.openxmlformats.org/officeDocument/2006/relationships/hyperlink" Target="https://index.tinkoff.ru/?start=07.2022&amp;end=11.2022&amp;region=%D0%A0%D0%BE%D1%81%D1%82%D0%BE%D0%B2%D1%81%D0%BA%D0%B0%D1%8F+%D0%BE%D0%B1%D0%BB%D0%B0%D1%81%D1%82%D1%8C" TargetMode="External"/><Relationship Id="rId5" Type="http://schemas.openxmlformats.org/officeDocument/2006/relationships/hyperlink" Target="https://fedstat.ru/indicator/43298" TargetMode="External"/><Relationship Id="rId15" Type="http://schemas.openxmlformats.org/officeDocument/2006/relationships/hyperlink" Target="https://www.fedstat.ru/indicator/57699" TargetMode="External"/><Relationship Id="rId23" Type="http://schemas.openxmlformats.org/officeDocument/2006/relationships/hyperlink" Target="https://roskazna.gov.ru/ispolnenie-byudzhetov/konsolidirovannye-byudzhety-subektov/1019/" TargetMode="External"/><Relationship Id="rId28" Type="http://schemas.openxmlformats.org/officeDocument/2006/relationships/hyperlink" Target="http://www.cbr.ru/statistics/bank_sector/mortgage/" TargetMode="External"/><Relationship Id="rId10" Type="http://schemas.openxmlformats.org/officeDocument/2006/relationships/hyperlink" Target="https://www.benzin-price.ru/stat_month.php?month=5&amp;year=2019&amp;region_id=52" TargetMode="External"/><Relationship Id="rId19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1" Type="http://schemas.openxmlformats.org/officeDocument/2006/relationships/hyperlink" Target="https://www.fedstat.ru/indicator/57699" TargetMode="External"/><Relationship Id="rId4" Type="http://schemas.openxmlformats.org/officeDocument/2006/relationships/hyperlink" Target="https://fedstat.ru/indicator/43298" TargetMode="External"/><Relationship Id="rId9" Type="http://schemas.openxmlformats.org/officeDocument/2006/relationships/hyperlink" Target="https://www.atsenergo.ru/nreport?rname=trade_region_spub&amp;rdate=20191112" TargetMode="External"/><Relationship Id="rId14" Type="http://schemas.openxmlformats.org/officeDocument/2006/relationships/hyperlink" Target="https://www.fedstat.ru/indicator/57699" TargetMode="External"/><Relationship Id="rId22" Type="http://schemas.openxmlformats.org/officeDocument/2006/relationships/hyperlink" Target="https://sberindex.ru/ru/dashboards/izmenenie-aktivnosti-msp-po-regionam" TargetMode="External"/><Relationship Id="rId27" Type="http://schemas.openxmlformats.org/officeDocument/2006/relationships/hyperlink" Target="http://www.cbr.ru/vfs/statistics/banksector/borrowings/02_28_escrow_accounts.xlsx" TargetMode="External"/><Relationship Id="rId30" Type="http://schemas.openxmlformats.org/officeDocument/2006/relationships/hyperlink" Target="http://www.cbr.ru/statistics/bank_sector/mortgage/" TargetMode="External"/><Relationship Id="rId8" Type="http://schemas.openxmlformats.org/officeDocument/2006/relationships/hyperlink" Target="http://www.cbr.ru/statistics/bank_sector/mortg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S49"/>
  <sheetViews>
    <sheetView tabSelected="1" topLeftCell="A14" zoomScale="85" zoomScaleNormal="85" workbookViewId="0">
      <selection activeCell="B49" sqref="A49:XFD49"/>
    </sheetView>
  </sheetViews>
  <sheetFormatPr defaultRowHeight="15" x14ac:dyDescent="0.25"/>
  <cols>
    <col min="2" max="2" width="29.7109375" customWidth="1"/>
    <col min="3" max="3" width="34.7109375" customWidth="1"/>
    <col min="4" max="4" width="50.28515625" customWidth="1"/>
    <col min="5" max="5" width="18.42578125" customWidth="1"/>
    <col min="6" max="6" width="57.7109375" customWidth="1"/>
    <col min="7" max="7" width="17.28515625" customWidth="1"/>
    <col min="8" max="8" width="16.28515625" customWidth="1"/>
    <col min="10" max="10" width="17.7109375" customWidth="1"/>
    <col min="11" max="11" width="22.28515625" customWidth="1"/>
    <col min="12" max="14" width="10.7109375" bestFit="1" customWidth="1"/>
    <col min="15" max="22" width="11.85546875" bestFit="1" customWidth="1"/>
    <col min="23" max="23" width="12.85546875" bestFit="1" customWidth="1"/>
    <col min="24" max="28" width="12" customWidth="1"/>
    <col min="29" max="29" width="10.28515625" customWidth="1"/>
    <col min="30" max="38" width="11.85546875" bestFit="1" customWidth="1"/>
    <col min="39" max="39" width="13.140625" customWidth="1"/>
    <col min="40" max="40" width="14.5703125" customWidth="1"/>
    <col min="41" max="45" width="12.5703125" customWidth="1"/>
    <col min="46" max="46" width="12.7109375" customWidth="1"/>
    <col min="47" max="47" width="12.28515625" customWidth="1"/>
    <col min="48" max="57" width="12.7109375" customWidth="1"/>
    <col min="58" max="74" width="13.28515625" customWidth="1"/>
    <col min="75" max="79" width="12.42578125" customWidth="1"/>
    <col min="80" max="91" width="13.28515625" customWidth="1"/>
    <col min="92" max="93" width="12.7109375" customWidth="1"/>
  </cols>
  <sheetData>
    <row r="2" spans="1:96" ht="30" x14ac:dyDescent="0.25">
      <c r="C2" s="37" t="s">
        <v>99</v>
      </c>
      <c r="D2" s="37" t="s">
        <v>100</v>
      </c>
      <c r="E2" s="38" t="s">
        <v>0</v>
      </c>
      <c r="F2" s="48" t="s">
        <v>116</v>
      </c>
      <c r="G2" s="37" t="s">
        <v>101</v>
      </c>
      <c r="H2" s="37" t="s">
        <v>102</v>
      </c>
      <c r="I2" s="39" t="s">
        <v>103</v>
      </c>
      <c r="J2" s="40" t="s">
        <v>104</v>
      </c>
      <c r="K2" s="41" t="s">
        <v>105</v>
      </c>
      <c r="L2" s="32">
        <v>43101</v>
      </c>
      <c r="M2" s="32">
        <v>43132</v>
      </c>
      <c r="N2" s="32">
        <v>43160</v>
      </c>
      <c r="O2" s="32">
        <v>43191</v>
      </c>
      <c r="P2" s="32">
        <v>43221</v>
      </c>
      <c r="Q2" s="32">
        <v>43252</v>
      </c>
      <c r="R2" s="32">
        <v>43282</v>
      </c>
      <c r="S2" s="32">
        <v>43313</v>
      </c>
      <c r="T2" s="32">
        <v>43344</v>
      </c>
      <c r="U2" s="32">
        <v>43374</v>
      </c>
      <c r="V2" s="32">
        <v>43405</v>
      </c>
      <c r="W2" s="32">
        <v>43435</v>
      </c>
      <c r="X2" s="31" t="s">
        <v>1</v>
      </c>
      <c r="Y2" s="31" t="s">
        <v>2</v>
      </c>
      <c r="Z2" s="31" t="s">
        <v>3</v>
      </c>
      <c r="AA2" s="31" t="s">
        <v>4</v>
      </c>
      <c r="AB2" s="31">
        <v>2018</v>
      </c>
      <c r="AC2" s="32">
        <v>43466</v>
      </c>
      <c r="AD2" s="32">
        <v>43497</v>
      </c>
      <c r="AE2" s="32">
        <v>43525</v>
      </c>
      <c r="AF2" s="32">
        <v>43556</v>
      </c>
      <c r="AG2" s="32">
        <v>43586</v>
      </c>
      <c r="AH2" s="32">
        <v>43617</v>
      </c>
      <c r="AI2" s="32">
        <v>43647</v>
      </c>
      <c r="AJ2" s="32">
        <v>43678</v>
      </c>
      <c r="AK2" s="32">
        <v>43709</v>
      </c>
      <c r="AL2" s="32">
        <v>43739</v>
      </c>
      <c r="AM2" s="32">
        <v>43770</v>
      </c>
      <c r="AN2" s="32">
        <v>43800</v>
      </c>
      <c r="AO2" s="31" t="s">
        <v>5</v>
      </c>
      <c r="AP2" s="31" t="s">
        <v>6</v>
      </c>
      <c r="AQ2" s="31" t="s">
        <v>7</v>
      </c>
      <c r="AR2" s="31" t="s">
        <v>8</v>
      </c>
      <c r="AS2" s="31">
        <v>2019</v>
      </c>
      <c r="AT2" s="32">
        <v>43831</v>
      </c>
      <c r="AU2" s="32">
        <v>43862</v>
      </c>
      <c r="AV2" s="32">
        <v>43891</v>
      </c>
      <c r="AW2" s="32">
        <v>43922</v>
      </c>
      <c r="AX2" s="32">
        <v>43952</v>
      </c>
      <c r="AY2" s="32">
        <v>43983</v>
      </c>
      <c r="AZ2" s="32">
        <v>44013</v>
      </c>
      <c r="BA2" s="32">
        <v>44044</v>
      </c>
      <c r="BB2" s="32">
        <v>44075</v>
      </c>
      <c r="BC2" s="32">
        <v>44105</v>
      </c>
      <c r="BD2" s="32">
        <v>44136</v>
      </c>
      <c r="BE2" s="32">
        <v>44166</v>
      </c>
      <c r="BF2" s="31" t="s">
        <v>9</v>
      </c>
      <c r="BG2" s="31" t="s">
        <v>10</v>
      </c>
      <c r="BH2" s="31" t="s">
        <v>11</v>
      </c>
      <c r="BI2" s="31" t="s">
        <v>12</v>
      </c>
      <c r="BJ2" s="31">
        <v>2020</v>
      </c>
      <c r="BK2" s="32">
        <v>44197</v>
      </c>
      <c r="BL2" s="32">
        <v>44228</v>
      </c>
      <c r="BM2" s="32">
        <v>44256</v>
      </c>
      <c r="BN2" s="32">
        <v>44287</v>
      </c>
      <c r="BO2" s="32">
        <v>44317</v>
      </c>
      <c r="BP2" s="32">
        <v>44348</v>
      </c>
      <c r="BQ2" s="32">
        <v>44378</v>
      </c>
      <c r="BR2" s="32">
        <v>44409</v>
      </c>
      <c r="BS2" s="32">
        <v>44440</v>
      </c>
      <c r="BT2" s="32">
        <v>44470</v>
      </c>
      <c r="BU2" s="32">
        <v>44501</v>
      </c>
      <c r="BV2" s="32">
        <v>44531</v>
      </c>
      <c r="BW2" s="31" t="s">
        <v>13</v>
      </c>
      <c r="BX2" s="31" t="s">
        <v>14</v>
      </c>
      <c r="BY2" s="31" t="s">
        <v>15</v>
      </c>
      <c r="BZ2" s="31" t="s">
        <v>16</v>
      </c>
      <c r="CA2" s="31">
        <v>2021</v>
      </c>
      <c r="CB2" s="32">
        <v>44562</v>
      </c>
      <c r="CC2" s="32">
        <v>44593</v>
      </c>
      <c r="CD2" s="32">
        <v>44621</v>
      </c>
      <c r="CE2" s="32">
        <v>44652</v>
      </c>
      <c r="CF2" s="32">
        <v>44682</v>
      </c>
      <c r="CG2" s="32">
        <v>44713</v>
      </c>
      <c r="CH2" s="32">
        <v>44743</v>
      </c>
      <c r="CI2" s="32">
        <v>44774</v>
      </c>
      <c r="CJ2" s="32">
        <v>44805</v>
      </c>
      <c r="CK2" s="32">
        <v>44835</v>
      </c>
      <c r="CL2" s="32">
        <v>44866</v>
      </c>
      <c r="CM2" s="32">
        <v>44896</v>
      </c>
      <c r="CN2" s="31" t="s">
        <v>17</v>
      </c>
      <c r="CO2" s="31" t="s">
        <v>18</v>
      </c>
      <c r="CP2" s="31" t="s">
        <v>19</v>
      </c>
      <c r="CQ2" s="31" t="s">
        <v>20</v>
      </c>
      <c r="CR2" s="31">
        <v>2022</v>
      </c>
    </row>
    <row r="3" spans="1:96" x14ac:dyDescent="0.25">
      <c r="A3" s="27"/>
      <c r="B3" s="27" t="s">
        <v>90</v>
      </c>
      <c r="AB3" s="3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  <c r="AP3" s="15"/>
      <c r="AQ3" s="15"/>
      <c r="AR3" s="15"/>
      <c r="AS3" s="15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5"/>
      <c r="BG3" s="15"/>
      <c r="BH3" s="15"/>
      <c r="BI3" s="15"/>
      <c r="BJ3" s="15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5"/>
      <c r="BX3" s="15"/>
      <c r="BY3" s="15"/>
      <c r="BZ3" s="15"/>
      <c r="CB3" s="14"/>
      <c r="CC3" s="14"/>
      <c r="CD3" s="14"/>
      <c r="CE3" s="14"/>
      <c r="CF3" s="14"/>
      <c r="CG3" s="14"/>
      <c r="CH3" s="14"/>
      <c r="CI3" s="14"/>
      <c r="CJ3" s="14"/>
      <c r="CK3" s="14"/>
    </row>
    <row r="4" spans="1:96" x14ac:dyDescent="0.25">
      <c r="A4" s="30">
        <v>1</v>
      </c>
      <c r="B4" s="1"/>
      <c r="C4" s="1" t="s">
        <v>93</v>
      </c>
      <c r="D4" s="28" t="s">
        <v>115</v>
      </c>
      <c r="E4" s="5" t="s">
        <v>35</v>
      </c>
      <c r="F4" s="1" t="s">
        <v>118</v>
      </c>
      <c r="G4" s="1" t="s">
        <v>33</v>
      </c>
      <c r="H4" s="28" t="s">
        <v>110</v>
      </c>
      <c r="I4" s="17" t="s">
        <v>26</v>
      </c>
      <c r="J4" s="2">
        <v>43101</v>
      </c>
      <c r="K4" s="18" t="s">
        <v>123</v>
      </c>
      <c r="X4" s="49">
        <v>53</v>
      </c>
      <c r="Y4" s="50">
        <f>88.7-X4</f>
        <v>35.700000000000003</v>
      </c>
      <c r="Z4" s="50">
        <f>106.3-Y4-X4</f>
        <v>17.599999999999994</v>
      </c>
      <c r="AA4" s="50">
        <f>139.2-Z4-Y4-X4</f>
        <v>32.899999999999991</v>
      </c>
      <c r="AB4" s="6"/>
      <c r="AO4" s="50">
        <v>24.5</v>
      </c>
      <c r="AP4" s="50">
        <f>83.2-AO4</f>
        <v>58.7</v>
      </c>
      <c r="AQ4" s="50">
        <f>93.7-AP4-AO4</f>
        <v>10.5</v>
      </c>
      <c r="AR4" s="49">
        <f>103-AQ4-AP4-AO4</f>
        <v>9.2999999999999972</v>
      </c>
      <c r="AS4" s="8"/>
      <c r="BF4" s="50">
        <v>13.9</v>
      </c>
      <c r="BG4" s="50">
        <f>64.1-BF4</f>
        <v>50.199999999999996</v>
      </c>
      <c r="BH4" s="50">
        <f>67.5-BG4-BF4</f>
        <v>3.4000000000000039</v>
      </c>
      <c r="BI4" s="50">
        <f>74.3-BH4-BG4-BF4</f>
        <v>6.7999999999999954</v>
      </c>
      <c r="BW4" s="50">
        <v>9.1</v>
      </c>
      <c r="BX4" s="50">
        <f>23.9-BW4</f>
        <v>14.799999999999999</v>
      </c>
      <c r="BY4" s="50">
        <f>112.1-BX4-BW4</f>
        <v>88.2</v>
      </c>
      <c r="BZ4" s="50">
        <f>119.2-BY4-BX4-BW4</f>
        <v>7.1000000000000032</v>
      </c>
      <c r="CA4" s="6"/>
      <c r="CN4" s="50">
        <v>24.6</v>
      </c>
      <c r="CO4" s="50">
        <f>135.3-CN4</f>
        <v>110.70000000000002</v>
      </c>
      <c r="CP4" s="50">
        <f>208.8-CO4-CN4</f>
        <v>73.5</v>
      </c>
    </row>
    <row r="5" spans="1:96" x14ac:dyDescent="0.25">
      <c r="A5" s="30">
        <v>2</v>
      </c>
      <c r="B5" s="1"/>
      <c r="C5" s="1" t="s">
        <v>91</v>
      </c>
      <c r="D5" s="19" t="s">
        <v>44</v>
      </c>
      <c r="E5" s="5" t="s">
        <v>45</v>
      </c>
      <c r="F5" s="1" t="s">
        <v>125</v>
      </c>
      <c r="G5" s="1" t="s">
        <v>33</v>
      </c>
      <c r="H5" s="1" t="s">
        <v>46</v>
      </c>
      <c r="I5" s="20" t="s">
        <v>21</v>
      </c>
      <c r="J5" s="2">
        <v>43770</v>
      </c>
      <c r="K5" s="18" t="s">
        <v>123</v>
      </c>
      <c r="AM5">
        <v>1260747.8900000006</v>
      </c>
      <c r="AN5" s="65">
        <v>2429059.9869999983</v>
      </c>
      <c r="AT5">
        <v>2443179.8429999985</v>
      </c>
      <c r="AU5">
        <v>2273166.7500000033</v>
      </c>
      <c r="AV5">
        <v>2163144.8439999982</v>
      </c>
      <c r="AW5">
        <v>1892046.9719999991</v>
      </c>
      <c r="AX5">
        <v>1723480.5779999979</v>
      </c>
      <c r="AY5">
        <v>1860701.4419999991</v>
      </c>
      <c r="AZ5">
        <v>2374725.3019999983</v>
      </c>
      <c r="BA5">
        <v>2286165.0409999997</v>
      </c>
      <c r="BB5">
        <v>2072411.3680000021</v>
      </c>
      <c r="BC5">
        <v>1957629.6700000009</v>
      </c>
      <c r="BD5">
        <v>2216037.3690000004</v>
      </c>
      <c r="BE5">
        <v>2534348.5909999986</v>
      </c>
      <c r="BK5">
        <v>2466067.3879999979</v>
      </c>
      <c r="BL5">
        <v>2336800.4129999983</v>
      </c>
      <c r="BM5">
        <v>2475314.146999998</v>
      </c>
      <c r="BN5">
        <v>2109001.2269999986</v>
      </c>
      <c r="BO5">
        <v>1897877.2750000015</v>
      </c>
      <c r="BP5">
        <v>2082455.8720000009</v>
      </c>
      <c r="BQ5">
        <v>2690039.3190000039</v>
      </c>
      <c r="BR5">
        <v>2645563.2519999994</v>
      </c>
      <c r="BS5">
        <v>2057354.7669999979</v>
      </c>
      <c r="BT5">
        <v>2306131.6889999975</v>
      </c>
      <c r="BU5">
        <v>2386051.4330000002</v>
      </c>
      <c r="BV5">
        <v>2579566.8209999977</v>
      </c>
      <c r="CB5">
        <v>2701392.0280000018</v>
      </c>
      <c r="CC5">
        <v>2402885.5800000015</v>
      </c>
      <c r="CD5">
        <v>2655610.7179999985</v>
      </c>
      <c r="CE5">
        <v>2142731.4570000004</v>
      </c>
      <c r="CF5">
        <v>2084531.1500000008</v>
      </c>
      <c r="CG5">
        <v>2237012.9000000013</v>
      </c>
      <c r="CH5">
        <v>2500865.0090000001</v>
      </c>
      <c r="CI5">
        <v>2879781.3710000026</v>
      </c>
      <c r="CJ5">
        <v>2202197.5369999981</v>
      </c>
      <c r="CK5">
        <v>2247017.498999997</v>
      </c>
      <c r="CL5">
        <v>966594.28899999883</v>
      </c>
    </row>
    <row r="6" spans="1:96" x14ac:dyDescent="0.25">
      <c r="A6" s="30">
        <v>3</v>
      </c>
      <c r="B6" s="1"/>
      <c r="C6" s="1" t="s">
        <v>86</v>
      </c>
      <c r="D6" s="1" t="s">
        <v>81</v>
      </c>
      <c r="E6" s="5" t="s">
        <v>34</v>
      </c>
      <c r="F6" s="1"/>
      <c r="G6" s="1" t="s">
        <v>33</v>
      </c>
      <c r="H6" s="1" t="s">
        <v>82</v>
      </c>
      <c r="I6" s="20" t="s">
        <v>21</v>
      </c>
      <c r="J6" s="2">
        <v>43466</v>
      </c>
      <c r="K6" s="18" t="s">
        <v>123</v>
      </c>
      <c r="AC6">
        <v>9661</v>
      </c>
      <c r="AD6">
        <v>13671</v>
      </c>
      <c r="AE6">
        <v>15469</v>
      </c>
      <c r="AF6">
        <v>15593</v>
      </c>
      <c r="AG6">
        <v>29950</v>
      </c>
      <c r="AH6">
        <v>11515</v>
      </c>
      <c r="AI6">
        <v>11926</v>
      </c>
      <c r="AJ6">
        <v>10863</v>
      </c>
      <c r="AK6">
        <v>13480</v>
      </c>
      <c r="AL6">
        <v>14038</v>
      </c>
      <c r="AM6">
        <v>13445</v>
      </c>
      <c r="AN6">
        <v>15455</v>
      </c>
      <c r="AT6">
        <v>15930</v>
      </c>
      <c r="AU6">
        <v>15755</v>
      </c>
      <c r="AV6">
        <v>17442</v>
      </c>
      <c r="AW6">
        <v>14250</v>
      </c>
      <c r="AX6">
        <v>16416</v>
      </c>
      <c r="AY6">
        <v>18136</v>
      </c>
      <c r="AZ6">
        <v>18944</v>
      </c>
      <c r="BA6">
        <v>17480</v>
      </c>
      <c r="BB6">
        <v>16846</v>
      </c>
      <c r="BC6">
        <v>17327</v>
      </c>
      <c r="BD6">
        <v>17865</v>
      </c>
      <c r="BE6">
        <v>19906</v>
      </c>
      <c r="BF6" s="15"/>
      <c r="BG6" s="15"/>
      <c r="BH6" s="15"/>
      <c r="BI6" s="15"/>
      <c r="BJ6" s="15"/>
      <c r="BK6">
        <v>18833</v>
      </c>
      <c r="BL6">
        <v>18053</v>
      </c>
      <c r="BM6">
        <v>15576</v>
      </c>
      <c r="BN6">
        <v>13645</v>
      </c>
      <c r="BO6">
        <v>13631</v>
      </c>
      <c r="BP6">
        <v>11398</v>
      </c>
      <c r="BQ6">
        <v>19673</v>
      </c>
      <c r="BR6">
        <v>25535</v>
      </c>
      <c r="BS6">
        <v>28165</v>
      </c>
      <c r="BT6">
        <v>31715</v>
      </c>
      <c r="BU6">
        <v>31656</v>
      </c>
      <c r="BV6">
        <v>37821</v>
      </c>
      <c r="BW6" s="15"/>
      <c r="BX6" s="15"/>
      <c r="BY6" s="15"/>
      <c r="BZ6" s="15"/>
      <c r="CB6">
        <v>38378</v>
      </c>
      <c r="CC6">
        <v>38200</v>
      </c>
      <c r="CD6">
        <v>38885</v>
      </c>
      <c r="CE6">
        <v>41158</v>
      </c>
      <c r="CF6">
        <v>43117</v>
      </c>
      <c r="CG6">
        <v>44253</v>
      </c>
      <c r="CH6">
        <v>43776</v>
      </c>
      <c r="CI6">
        <v>44455</v>
      </c>
      <c r="CJ6">
        <v>48502</v>
      </c>
      <c r="CK6">
        <v>57055</v>
      </c>
    </row>
    <row r="7" spans="1:96" x14ac:dyDescent="0.25">
      <c r="A7" s="30">
        <v>4</v>
      </c>
      <c r="B7" s="1"/>
      <c r="C7" s="1" t="s">
        <v>87</v>
      </c>
      <c r="D7" s="28" t="s">
        <v>111</v>
      </c>
      <c r="E7" s="5" t="s">
        <v>35</v>
      </c>
      <c r="F7" s="1" t="s">
        <v>118</v>
      </c>
      <c r="G7" s="1" t="s">
        <v>33</v>
      </c>
      <c r="H7" s="28" t="s">
        <v>110</v>
      </c>
      <c r="I7" s="17" t="s">
        <v>26</v>
      </c>
      <c r="J7" s="2">
        <v>43101</v>
      </c>
      <c r="K7" s="18" t="s">
        <v>123</v>
      </c>
      <c r="X7" s="50">
        <v>1266.9000000000001</v>
      </c>
      <c r="Y7" s="50">
        <f>2308.6-X7</f>
        <v>1041.6999999999998</v>
      </c>
      <c r="Z7" s="50">
        <f>4095.6-Y7-X7</f>
        <v>1787</v>
      </c>
      <c r="AA7" s="50">
        <f>6789.5-Z7-Y7-X7</f>
        <v>2693.9</v>
      </c>
      <c r="AB7" s="7">
        <f>SUM(X7:AA7)</f>
        <v>6789.5</v>
      </c>
      <c r="AO7" s="49">
        <v>1310</v>
      </c>
      <c r="AP7" s="50">
        <f>2866.4-AO7</f>
        <v>1556.4</v>
      </c>
      <c r="AQ7" s="50">
        <f>4613.8-AP7-AO7</f>
        <v>1747.4</v>
      </c>
      <c r="AR7" s="50">
        <f>7106.9-AQ7-AP7-AO7</f>
        <v>2493.1</v>
      </c>
      <c r="AS7" s="7">
        <f>SUM(AO7:AR7)</f>
        <v>7106.9</v>
      </c>
      <c r="BF7" s="50">
        <v>1497.6</v>
      </c>
      <c r="BG7" s="49">
        <f>3135-BF7</f>
        <v>1637.4</v>
      </c>
      <c r="BH7" s="50">
        <f>4445.1-BG7-BF7</f>
        <v>1310.1000000000004</v>
      </c>
      <c r="BI7" s="50">
        <f>6601.9-BH7-BG7-BF7</f>
        <v>2156.7999999999993</v>
      </c>
      <c r="BJ7" s="7">
        <f>SUM(BF7:BI7)</f>
        <v>6601.9</v>
      </c>
      <c r="BW7" s="42"/>
      <c r="BX7" s="42"/>
      <c r="BY7" s="42"/>
      <c r="BZ7" s="42"/>
      <c r="CA7" s="43"/>
      <c r="CN7" s="43"/>
      <c r="CO7" s="43"/>
      <c r="CP7" s="43"/>
    </row>
    <row r="8" spans="1:96" x14ac:dyDescent="0.25">
      <c r="A8" s="30">
        <v>5</v>
      </c>
      <c r="B8" s="1"/>
      <c r="C8" s="1" t="s">
        <v>87</v>
      </c>
      <c r="D8" s="1" t="s">
        <v>83</v>
      </c>
      <c r="E8" s="5" t="s">
        <v>35</v>
      </c>
      <c r="F8" s="1" t="s">
        <v>118</v>
      </c>
      <c r="G8" s="1" t="s">
        <v>33</v>
      </c>
      <c r="H8" s="28" t="s">
        <v>110</v>
      </c>
      <c r="I8" s="17" t="s">
        <v>26</v>
      </c>
      <c r="J8" s="2">
        <v>43101</v>
      </c>
      <c r="K8" s="18" t="s">
        <v>123</v>
      </c>
      <c r="X8" s="50">
        <v>1024.3</v>
      </c>
      <c r="Y8" s="50">
        <f>1841.5-X8</f>
        <v>817.2</v>
      </c>
      <c r="Z8" s="50">
        <f>3409.4-Y8-X8</f>
        <v>1567.8999999999999</v>
      </c>
      <c r="AA8" s="49">
        <f>5577-Z8-Y8-X8</f>
        <v>2167.6000000000004</v>
      </c>
      <c r="AB8" s="7">
        <f>SUM(X8:AA8)</f>
        <v>5577</v>
      </c>
      <c r="AO8" s="50">
        <v>1134.4000000000001</v>
      </c>
      <c r="AP8" s="50">
        <f>2322.4-AO8</f>
        <v>1188</v>
      </c>
      <c r="AQ8" s="50">
        <f>3794.8-AP8-AO8</f>
        <v>1472.4</v>
      </c>
      <c r="AR8" s="50">
        <f>6015.5-AQ8-AP8-AO8</f>
        <v>2220.7000000000003</v>
      </c>
      <c r="AS8" s="7">
        <f>SUM(AO8:AR8)</f>
        <v>6015.5</v>
      </c>
      <c r="BF8" s="50">
        <v>1286.3</v>
      </c>
      <c r="BG8" s="50">
        <f>2635.9-BF8</f>
        <v>1349.6000000000001</v>
      </c>
      <c r="BH8" s="50">
        <f>3797.2-BG8-BF8</f>
        <v>1161.2999999999995</v>
      </c>
      <c r="BI8" s="50">
        <f>5775.7-BH8-BG8-BF8</f>
        <v>1978.5000000000002</v>
      </c>
      <c r="BJ8" s="7">
        <f>SUM(BF8:BI8)</f>
        <v>5775.7</v>
      </c>
      <c r="BW8" s="50">
        <v>1029.3</v>
      </c>
      <c r="BX8" s="50">
        <f>2276.5-BW8</f>
        <v>1247.2</v>
      </c>
      <c r="BY8" s="50">
        <f>4594.3-BX8-BW8</f>
        <v>2317.8000000000002</v>
      </c>
      <c r="BZ8" s="50">
        <f>7459.5-BY8-BX8-BW8</f>
        <v>2865.2</v>
      </c>
      <c r="CA8" s="43">
        <f>SUM(BW8:BZ8)</f>
        <v>7459.5</v>
      </c>
      <c r="CN8" s="50">
        <v>2186.6999999999998</v>
      </c>
      <c r="CO8" s="50">
        <v>4385.5</v>
      </c>
      <c r="CP8" s="50">
        <v>6473.2</v>
      </c>
    </row>
    <row r="9" spans="1:96" ht="15.75" x14ac:dyDescent="0.25">
      <c r="A9" s="30">
        <v>6</v>
      </c>
      <c r="B9" s="1"/>
      <c r="C9" s="1" t="s">
        <v>86</v>
      </c>
      <c r="D9" s="19" t="s">
        <v>42</v>
      </c>
      <c r="E9" s="5" t="s">
        <v>40</v>
      </c>
      <c r="F9" s="28" t="s">
        <v>121</v>
      </c>
      <c r="G9" s="1" t="s">
        <v>38</v>
      </c>
      <c r="H9" s="1" t="s">
        <v>27</v>
      </c>
      <c r="I9" s="20" t="s">
        <v>21</v>
      </c>
      <c r="J9" s="2">
        <v>43101</v>
      </c>
      <c r="K9" s="18" t="s">
        <v>123</v>
      </c>
      <c r="L9">
        <v>3509</v>
      </c>
      <c r="M9">
        <v>4975</v>
      </c>
      <c r="N9">
        <v>6443</v>
      </c>
      <c r="O9">
        <v>6279</v>
      </c>
      <c r="P9">
        <v>6096</v>
      </c>
      <c r="Q9">
        <v>6437</v>
      </c>
      <c r="R9">
        <v>6345</v>
      </c>
      <c r="S9">
        <v>6942</v>
      </c>
      <c r="T9">
        <v>7141</v>
      </c>
      <c r="U9">
        <v>7838</v>
      </c>
      <c r="V9">
        <v>7871</v>
      </c>
      <c r="W9">
        <v>8619</v>
      </c>
      <c r="AC9" s="51">
        <v>1521</v>
      </c>
      <c r="AD9" s="51">
        <v>2096</v>
      </c>
      <c r="AE9" s="51">
        <v>2146</v>
      </c>
      <c r="AF9" s="51">
        <v>2075</v>
      </c>
      <c r="AG9" s="51">
        <v>1891</v>
      </c>
      <c r="AH9" s="51">
        <v>2147</v>
      </c>
      <c r="AI9" s="51">
        <v>2047</v>
      </c>
      <c r="AJ9" s="52">
        <v>2385</v>
      </c>
      <c r="AK9" s="51">
        <v>2410</v>
      </c>
      <c r="AL9" s="51">
        <v>2610</v>
      </c>
      <c r="AM9" s="51">
        <v>2800</v>
      </c>
      <c r="AN9" s="51">
        <v>3112</v>
      </c>
      <c r="AT9" s="53">
        <v>1841</v>
      </c>
      <c r="AU9" s="53">
        <v>2469</v>
      </c>
      <c r="AV9" s="53">
        <v>2903</v>
      </c>
      <c r="AW9" s="53">
        <v>1534</v>
      </c>
      <c r="AX9" s="53">
        <v>2828</v>
      </c>
      <c r="AY9" s="53">
        <v>3914</v>
      </c>
      <c r="AZ9" s="53">
        <v>4746</v>
      </c>
      <c r="BA9" s="53">
        <v>4761</v>
      </c>
      <c r="BB9" s="53">
        <v>5702</v>
      </c>
      <c r="BC9" s="53">
        <v>6012</v>
      </c>
      <c r="BD9" s="53">
        <v>5543</v>
      </c>
      <c r="BE9" s="53">
        <v>5385</v>
      </c>
      <c r="BK9" s="53">
        <v>2904</v>
      </c>
      <c r="BL9" s="53">
        <v>4256</v>
      </c>
      <c r="BM9" s="53">
        <v>5023</v>
      </c>
      <c r="BN9" s="53">
        <v>6037</v>
      </c>
      <c r="BO9" s="53">
        <v>5091</v>
      </c>
      <c r="BP9" s="53">
        <v>6626</v>
      </c>
      <c r="BQ9" s="53">
        <v>3645</v>
      </c>
      <c r="BR9" s="53">
        <v>3728</v>
      </c>
      <c r="BS9" s="53">
        <v>3964</v>
      </c>
      <c r="BT9" s="53">
        <v>4253</v>
      </c>
      <c r="BU9" s="53">
        <v>4221</v>
      </c>
      <c r="BV9" s="53">
        <v>6652</v>
      </c>
      <c r="CB9" s="53">
        <v>4323</v>
      </c>
      <c r="CC9" s="53">
        <v>6012</v>
      </c>
      <c r="CD9" s="53">
        <v>8426</v>
      </c>
      <c r="CE9" s="53">
        <v>4231</v>
      </c>
      <c r="CF9" s="53">
        <v>3587</v>
      </c>
      <c r="CG9" s="53">
        <v>5951</v>
      </c>
      <c r="CH9" s="53">
        <v>7719</v>
      </c>
      <c r="CI9" s="53">
        <v>9247</v>
      </c>
      <c r="CJ9" s="53">
        <v>10636</v>
      </c>
    </row>
    <row r="10" spans="1:96" ht="15.75" x14ac:dyDescent="0.25">
      <c r="C10" s="1" t="s">
        <v>86</v>
      </c>
      <c r="D10" s="44" t="s">
        <v>142</v>
      </c>
      <c r="E10" s="45" t="s">
        <v>37</v>
      </c>
      <c r="F10" s="28" t="s">
        <v>120</v>
      </c>
      <c r="G10" s="44" t="s">
        <v>38</v>
      </c>
      <c r="H10" s="44" t="s">
        <v>108</v>
      </c>
      <c r="I10" s="20" t="s">
        <v>21</v>
      </c>
      <c r="J10" s="46">
        <v>43647</v>
      </c>
      <c r="K10" s="18" t="s">
        <v>123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55">
        <v>58</v>
      </c>
      <c r="AJ10" s="55">
        <v>110</v>
      </c>
      <c r="AK10" s="55">
        <v>216</v>
      </c>
      <c r="AL10" s="55">
        <v>427</v>
      </c>
      <c r="AM10" s="55">
        <v>735</v>
      </c>
      <c r="AN10" s="55">
        <v>1092</v>
      </c>
      <c r="AO10" s="35"/>
      <c r="AP10" s="35"/>
      <c r="AQ10" s="35"/>
      <c r="AR10" s="35"/>
      <c r="AS10" s="35"/>
      <c r="AT10" s="55">
        <v>1578</v>
      </c>
      <c r="AU10" s="55">
        <v>1978</v>
      </c>
      <c r="AV10" s="55">
        <v>2810</v>
      </c>
      <c r="AW10" s="55">
        <v>4076</v>
      </c>
      <c r="AX10" s="55">
        <v>5510</v>
      </c>
      <c r="AY10" s="55">
        <v>5989</v>
      </c>
      <c r="AZ10" s="55">
        <v>7524</v>
      </c>
      <c r="BA10" s="55">
        <v>9691</v>
      </c>
      <c r="BB10" s="55">
        <v>11439</v>
      </c>
      <c r="BC10" s="55">
        <v>15354</v>
      </c>
      <c r="BD10" s="55">
        <v>18272</v>
      </c>
      <c r="BE10" s="55">
        <v>23863</v>
      </c>
      <c r="BF10" s="35"/>
      <c r="BG10" s="35"/>
      <c r="BH10" s="35"/>
      <c r="BI10" s="35"/>
      <c r="BJ10" s="35"/>
      <c r="BK10" s="55">
        <v>28949</v>
      </c>
      <c r="BL10" s="55">
        <v>31514</v>
      </c>
      <c r="BM10" s="55">
        <v>36132</v>
      </c>
      <c r="BN10" s="55">
        <v>41879</v>
      </c>
      <c r="BO10" s="55">
        <v>47605</v>
      </c>
      <c r="BP10" s="55">
        <v>52140</v>
      </c>
      <c r="BQ10" s="55">
        <v>56132</v>
      </c>
      <c r="BR10" s="55">
        <v>55324</v>
      </c>
      <c r="BS10" s="55">
        <v>59551</v>
      </c>
      <c r="BT10" s="55">
        <v>59831</v>
      </c>
      <c r="BU10" s="55">
        <v>60487</v>
      </c>
      <c r="BV10" s="55">
        <v>63231</v>
      </c>
      <c r="BW10" s="35"/>
      <c r="BX10" s="35"/>
      <c r="BY10" s="35"/>
      <c r="BZ10" s="35"/>
      <c r="CA10" s="35"/>
      <c r="CB10" s="55">
        <v>63314</v>
      </c>
      <c r="CC10" s="55">
        <v>66892</v>
      </c>
      <c r="CD10" s="55">
        <v>70201</v>
      </c>
      <c r="CE10" s="55">
        <v>74668</v>
      </c>
      <c r="CF10" s="55">
        <v>75052</v>
      </c>
      <c r="CG10" s="55">
        <v>74641</v>
      </c>
      <c r="CH10" s="55">
        <v>74897</v>
      </c>
      <c r="CI10" s="55">
        <v>76694</v>
      </c>
      <c r="CJ10" s="55">
        <v>75552</v>
      </c>
      <c r="CK10" s="55">
        <v>78033</v>
      </c>
    </row>
    <row r="11" spans="1:96" x14ac:dyDescent="0.25">
      <c r="C11" s="1" t="s">
        <v>86</v>
      </c>
      <c r="D11" s="44" t="s">
        <v>143</v>
      </c>
      <c r="E11" s="45"/>
      <c r="F11" s="79" t="s">
        <v>144</v>
      </c>
      <c r="G11" s="44" t="s">
        <v>38</v>
      </c>
      <c r="H11" s="44" t="s">
        <v>108</v>
      </c>
      <c r="I11" s="20" t="s">
        <v>21</v>
      </c>
      <c r="J11" s="46">
        <v>43647</v>
      </c>
      <c r="K11" s="18" t="s">
        <v>123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3"/>
      <c r="AC11" s="33"/>
      <c r="AD11" s="33"/>
      <c r="AE11" s="33"/>
      <c r="AF11" s="33"/>
      <c r="AG11" s="13"/>
      <c r="AH11" s="13"/>
      <c r="AI11" s="34">
        <f>AI10</f>
        <v>58</v>
      </c>
      <c r="AJ11" s="34">
        <f>AJ10-AI10</f>
        <v>52</v>
      </c>
      <c r="AK11" s="34">
        <f>AK10-AJ10</f>
        <v>106</v>
      </c>
      <c r="AL11" s="34">
        <f>AL10-AK10</f>
        <v>211</v>
      </c>
      <c r="AM11" s="34">
        <f>AM10-AL10</f>
        <v>308</v>
      </c>
      <c r="AN11" s="34">
        <f>AN10-AM10</f>
        <v>357</v>
      </c>
      <c r="AO11" s="13"/>
      <c r="AP11" s="35"/>
      <c r="AQ11" s="35"/>
      <c r="AR11" s="35"/>
      <c r="AS11" s="33"/>
      <c r="AT11" s="9">
        <f>AT10-AN10</f>
        <v>486</v>
      </c>
      <c r="AU11" s="9">
        <f>AU10-AT10</f>
        <v>400</v>
      </c>
      <c r="AV11" s="9">
        <f t="shared" ref="AV11:BE11" si="0">AV10-AU10</f>
        <v>832</v>
      </c>
      <c r="AW11" s="9">
        <f t="shared" si="0"/>
        <v>1266</v>
      </c>
      <c r="AX11" s="9">
        <f t="shared" si="0"/>
        <v>1434</v>
      </c>
      <c r="AY11" s="9">
        <f t="shared" si="0"/>
        <v>479</v>
      </c>
      <c r="AZ11" s="9">
        <f t="shared" si="0"/>
        <v>1535</v>
      </c>
      <c r="BA11" s="9">
        <f t="shared" si="0"/>
        <v>2167</v>
      </c>
      <c r="BB11" s="9">
        <f t="shared" si="0"/>
        <v>1748</v>
      </c>
      <c r="BC11" s="9">
        <f t="shared" si="0"/>
        <v>3915</v>
      </c>
      <c r="BD11" s="9">
        <f t="shared" si="0"/>
        <v>2918</v>
      </c>
      <c r="BE11" s="9">
        <f t="shared" si="0"/>
        <v>5591</v>
      </c>
      <c r="BK11">
        <f>BK10-BE10</f>
        <v>5086</v>
      </c>
      <c r="BL11">
        <f>BL10-BK10</f>
        <v>2565</v>
      </c>
      <c r="BM11">
        <f t="shared" ref="BM11:BV11" si="1">BM10-BL10</f>
        <v>4618</v>
      </c>
      <c r="BN11">
        <f t="shared" si="1"/>
        <v>5747</v>
      </c>
      <c r="BO11">
        <f t="shared" si="1"/>
        <v>5726</v>
      </c>
      <c r="BP11">
        <f t="shared" si="1"/>
        <v>4535</v>
      </c>
      <c r="BQ11">
        <f t="shared" si="1"/>
        <v>3992</v>
      </c>
      <c r="BR11">
        <f t="shared" si="1"/>
        <v>-808</v>
      </c>
      <c r="BS11">
        <f t="shared" si="1"/>
        <v>4227</v>
      </c>
      <c r="BT11">
        <f t="shared" si="1"/>
        <v>280</v>
      </c>
      <c r="BU11">
        <f t="shared" si="1"/>
        <v>656</v>
      </c>
      <c r="BV11">
        <f t="shared" si="1"/>
        <v>2744</v>
      </c>
      <c r="CB11">
        <f>CB10-BV10</f>
        <v>83</v>
      </c>
      <c r="CC11">
        <f>CC10-CB10</f>
        <v>3578</v>
      </c>
      <c r="CD11">
        <f>CD10-CC10</f>
        <v>3309</v>
      </c>
      <c r="CE11">
        <f>CE10-CD10</f>
        <v>4467</v>
      </c>
      <c r="CF11">
        <f>CF10-CE10</f>
        <v>384</v>
      </c>
      <c r="CG11">
        <f t="shared" ref="CG11:CK11" si="2">CG10-CF10</f>
        <v>-411</v>
      </c>
      <c r="CH11">
        <f t="shared" si="2"/>
        <v>256</v>
      </c>
      <c r="CI11">
        <f t="shared" si="2"/>
        <v>1797</v>
      </c>
      <c r="CJ11">
        <f t="shared" si="2"/>
        <v>-1142</v>
      </c>
      <c r="CK11">
        <f t="shared" si="2"/>
        <v>2481</v>
      </c>
    </row>
    <row r="12" spans="1:96" ht="15.75" x14ac:dyDescent="0.25">
      <c r="C12" s="1" t="s">
        <v>86</v>
      </c>
      <c r="D12" s="44" t="s">
        <v>39</v>
      </c>
      <c r="E12" s="45" t="s">
        <v>40</v>
      </c>
      <c r="F12" s="28" t="s">
        <v>121</v>
      </c>
      <c r="G12" s="44" t="s">
        <v>38</v>
      </c>
      <c r="H12" s="44" t="s">
        <v>108</v>
      </c>
      <c r="I12" s="20" t="s">
        <v>21</v>
      </c>
      <c r="J12" s="46">
        <v>43101</v>
      </c>
      <c r="K12" s="18" t="s">
        <v>123</v>
      </c>
      <c r="L12" s="34">
        <v>1306</v>
      </c>
      <c r="M12" s="34">
        <v>1980</v>
      </c>
      <c r="N12" s="34">
        <v>2184</v>
      </c>
      <c r="O12" s="34">
        <v>2149</v>
      </c>
      <c r="P12" s="34">
        <v>2100</v>
      </c>
      <c r="Q12" s="34">
        <v>2141</v>
      </c>
      <c r="R12" s="34">
        <v>2402</v>
      </c>
      <c r="S12" s="34">
        <v>2560</v>
      </c>
      <c r="T12" s="34">
        <v>2508</v>
      </c>
      <c r="U12" s="34">
        <v>2716</v>
      </c>
      <c r="V12" s="34">
        <v>2853</v>
      </c>
      <c r="W12" s="34">
        <v>2721</v>
      </c>
      <c r="X12" s="35"/>
      <c r="Y12" s="35"/>
      <c r="Z12" s="35"/>
      <c r="AA12" s="35"/>
      <c r="AB12" s="35"/>
      <c r="AC12" s="54">
        <v>1521</v>
      </c>
      <c r="AD12" s="54">
        <v>2096</v>
      </c>
      <c r="AE12" s="54">
        <v>2146</v>
      </c>
      <c r="AF12" s="54">
        <v>2075</v>
      </c>
      <c r="AG12" s="54">
        <v>1891</v>
      </c>
      <c r="AH12" s="54">
        <v>2147</v>
      </c>
      <c r="AI12" s="54">
        <v>2047</v>
      </c>
      <c r="AJ12" s="56">
        <v>2385</v>
      </c>
      <c r="AK12" s="54">
        <v>2410</v>
      </c>
      <c r="AL12" s="54">
        <v>2610</v>
      </c>
      <c r="AM12" s="54">
        <v>2800</v>
      </c>
      <c r="AN12" s="54">
        <v>3112</v>
      </c>
      <c r="AO12" s="35"/>
      <c r="AP12" s="35"/>
      <c r="AQ12" s="35"/>
      <c r="AR12" s="35"/>
      <c r="AS12" s="34"/>
      <c r="AT12" s="54">
        <v>1841</v>
      </c>
      <c r="AU12" s="54">
        <v>2469</v>
      </c>
      <c r="AV12" s="54">
        <v>2903</v>
      </c>
      <c r="AW12" s="54">
        <v>1534</v>
      </c>
      <c r="AX12" s="54">
        <v>2828</v>
      </c>
      <c r="AY12" s="54">
        <v>3914</v>
      </c>
      <c r="AZ12" s="54">
        <v>4746</v>
      </c>
      <c r="BA12" s="54">
        <v>4761</v>
      </c>
      <c r="BB12" s="54">
        <v>5702</v>
      </c>
      <c r="BC12" s="54">
        <v>6012</v>
      </c>
      <c r="BD12" s="54">
        <v>5543</v>
      </c>
      <c r="BE12" s="54">
        <v>5385</v>
      </c>
      <c r="BF12" s="35"/>
      <c r="BG12" s="35"/>
      <c r="BH12" s="35"/>
      <c r="BI12" s="35"/>
      <c r="BJ12" s="34"/>
      <c r="BK12" s="54">
        <v>2904</v>
      </c>
      <c r="BL12" s="54">
        <v>4256</v>
      </c>
      <c r="BM12" s="54">
        <v>5023</v>
      </c>
      <c r="BN12" s="54">
        <v>6037</v>
      </c>
      <c r="BO12" s="54">
        <v>5091</v>
      </c>
      <c r="BP12" s="54">
        <v>6626</v>
      </c>
      <c r="BQ12" s="54">
        <v>3645</v>
      </c>
      <c r="BR12" s="54">
        <v>3728</v>
      </c>
      <c r="BS12" s="54">
        <v>3964</v>
      </c>
      <c r="BT12" s="54">
        <v>4253</v>
      </c>
      <c r="BU12" s="54">
        <v>4221</v>
      </c>
      <c r="BV12" s="54">
        <v>6652</v>
      </c>
      <c r="BW12" s="35"/>
      <c r="BX12" s="35"/>
      <c r="BY12" s="35"/>
      <c r="BZ12" s="35"/>
      <c r="CA12" s="34"/>
      <c r="CB12" s="54">
        <v>4323</v>
      </c>
      <c r="CC12" s="54">
        <v>6012</v>
      </c>
      <c r="CD12" s="54">
        <v>8426</v>
      </c>
      <c r="CE12" s="54">
        <v>4231</v>
      </c>
      <c r="CF12" s="54">
        <v>3587</v>
      </c>
      <c r="CG12" s="54">
        <v>5951</v>
      </c>
      <c r="CH12" s="54">
        <v>7719</v>
      </c>
      <c r="CI12" s="54">
        <v>9247</v>
      </c>
      <c r="CJ12" s="54">
        <v>10636</v>
      </c>
    </row>
    <row r="13" spans="1:96" ht="15.75" x14ac:dyDescent="0.25">
      <c r="C13" s="1" t="s">
        <v>86</v>
      </c>
      <c r="D13" s="44" t="s">
        <v>109</v>
      </c>
      <c r="E13" s="45" t="s">
        <v>40</v>
      </c>
      <c r="F13" s="28" t="s">
        <v>121</v>
      </c>
      <c r="G13" s="44" t="s">
        <v>33</v>
      </c>
      <c r="H13" s="44" t="s">
        <v>41</v>
      </c>
      <c r="I13" s="20" t="s">
        <v>21</v>
      </c>
      <c r="J13" s="46">
        <v>43101</v>
      </c>
      <c r="K13" s="18" t="s">
        <v>123</v>
      </c>
      <c r="L13" s="34">
        <v>763</v>
      </c>
      <c r="M13" s="34">
        <v>1150</v>
      </c>
      <c r="N13" s="34">
        <v>1256</v>
      </c>
      <c r="O13" s="34">
        <v>1216</v>
      </c>
      <c r="P13" s="34">
        <v>1177</v>
      </c>
      <c r="Q13" s="34">
        <v>1223</v>
      </c>
      <c r="R13" s="34">
        <v>1342</v>
      </c>
      <c r="S13" s="34">
        <v>1439</v>
      </c>
      <c r="T13" s="34">
        <v>1449</v>
      </c>
      <c r="U13" s="34">
        <v>1539</v>
      </c>
      <c r="V13" s="34">
        <v>1561</v>
      </c>
      <c r="W13" s="34">
        <v>1581</v>
      </c>
      <c r="X13" s="35"/>
      <c r="Y13" s="35"/>
      <c r="Z13" s="35"/>
      <c r="AA13" s="35"/>
      <c r="AB13" s="35"/>
      <c r="AC13" s="58">
        <v>861</v>
      </c>
      <c r="AD13" s="58">
        <v>1138</v>
      </c>
      <c r="AE13" s="58">
        <v>1133</v>
      </c>
      <c r="AF13" s="58">
        <v>1130</v>
      </c>
      <c r="AG13" s="58">
        <v>1036</v>
      </c>
      <c r="AH13" s="58">
        <v>1200</v>
      </c>
      <c r="AI13" s="58">
        <v>1112</v>
      </c>
      <c r="AJ13" s="57">
        <v>1217</v>
      </c>
      <c r="AK13" s="58">
        <v>1226</v>
      </c>
      <c r="AL13" s="58">
        <v>1285</v>
      </c>
      <c r="AM13" s="58">
        <v>1437</v>
      </c>
      <c r="AN13" s="58">
        <v>1563</v>
      </c>
      <c r="AO13" s="35"/>
      <c r="AP13" s="35"/>
      <c r="AQ13" s="35"/>
      <c r="AR13" s="35"/>
      <c r="AS13" s="35"/>
      <c r="AT13" s="58">
        <v>931</v>
      </c>
      <c r="AU13" s="58">
        <v>1256</v>
      </c>
      <c r="AV13" s="58">
        <v>1389</v>
      </c>
      <c r="AW13" s="58">
        <v>770</v>
      </c>
      <c r="AX13" s="58">
        <v>1436</v>
      </c>
      <c r="AY13" s="58">
        <v>1964</v>
      </c>
      <c r="AZ13" s="58">
        <v>2197</v>
      </c>
      <c r="BA13" s="58">
        <v>2265</v>
      </c>
      <c r="BB13" s="58">
        <v>2587</v>
      </c>
      <c r="BC13" s="58">
        <v>2710</v>
      </c>
      <c r="BD13" s="58">
        <v>2424</v>
      </c>
      <c r="BE13" s="58">
        <v>2357</v>
      </c>
      <c r="BF13" s="35"/>
      <c r="BG13" s="35"/>
      <c r="BH13" s="35"/>
      <c r="BI13" s="35"/>
      <c r="BJ13" s="35"/>
      <c r="BK13" s="58">
        <v>1226</v>
      </c>
      <c r="BL13" s="58">
        <v>1747</v>
      </c>
      <c r="BM13" s="58">
        <v>1897</v>
      </c>
      <c r="BN13" s="58">
        <v>2229</v>
      </c>
      <c r="BO13" s="58">
        <v>1778</v>
      </c>
      <c r="BP13" s="58">
        <v>2073</v>
      </c>
      <c r="BQ13" s="58">
        <v>1070</v>
      </c>
      <c r="BR13" s="58">
        <v>1066</v>
      </c>
      <c r="BS13" s="58">
        <v>1067</v>
      </c>
      <c r="BT13" s="58">
        <v>1088</v>
      </c>
      <c r="BU13" s="58">
        <v>1139</v>
      </c>
      <c r="BV13" s="58">
        <v>1743</v>
      </c>
      <c r="BW13" s="35"/>
      <c r="BX13" s="35"/>
      <c r="BY13" s="35"/>
      <c r="BZ13" s="35"/>
      <c r="CA13" s="35"/>
      <c r="CB13" s="58">
        <v>1112</v>
      </c>
      <c r="CC13" s="58">
        <v>1494</v>
      </c>
      <c r="CD13" s="58">
        <v>2410</v>
      </c>
      <c r="CE13" s="58">
        <v>1026</v>
      </c>
      <c r="CF13" s="58">
        <v>731</v>
      </c>
      <c r="CG13" s="58">
        <v>1157</v>
      </c>
      <c r="CH13" s="58">
        <v>1503</v>
      </c>
      <c r="CI13" s="58">
        <v>1719</v>
      </c>
      <c r="CJ13" s="58">
        <v>2001</v>
      </c>
    </row>
    <row r="14" spans="1:96" ht="15.75" x14ac:dyDescent="0.25">
      <c r="C14" s="1" t="s">
        <v>86</v>
      </c>
      <c r="D14" s="44" t="s">
        <v>43</v>
      </c>
      <c r="E14" s="45" t="s">
        <v>40</v>
      </c>
      <c r="F14" s="28" t="s">
        <v>121</v>
      </c>
      <c r="G14" s="44" t="s">
        <v>33</v>
      </c>
      <c r="H14" s="44" t="s">
        <v>41</v>
      </c>
      <c r="I14" s="20" t="s">
        <v>21</v>
      </c>
      <c r="J14" s="46">
        <v>43101</v>
      </c>
      <c r="K14" s="18" t="s">
        <v>123</v>
      </c>
      <c r="L14" s="34">
        <v>2089</v>
      </c>
      <c r="M14" s="34">
        <v>2980</v>
      </c>
      <c r="N14" s="34">
        <v>3658</v>
      </c>
      <c r="O14" s="34">
        <v>3496</v>
      </c>
      <c r="P14" s="34">
        <v>3445</v>
      </c>
      <c r="Q14" s="34">
        <v>3566</v>
      </c>
      <c r="R14" s="34">
        <v>3584</v>
      </c>
      <c r="S14" s="34">
        <v>3899</v>
      </c>
      <c r="T14" s="34">
        <v>3884</v>
      </c>
      <c r="U14" s="34">
        <v>4218</v>
      </c>
      <c r="V14" s="34">
        <v>4223</v>
      </c>
      <c r="W14" s="34">
        <v>4627</v>
      </c>
      <c r="X14" s="35"/>
      <c r="Y14" s="35"/>
      <c r="Z14" s="35"/>
      <c r="AA14" s="35"/>
      <c r="AB14" s="35"/>
      <c r="AC14" s="58">
        <v>2452</v>
      </c>
      <c r="AD14" s="58">
        <v>3113</v>
      </c>
      <c r="AE14" s="58">
        <v>3077</v>
      </c>
      <c r="AF14" s="58">
        <v>3245</v>
      </c>
      <c r="AG14" s="58">
        <v>2681</v>
      </c>
      <c r="AH14" s="58">
        <v>3069</v>
      </c>
      <c r="AI14" s="58">
        <v>3119</v>
      </c>
      <c r="AJ14" s="57">
        <v>3437</v>
      </c>
      <c r="AK14" s="58">
        <v>3450</v>
      </c>
      <c r="AL14" s="58">
        <v>3679</v>
      </c>
      <c r="AM14" s="58">
        <v>3892</v>
      </c>
      <c r="AN14" s="58">
        <v>4858</v>
      </c>
      <c r="AO14" s="35"/>
      <c r="AP14" s="35"/>
      <c r="AQ14" s="35"/>
      <c r="AR14" s="35"/>
      <c r="AS14" s="34"/>
      <c r="AT14" s="58">
        <v>2468</v>
      </c>
      <c r="AU14" s="58">
        <v>3437</v>
      </c>
      <c r="AV14" s="58">
        <v>3931</v>
      </c>
      <c r="AW14" s="58">
        <v>2530</v>
      </c>
      <c r="AX14" s="58">
        <v>3117</v>
      </c>
      <c r="AY14" s="58">
        <v>4251</v>
      </c>
      <c r="AZ14" s="58">
        <v>4819</v>
      </c>
      <c r="BA14" s="58">
        <v>4976</v>
      </c>
      <c r="BB14" s="58">
        <v>6229</v>
      </c>
      <c r="BC14" s="58">
        <v>6813</v>
      </c>
      <c r="BD14" s="58">
        <v>6166</v>
      </c>
      <c r="BE14" s="58">
        <v>6825</v>
      </c>
      <c r="BF14" s="35"/>
      <c r="BG14" s="35"/>
      <c r="BH14" s="35"/>
      <c r="BI14" s="35"/>
      <c r="BJ14" s="34"/>
      <c r="BK14" s="58">
        <v>3304</v>
      </c>
      <c r="BL14" s="58">
        <v>4889</v>
      </c>
      <c r="BM14" s="58">
        <v>5841</v>
      </c>
      <c r="BN14" s="58">
        <v>6627</v>
      </c>
      <c r="BO14" s="58">
        <v>5275</v>
      </c>
      <c r="BP14" s="58">
        <v>6238</v>
      </c>
      <c r="BQ14" s="58">
        <v>5079</v>
      </c>
      <c r="BR14" s="58">
        <v>4781</v>
      </c>
      <c r="BS14" s="58">
        <v>4587</v>
      </c>
      <c r="BT14" s="58">
        <v>4652</v>
      </c>
      <c r="BU14" s="58">
        <v>4322</v>
      </c>
      <c r="BV14" s="58">
        <v>5637</v>
      </c>
      <c r="BW14" s="35"/>
      <c r="BX14" s="35"/>
      <c r="BY14" s="35"/>
      <c r="BZ14" s="35"/>
      <c r="CA14" s="34"/>
      <c r="CB14" s="58">
        <v>2941</v>
      </c>
      <c r="CC14" s="58">
        <v>3982</v>
      </c>
      <c r="CD14" s="58">
        <v>5268</v>
      </c>
      <c r="CE14" s="58">
        <v>1868</v>
      </c>
      <c r="CF14" s="58">
        <v>1416</v>
      </c>
      <c r="CG14" s="58">
        <v>2450</v>
      </c>
      <c r="CH14" s="58">
        <v>3366</v>
      </c>
      <c r="CI14" s="58">
        <v>4375</v>
      </c>
      <c r="CJ14" s="58">
        <v>4875</v>
      </c>
    </row>
    <row r="15" spans="1:96" x14ac:dyDescent="0.25">
      <c r="A15" s="30">
        <v>7</v>
      </c>
      <c r="B15" s="1"/>
      <c r="C15" s="28" t="s">
        <v>96</v>
      </c>
      <c r="D15" s="44" t="s">
        <v>112</v>
      </c>
      <c r="E15" s="5" t="s">
        <v>69</v>
      </c>
      <c r="F15" s="28"/>
      <c r="G15" s="1" t="s">
        <v>38</v>
      </c>
      <c r="H15" s="1" t="s">
        <v>32</v>
      </c>
      <c r="I15" s="20" t="s">
        <v>21</v>
      </c>
      <c r="J15" s="21">
        <v>43101</v>
      </c>
      <c r="K15" s="18" t="s">
        <v>123</v>
      </c>
      <c r="L15" s="13">
        <v>40659207.759999998</v>
      </c>
      <c r="M15" s="13">
        <v>56089509.860000007</v>
      </c>
      <c r="N15" s="13">
        <v>94919784.319999993</v>
      </c>
      <c r="O15" s="13">
        <v>150425886.33999997</v>
      </c>
      <c r="P15" s="13">
        <v>248812797.56000006</v>
      </c>
      <c r="Q15" s="13">
        <v>198077560.69999993</v>
      </c>
      <c r="R15" s="13">
        <v>135633540.82000005</v>
      </c>
      <c r="S15" s="13">
        <v>234006716.34000003</v>
      </c>
      <c r="T15" s="13">
        <v>446930571.89999986</v>
      </c>
      <c r="U15" s="13">
        <v>536540523.11000013</v>
      </c>
      <c r="V15" s="13">
        <v>385973112.5</v>
      </c>
      <c r="W15" s="13">
        <v>3823160229.5199995</v>
      </c>
      <c r="X15" s="13"/>
      <c r="Y15" s="13"/>
      <c r="Z15" s="13"/>
      <c r="AA15" s="13"/>
      <c r="AB15" s="13"/>
      <c r="AC15" s="13">
        <v>59216943.310000002</v>
      </c>
      <c r="AD15" s="13">
        <v>109089474.12</v>
      </c>
      <c r="AE15" s="13">
        <v>366210929.00999999</v>
      </c>
      <c r="AF15" s="13">
        <v>150261949.85999995</v>
      </c>
      <c r="AG15" s="13">
        <v>395255171.55999994</v>
      </c>
      <c r="AH15" s="13">
        <v>253203873.44000006</v>
      </c>
      <c r="AI15" s="13">
        <v>361336702.34000015</v>
      </c>
      <c r="AJ15" s="13">
        <v>414897462.53999996</v>
      </c>
      <c r="AK15" s="13">
        <v>445673110.29999995</v>
      </c>
      <c r="AL15" s="13">
        <v>525011614.92999983</v>
      </c>
      <c r="AM15" s="13">
        <v>705917662.05999994</v>
      </c>
      <c r="AN15" s="13">
        <v>1585534325.5099998</v>
      </c>
      <c r="AO15" s="13"/>
      <c r="AP15" s="9"/>
      <c r="AQ15" s="9"/>
      <c r="AR15" s="9"/>
      <c r="AS15" s="9"/>
      <c r="AT15" s="9">
        <v>141951391.19999999</v>
      </c>
      <c r="AU15" s="9">
        <v>196612919.49000001</v>
      </c>
      <c r="AV15" s="9">
        <v>282354397.28000003</v>
      </c>
      <c r="AW15" s="9">
        <v>285943870.14999998</v>
      </c>
      <c r="AX15" s="9">
        <v>144633685.70000005</v>
      </c>
      <c r="AY15" s="9">
        <v>178120855.96999991</v>
      </c>
      <c r="AZ15" s="9">
        <v>303369126.69000006</v>
      </c>
      <c r="BA15" s="9">
        <v>394354881.87999988</v>
      </c>
      <c r="BB15" s="9">
        <v>725351078.6400001</v>
      </c>
      <c r="BC15" s="9">
        <v>580734758.67999983</v>
      </c>
      <c r="BD15" s="9">
        <v>614829345.45000029</v>
      </c>
      <c r="BE15" s="9">
        <v>1434839110.4899998</v>
      </c>
      <c r="BF15" s="9"/>
      <c r="BG15" s="9"/>
      <c r="BH15" s="9"/>
      <c r="BI15" s="9"/>
      <c r="BJ15" s="9"/>
      <c r="BK15" s="9">
        <v>370696496.39999998</v>
      </c>
      <c r="BL15" s="9">
        <v>213898469.73000002</v>
      </c>
      <c r="BM15" s="9">
        <v>619031634.61000001</v>
      </c>
      <c r="BN15" s="9">
        <v>531777982.1500001</v>
      </c>
      <c r="BO15" s="9">
        <v>330141567.99000001</v>
      </c>
      <c r="BP15" s="9">
        <v>767430970.67000008</v>
      </c>
      <c r="BQ15" s="9">
        <v>564774035.77999973</v>
      </c>
      <c r="BR15" s="9">
        <v>471202672.84000015</v>
      </c>
      <c r="BS15" s="9">
        <v>321842363.8499999</v>
      </c>
      <c r="BT15" s="9">
        <v>841775332.46999979</v>
      </c>
      <c r="BU15" s="9">
        <v>615550306.18000031</v>
      </c>
      <c r="BV15" s="9">
        <v>1396043960.8699999</v>
      </c>
      <c r="BW15" s="9"/>
      <c r="BX15" s="9"/>
      <c r="BY15" s="9"/>
      <c r="BZ15" s="9"/>
      <c r="CA15" s="9"/>
      <c r="CB15" s="9">
        <v>363953140.83999997</v>
      </c>
      <c r="CC15" s="9">
        <v>151292768.96000004</v>
      </c>
    </row>
    <row r="16" spans="1:96" x14ac:dyDescent="0.25">
      <c r="A16" s="30">
        <v>8</v>
      </c>
      <c r="B16" s="1"/>
      <c r="C16" s="28" t="s">
        <v>96</v>
      </c>
      <c r="D16" s="44" t="s">
        <v>70</v>
      </c>
      <c r="E16" s="5" t="s">
        <v>69</v>
      </c>
      <c r="F16" s="28"/>
      <c r="G16" s="1" t="s">
        <v>38</v>
      </c>
      <c r="H16" s="1" t="s">
        <v>32</v>
      </c>
      <c r="I16" s="20" t="s">
        <v>21</v>
      </c>
      <c r="J16" s="21">
        <v>43101</v>
      </c>
      <c r="K16" s="18" t="s">
        <v>123</v>
      </c>
      <c r="L16" s="13">
        <v>14186119.640000001</v>
      </c>
      <c r="M16" s="13">
        <v>33562979.380000003</v>
      </c>
      <c r="N16" s="13">
        <v>28852803.669999994</v>
      </c>
      <c r="O16" s="13">
        <v>46010859.5</v>
      </c>
      <c r="P16" s="13">
        <v>30661772.879999995</v>
      </c>
      <c r="Q16" s="13">
        <v>42908993.689999998</v>
      </c>
      <c r="R16" s="13">
        <v>58973916.439999998</v>
      </c>
      <c r="S16" s="13">
        <v>75736547.189999998</v>
      </c>
      <c r="T16" s="13">
        <v>82317403.360000014</v>
      </c>
      <c r="U16" s="13">
        <v>83179801.199999988</v>
      </c>
      <c r="V16" s="13">
        <v>125188715.52000004</v>
      </c>
      <c r="W16" s="13">
        <v>266944252.18999994</v>
      </c>
      <c r="X16" s="13"/>
      <c r="Y16" s="13"/>
      <c r="Z16" s="13"/>
      <c r="AA16" s="13"/>
      <c r="AB16" s="13"/>
      <c r="AC16" s="13">
        <v>23278739.280000001</v>
      </c>
      <c r="AD16" s="13">
        <v>24369169.030000001</v>
      </c>
      <c r="AE16" s="13">
        <v>33925861.709999993</v>
      </c>
      <c r="AF16" s="13">
        <v>63089831.560000017</v>
      </c>
      <c r="AG16" s="13">
        <v>41357346.649999976</v>
      </c>
      <c r="AH16" s="13">
        <v>74902953.320000023</v>
      </c>
      <c r="AI16" s="13">
        <v>71286948.5</v>
      </c>
      <c r="AJ16" s="13">
        <v>78915191.310000002</v>
      </c>
      <c r="AK16" s="13">
        <v>64689774.849999964</v>
      </c>
      <c r="AL16" s="13">
        <v>139244057.34999996</v>
      </c>
      <c r="AM16" s="13">
        <v>157622354.19000006</v>
      </c>
      <c r="AN16" s="13">
        <v>389662037.18000007</v>
      </c>
      <c r="AO16" s="13"/>
      <c r="AP16" s="9"/>
      <c r="AQ16" s="9"/>
      <c r="AR16" s="9"/>
      <c r="AS16" s="9"/>
      <c r="AT16" s="9">
        <v>11747744.039999999</v>
      </c>
      <c r="AU16" s="9">
        <v>38624809.590000004</v>
      </c>
      <c r="AV16" s="9">
        <v>55345611.479999997</v>
      </c>
      <c r="AW16" s="9">
        <v>49045766.399999991</v>
      </c>
      <c r="AX16" s="9">
        <v>50898783.879999995</v>
      </c>
      <c r="AY16" s="9">
        <v>64946053.970000029</v>
      </c>
      <c r="AZ16" s="9">
        <v>85289474.870000005</v>
      </c>
      <c r="BA16" s="9">
        <v>70185557.159999967</v>
      </c>
      <c r="BB16" s="9">
        <v>87973042.280000031</v>
      </c>
      <c r="BC16" s="9">
        <v>76792886.780000031</v>
      </c>
      <c r="BD16" s="9">
        <v>76611927.069999933</v>
      </c>
      <c r="BE16" s="9">
        <v>206896781.23000002</v>
      </c>
      <c r="BF16" s="9"/>
      <c r="BG16" s="9"/>
      <c r="BH16" s="9"/>
      <c r="BI16" s="9"/>
      <c r="BJ16" s="9"/>
      <c r="BK16" s="9">
        <v>12662933.15</v>
      </c>
      <c r="BL16" s="9">
        <v>25655339.090000004</v>
      </c>
      <c r="BM16" s="9">
        <v>61421934.649999999</v>
      </c>
      <c r="BN16" s="9">
        <v>128415905.89</v>
      </c>
      <c r="BO16" s="9">
        <v>130640159.57000002</v>
      </c>
      <c r="BP16" s="9">
        <v>154704540.47999996</v>
      </c>
      <c r="BQ16" s="9">
        <v>156966883.28000003</v>
      </c>
      <c r="BR16" s="9">
        <v>126868356.90999997</v>
      </c>
      <c r="BS16" s="9">
        <v>86562184.25</v>
      </c>
      <c r="BT16" s="9">
        <v>152473132.92000008</v>
      </c>
      <c r="BU16" s="9">
        <v>137160292.06999993</v>
      </c>
      <c r="BV16" s="9">
        <v>356798690.0999999</v>
      </c>
      <c r="BW16" s="9"/>
      <c r="BX16" s="9"/>
      <c r="BY16" s="9"/>
      <c r="BZ16" s="9"/>
      <c r="CA16" s="9"/>
      <c r="CB16" s="9">
        <v>10980077.550000001</v>
      </c>
      <c r="CC16" s="9">
        <v>40136226.620000005</v>
      </c>
    </row>
    <row r="17" spans="1:97" x14ac:dyDescent="0.25">
      <c r="A17" s="30">
        <v>9</v>
      </c>
      <c r="B17" s="1"/>
      <c r="C17" s="28" t="s">
        <v>96</v>
      </c>
      <c r="D17" s="44" t="s">
        <v>71</v>
      </c>
      <c r="E17" s="5" t="s">
        <v>69</v>
      </c>
      <c r="F17" s="28"/>
      <c r="G17" s="1" t="s">
        <v>38</v>
      </c>
      <c r="H17" s="1" t="s">
        <v>32</v>
      </c>
      <c r="I17" s="20" t="s">
        <v>21</v>
      </c>
      <c r="J17" s="21">
        <v>43101</v>
      </c>
      <c r="K17" s="18" t="s">
        <v>123</v>
      </c>
      <c r="L17" s="13">
        <v>23377795.5</v>
      </c>
      <c r="M17" s="13">
        <v>13706394.869999997</v>
      </c>
      <c r="N17" s="13">
        <v>29730771.710000001</v>
      </c>
      <c r="O17" s="13">
        <v>90156968.030000016</v>
      </c>
      <c r="P17" s="13">
        <v>49003052.569999993</v>
      </c>
      <c r="Q17" s="13">
        <v>53322445.709999979</v>
      </c>
      <c r="R17" s="13">
        <v>64418313.25999999</v>
      </c>
      <c r="S17" s="13">
        <v>126234363.30000001</v>
      </c>
      <c r="T17" s="13">
        <v>139486255.24000007</v>
      </c>
      <c r="U17" s="13">
        <v>384166859.51999998</v>
      </c>
      <c r="V17" s="13">
        <v>219430045.48000002</v>
      </c>
      <c r="W17" s="13">
        <v>614239352.56999993</v>
      </c>
      <c r="X17" s="13"/>
      <c r="Y17" s="13"/>
      <c r="Z17" s="13"/>
      <c r="AA17" s="13"/>
      <c r="AB17" s="13"/>
      <c r="AC17" s="13">
        <v>26367985.399999999</v>
      </c>
      <c r="AD17" s="13">
        <v>49891539.460000001</v>
      </c>
      <c r="AE17" s="13">
        <v>98315034.559999987</v>
      </c>
      <c r="AF17" s="13">
        <v>58568576.090000004</v>
      </c>
      <c r="AG17" s="13">
        <v>115799589.92000002</v>
      </c>
      <c r="AH17" s="13">
        <v>129520980.29000002</v>
      </c>
      <c r="AI17" s="13">
        <v>224061492.52999997</v>
      </c>
      <c r="AJ17" s="13">
        <v>187609599.64999998</v>
      </c>
      <c r="AK17" s="13">
        <v>271026268.01000011</v>
      </c>
      <c r="AL17" s="13">
        <v>319700517.41999984</v>
      </c>
      <c r="AM17" s="13">
        <v>377613865.25</v>
      </c>
      <c r="AN17" s="13">
        <v>950259834.86999989</v>
      </c>
      <c r="AO17" s="13"/>
      <c r="AP17" s="9"/>
      <c r="AQ17" s="9"/>
      <c r="AR17" s="9"/>
      <c r="AS17" s="9"/>
      <c r="AT17" s="9">
        <v>117280489.33</v>
      </c>
      <c r="AU17" s="9">
        <v>106749620.04000001</v>
      </c>
      <c r="AV17" s="9">
        <v>53959876.219999969</v>
      </c>
      <c r="AW17" s="9">
        <v>230481782.72000003</v>
      </c>
      <c r="AX17" s="9">
        <v>82806355.810000002</v>
      </c>
      <c r="AY17" s="9">
        <v>92238276.019999981</v>
      </c>
      <c r="AZ17" s="9">
        <v>186760343.75999999</v>
      </c>
      <c r="BA17" s="9">
        <v>289419237.74000013</v>
      </c>
      <c r="BB17" s="9">
        <v>363990488.24000001</v>
      </c>
      <c r="BC17" s="9">
        <v>431661975.55999994</v>
      </c>
      <c r="BD17" s="9">
        <v>227696846.59000015</v>
      </c>
      <c r="BE17" s="9">
        <v>752930835.96999979</v>
      </c>
      <c r="BF17" s="9"/>
      <c r="BG17" s="9"/>
      <c r="BH17" s="9"/>
      <c r="BI17" s="9"/>
      <c r="BJ17" s="9"/>
      <c r="BK17" s="9">
        <v>355311257.45999998</v>
      </c>
      <c r="BL17" s="9">
        <v>176694978.11000001</v>
      </c>
      <c r="BM17" s="9">
        <v>428561737.04000002</v>
      </c>
      <c r="BN17" s="9">
        <v>382440725.88999999</v>
      </c>
      <c r="BO17" s="9">
        <v>176244146.51999998</v>
      </c>
      <c r="BP17" s="9">
        <v>550647646.88000011</v>
      </c>
      <c r="BQ17" s="9">
        <v>292353508.31999969</v>
      </c>
      <c r="BR17" s="9">
        <v>275810900.79000044</v>
      </c>
      <c r="BS17" s="9">
        <v>184911165.17999983</v>
      </c>
      <c r="BT17" s="9">
        <v>585271101.92000008</v>
      </c>
      <c r="BU17" s="9">
        <v>418111960.3499999</v>
      </c>
      <c r="BV17" s="9">
        <v>734986221.42000008</v>
      </c>
      <c r="BW17" s="9"/>
      <c r="BX17" s="9"/>
      <c r="BY17" s="9"/>
      <c r="BZ17" s="9"/>
      <c r="CA17" s="9"/>
      <c r="CB17" s="9">
        <v>348544164.63999999</v>
      </c>
      <c r="CC17" s="9">
        <v>81016928.550000012</v>
      </c>
    </row>
    <row r="18" spans="1:97" x14ac:dyDescent="0.25">
      <c r="A18" s="30">
        <v>10</v>
      </c>
      <c r="B18" s="1"/>
      <c r="C18" s="28" t="s">
        <v>96</v>
      </c>
      <c r="D18" s="44" t="s">
        <v>72</v>
      </c>
      <c r="E18" s="5" t="s">
        <v>69</v>
      </c>
      <c r="F18" s="28"/>
      <c r="G18" s="1" t="s">
        <v>38</v>
      </c>
      <c r="H18" s="1" t="s">
        <v>32</v>
      </c>
      <c r="I18" s="20" t="s">
        <v>21</v>
      </c>
      <c r="J18" s="21">
        <v>43101</v>
      </c>
      <c r="K18" s="18" t="s">
        <v>123</v>
      </c>
      <c r="L18" s="13">
        <v>2685525.49</v>
      </c>
      <c r="M18" s="13">
        <v>8470135.6099999994</v>
      </c>
      <c r="N18" s="13">
        <v>35951312.990000002</v>
      </c>
      <c r="O18" s="13">
        <v>11230359.549999997</v>
      </c>
      <c r="P18" s="13">
        <v>168255239.51999998</v>
      </c>
      <c r="Q18" s="13">
        <v>101105899.65000001</v>
      </c>
      <c r="R18" s="13">
        <v>10805344.029999971</v>
      </c>
      <c r="S18" s="13">
        <v>31720142.970000029</v>
      </c>
      <c r="T18" s="13">
        <v>221981954.09999996</v>
      </c>
      <c r="U18" s="13">
        <v>68737380.389999986</v>
      </c>
      <c r="V18" s="13">
        <v>39612249.390000105</v>
      </c>
      <c r="W18" s="13">
        <v>2939889635.75</v>
      </c>
      <c r="X18" s="13"/>
      <c r="Y18" s="13"/>
      <c r="Z18" s="13"/>
      <c r="AA18" s="13"/>
      <c r="AB18" s="13"/>
      <c r="AC18" s="13">
        <v>9220218.6300000008</v>
      </c>
      <c r="AD18" s="13">
        <v>34478765.629999995</v>
      </c>
      <c r="AE18" s="13">
        <v>233432631.79000002</v>
      </c>
      <c r="AF18" s="13">
        <v>27824134.769999981</v>
      </c>
      <c r="AG18" s="13">
        <v>237617364.53000003</v>
      </c>
      <c r="AH18" s="13">
        <v>47216911.370000005</v>
      </c>
      <c r="AI18" s="13">
        <v>58986397.789999962</v>
      </c>
      <c r="AJ18" s="13">
        <v>144002609.58000004</v>
      </c>
      <c r="AK18" s="13">
        <v>105633452.13</v>
      </c>
      <c r="AL18" s="13">
        <v>51689942.99000001</v>
      </c>
      <c r="AM18" s="13">
        <v>147298486.22000003</v>
      </c>
      <c r="AN18" s="13">
        <v>229684870.73000002</v>
      </c>
      <c r="AO18" s="13"/>
      <c r="AP18" s="9"/>
      <c r="AQ18" s="9"/>
      <c r="AR18" s="9"/>
      <c r="AS18" s="9"/>
      <c r="AT18" s="9">
        <v>12759487.130000001</v>
      </c>
      <c r="AU18" s="9">
        <v>50751030.339999996</v>
      </c>
      <c r="AV18" s="9">
        <v>172798642.31999999</v>
      </c>
      <c r="AW18" s="9">
        <v>5992543.6800000072</v>
      </c>
      <c r="AX18" s="9">
        <v>10820330.629999995</v>
      </c>
      <c r="AY18" s="9">
        <v>16431472.409999996</v>
      </c>
      <c r="AZ18" s="9">
        <v>20338568.139999986</v>
      </c>
      <c r="BA18" s="9">
        <v>17683534.730000019</v>
      </c>
      <c r="BB18" s="9">
        <v>265684591.21000004</v>
      </c>
      <c r="BC18" s="9">
        <v>64533735.579999924</v>
      </c>
      <c r="BD18" s="9">
        <v>307757524.98000002</v>
      </c>
      <c r="BE18" s="9">
        <v>472227523.55000007</v>
      </c>
      <c r="BF18" s="9"/>
      <c r="BG18" s="9"/>
      <c r="BH18" s="9"/>
      <c r="BI18" s="9"/>
      <c r="BJ18" s="9"/>
      <c r="BK18" s="9">
        <v>2704067.3</v>
      </c>
      <c r="BL18" s="9">
        <v>11406574.379999999</v>
      </c>
      <c r="BM18" s="9">
        <v>128346943.63</v>
      </c>
      <c r="BN18" s="9">
        <v>20427030.969999999</v>
      </c>
      <c r="BO18" s="9">
        <v>23180994.719999999</v>
      </c>
      <c r="BP18" s="9">
        <v>61566035.110000014</v>
      </c>
      <c r="BQ18" s="9">
        <v>114806075.08999997</v>
      </c>
      <c r="BR18" s="9">
        <v>68370419.569999993</v>
      </c>
      <c r="BS18" s="9">
        <v>49216695.450000048</v>
      </c>
      <c r="BT18" s="9">
        <v>103629055.76999998</v>
      </c>
      <c r="BU18" s="9">
        <v>59112812.370000005</v>
      </c>
      <c r="BV18" s="9">
        <v>303897181.87</v>
      </c>
      <c r="BW18" s="9"/>
      <c r="BX18" s="9"/>
      <c r="BY18" s="9"/>
      <c r="BZ18" s="9"/>
      <c r="CA18" s="9"/>
      <c r="CB18" s="9">
        <v>4393928.7</v>
      </c>
      <c r="CC18" s="9">
        <v>29726090.59</v>
      </c>
    </row>
    <row r="19" spans="1:97" x14ac:dyDescent="0.25">
      <c r="A19" s="16">
        <v>11</v>
      </c>
      <c r="B19" s="1"/>
      <c r="C19" s="1"/>
      <c r="D19" s="22" t="s">
        <v>59</v>
      </c>
      <c r="E19" s="1"/>
      <c r="F19" s="47"/>
      <c r="G19" s="1" t="s">
        <v>23</v>
      </c>
      <c r="H19" s="1"/>
      <c r="I19" s="23" t="s">
        <v>21</v>
      </c>
      <c r="J19" s="1"/>
      <c r="K19" s="18" t="s">
        <v>123</v>
      </c>
      <c r="X19" s="10"/>
      <c r="Y19" s="10"/>
      <c r="Z19" s="10"/>
      <c r="AA19" s="10"/>
      <c r="AB19" s="11"/>
    </row>
    <row r="20" spans="1:97" x14ac:dyDescent="0.25">
      <c r="A20" s="30">
        <v>12</v>
      </c>
      <c r="B20" s="1"/>
      <c r="C20" s="1"/>
      <c r="D20" s="19" t="s">
        <v>57</v>
      </c>
      <c r="E20" s="28" t="s">
        <v>107</v>
      </c>
      <c r="F20" s="18"/>
      <c r="G20" s="1" t="s">
        <v>33</v>
      </c>
      <c r="H20" s="28" t="s">
        <v>106</v>
      </c>
      <c r="I20" s="17" t="s">
        <v>26</v>
      </c>
      <c r="J20" s="1"/>
      <c r="K20" s="18" t="s">
        <v>123</v>
      </c>
      <c r="X20" s="33">
        <f>X25/AVERAGE(X22:X23)/1000</f>
        <v>534.09500318945345</v>
      </c>
      <c r="Y20" s="33">
        <f>Y25/AVERAGE(Y22:Y23)/1000</f>
        <v>575.84807900829344</v>
      </c>
      <c r="Z20" s="33">
        <f>Z25/AVERAGE(Z22:Z23)/1000</f>
        <v>895.27071221271535</v>
      </c>
      <c r="AA20" s="33">
        <f>AA25/AVERAGE(AA22:AA23)/1000</f>
        <v>942.45713317136563</v>
      </c>
      <c r="AB20" s="11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>
        <f>AO25/AVERAGE(AO22:AO23)/1000</f>
        <v>553.11568747563638</v>
      </c>
      <c r="AP20" s="33">
        <f>AP25/AVERAGE(AP22:AP23)/1000</f>
        <v>580.1155596635549</v>
      </c>
      <c r="AQ20" s="33">
        <f>AQ25/AVERAGE(AQ22:AQ23)/1000</f>
        <v>861.06119352385474</v>
      </c>
      <c r="AR20" s="33">
        <f>AR25/AVERAGE(AR22:AR23)/1000</f>
        <v>793.1390568718208</v>
      </c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>
        <f>BF25/AVERAGE(BF22:BF23)/1000</f>
        <v>600.6722204869086</v>
      </c>
      <c r="BG20" s="33">
        <f>BG25/AVERAGE(BG22:BG23)/1000</f>
        <v>303.1751973441535</v>
      </c>
      <c r="BH20" s="33">
        <f>BH25/AVERAGE(BH22:BH23)/1000</f>
        <v>764.81026013660801</v>
      </c>
      <c r="BI20" s="33">
        <f>BI25/AVERAGE(BI22:BI23)/1000</f>
        <v>844.0361864896073</v>
      </c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>
        <f>BW25/AVERAGE(BW22:BW23)/1000</f>
        <v>511.40866119243123</v>
      </c>
      <c r="BX20" s="33">
        <f>BX25/AVERAGE(BX22:BX23)/1000</f>
        <v>474.86481555629069</v>
      </c>
      <c r="BY20" s="33">
        <f>BY25/AVERAGE(BY22:BY23)/1000</f>
        <v>805.34115172502231</v>
      </c>
      <c r="BZ20" s="33">
        <f>BZ25/AVERAGE(BZ22:BZ23)/1000</f>
        <v>735.76388127469943</v>
      </c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>
        <f>CN25/AVERAGE(CN22:CN23)/1000</f>
        <v>559.8164990998248</v>
      </c>
      <c r="CO20" s="33">
        <f>CO25/AVERAGE(CO22:CO23)/1000</f>
        <v>579.3569149637442</v>
      </c>
      <c r="CP20" s="33"/>
      <c r="CQ20" s="33"/>
    </row>
    <row r="21" spans="1:97" x14ac:dyDescent="0.25">
      <c r="A21" s="30">
        <v>13</v>
      </c>
      <c r="B21" s="1"/>
      <c r="C21" s="1"/>
      <c r="D21" s="19" t="s">
        <v>58</v>
      </c>
      <c r="E21" s="28" t="s">
        <v>107</v>
      </c>
      <c r="F21" s="18"/>
      <c r="G21" s="1" t="s">
        <v>33</v>
      </c>
      <c r="H21" s="28" t="s">
        <v>106</v>
      </c>
      <c r="I21" s="17" t="s">
        <v>26</v>
      </c>
      <c r="J21" s="1"/>
      <c r="K21" s="18" t="s">
        <v>123</v>
      </c>
      <c r="X21" s="33">
        <f>X26/X24/1000</f>
        <v>139.19693470413139</v>
      </c>
      <c r="Y21" s="33">
        <f>Y26/Y24/1000</f>
        <v>265.26025185663542</v>
      </c>
      <c r="Z21" s="33">
        <f>Z26/Z24/1000</f>
        <v>277.62163969712111</v>
      </c>
      <c r="AA21" s="33">
        <f>AA26/AA24/1000</f>
        <v>280.11403471593428</v>
      </c>
      <c r="AB21" s="11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>
        <f>AO26/AO24/1000</f>
        <v>144.20539482352942</v>
      </c>
      <c r="AP21" s="33">
        <f>AP26/AP24/1000</f>
        <v>270.20415463859177</v>
      </c>
      <c r="AQ21" s="33">
        <f>AQ26/AQ24/1000</f>
        <v>280.62219145273559</v>
      </c>
      <c r="AR21" s="33">
        <f>AR26/AR24/1000</f>
        <v>231.51153945190362</v>
      </c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>
        <f>BF26/BF24/1000</f>
        <v>184.49118030412745</v>
      </c>
      <c r="BG21" s="33">
        <f>BG26/BG24/1000</f>
        <v>127.49127332005074</v>
      </c>
      <c r="BH21" s="33">
        <f>BH26/BH24/1000</f>
        <v>353.00881710728135</v>
      </c>
      <c r="BI21" s="33">
        <f>BI26/BI24/1000</f>
        <v>375.07648114901258</v>
      </c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>
        <f>BW26/BW24/1000</f>
        <v>167.12667837938562</v>
      </c>
      <c r="BX21" s="33">
        <f>BX26/BX24/1000</f>
        <v>135.43921602817835</v>
      </c>
      <c r="BY21" s="33">
        <f>BY26/BY24/1000</f>
        <v>412.83477871534353</v>
      </c>
      <c r="BZ21" s="33">
        <f>BZ26/BZ24/1000</f>
        <v>332.56993265481793</v>
      </c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>
        <f>CN26/CN24/1000</f>
        <v>206.2569386038688</v>
      </c>
      <c r="CO21" s="33">
        <f>CO26/CO24/1000</f>
        <v>160.21310998513499</v>
      </c>
      <c r="CP21" s="33"/>
      <c r="CQ21" s="33"/>
    </row>
    <row r="22" spans="1:97" x14ac:dyDescent="0.25">
      <c r="A22" s="63"/>
      <c r="B22" s="1"/>
      <c r="C22" s="1"/>
      <c r="D22" s="18" t="s">
        <v>47</v>
      </c>
      <c r="E22" s="5" t="s">
        <v>48</v>
      </c>
      <c r="F22" s="18" t="s">
        <v>124</v>
      </c>
      <c r="G22" s="1" t="s">
        <v>30</v>
      </c>
      <c r="H22" s="1" t="s">
        <v>49</v>
      </c>
      <c r="I22" s="23" t="s">
        <v>21</v>
      </c>
      <c r="J22" s="21">
        <v>43101</v>
      </c>
      <c r="K22" s="18" t="s">
        <v>123</v>
      </c>
      <c r="L22" s="64">
        <v>42.85</v>
      </c>
      <c r="M22" s="64">
        <v>42.797499999999999</v>
      </c>
      <c r="N22" s="64">
        <v>42.752499999999998</v>
      </c>
      <c r="O22" s="64">
        <v>42.765000000000001</v>
      </c>
      <c r="P22" s="64">
        <v>44.352499999999992</v>
      </c>
      <c r="Q22" s="64">
        <v>46.037499999999994</v>
      </c>
      <c r="R22" s="64">
        <v>46.23</v>
      </c>
      <c r="S22" s="64">
        <v>46.195000000000007</v>
      </c>
      <c r="T22" s="64">
        <v>45.8675</v>
      </c>
      <c r="U22" s="64">
        <v>45.96</v>
      </c>
      <c r="V22" s="64">
        <v>45.965000000000003</v>
      </c>
      <c r="W22" s="64">
        <v>46.024999999999999</v>
      </c>
      <c r="X22" s="4">
        <f>AVERAGE(L22:N22)</f>
        <v>42.800000000000004</v>
      </c>
      <c r="Y22" s="4">
        <f>AVERAGE(O22:Q22)</f>
        <v>44.384999999999991</v>
      </c>
      <c r="Z22" s="4">
        <f>AVERAGE(R22:T22)</f>
        <v>46.097500000000004</v>
      </c>
      <c r="AA22" s="4">
        <f>AVERAGE(U22:W22)</f>
        <v>45.983333333333341</v>
      </c>
      <c r="AB22" s="11"/>
      <c r="AC22" s="64">
        <v>46.557499999999997</v>
      </c>
      <c r="AD22" s="64">
        <v>46.7425</v>
      </c>
      <c r="AE22" s="64">
        <v>46.72</v>
      </c>
      <c r="AF22" s="64">
        <v>46.739999999999995</v>
      </c>
      <c r="AG22" s="64">
        <v>46.892499999999998</v>
      </c>
      <c r="AH22" s="64">
        <v>47.192500000000003</v>
      </c>
      <c r="AI22" s="64">
        <v>47.39</v>
      </c>
      <c r="AJ22" s="64">
        <v>47.412500000000001</v>
      </c>
      <c r="AK22" s="64">
        <v>47.402500000000003</v>
      </c>
      <c r="AL22" s="64">
        <v>47.497500000000002</v>
      </c>
      <c r="AM22" s="64">
        <v>47.427500000000002</v>
      </c>
      <c r="AN22" s="64">
        <v>47.385000000000005</v>
      </c>
      <c r="AO22" s="4">
        <f>AVERAGE(AC22:AE22)</f>
        <v>46.673333333333325</v>
      </c>
      <c r="AP22" s="4">
        <f>AVERAGE(AF22:AH22)</f>
        <v>46.941666666666663</v>
      </c>
      <c r="AQ22" s="4">
        <f>AVERAGE(AI22:AK22)</f>
        <v>47.401666666666671</v>
      </c>
      <c r="AR22" s="4">
        <f>AVERAGE(AL22:AN22)</f>
        <v>47.436666666666667</v>
      </c>
      <c r="AS22" s="33"/>
      <c r="AT22" s="64">
        <v>47.424999999999997</v>
      </c>
      <c r="AU22" s="64">
        <v>47.447500000000005</v>
      </c>
      <c r="AV22" s="64">
        <v>47.435000000000002</v>
      </c>
      <c r="AW22" s="64">
        <v>47.290000000000006</v>
      </c>
      <c r="AX22" s="64">
        <v>47.137500000000003</v>
      </c>
      <c r="AY22" s="64">
        <v>47.4375</v>
      </c>
      <c r="AZ22" s="64">
        <v>47.685000000000002</v>
      </c>
      <c r="BA22" s="64">
        <v>48.147500000000001</v>
      </c>
      <c r="BB22" s="64">
        <v>48.355000000000004</v>
      </c>
      <c r="BC22" s="64">
        <v>48.33</v>
      </c>
      <c r="BD22" s="64">
        <v>48.410000000000004</v>
      </c>
      <c r="BE22" s="64">
        <v>48.484999999999999</v>
      </c>
      <c r="BF22" s="4">
        <f>AVERAGE(AT22:AV22)</f>
        <v>47.435833333333335</v>
      </c>
      <c r="BG22" s="4">
        <f>AVERAGE(AW22:AY22)</f>
        <v>47.288333333333334</v>
      </c>
      <c r="BH22" s="4">
        <f>AVERAGE(AZ22:BB22)</f>
        <v>48.0625</v>
      </c>
      <c r="BI22" s="4">
        <f>AVERAGE(BC22:BE22)</f>
        <v>48.408333333333339</v>
      </c>
      <c r="BJ22" s="64"/>
      <c r="BK22" s="64">
        <v>48.522500000000001</v>
      </c>
      <c r="BL22" s="64">
        <v>48.715000000000003</v>
      </c>
      <c r="BM22" s="64">
        <v>49.077500000000001</v>
      </c>
      <c r="BN22" s="64">
        <v>49.577500000000001</v>
      </c>
      <c r="BO22" s="64">
        <v>49.754999999999995</v>
      </c>
      <c r="BP22" s="64">
        <v>50.212499999999999</v>
      </c>
      <c r="BQ22" s="64">
        <v>50.392499999999998</v>
      </c>
      <c r="BR22" s="64">
        <v>50.982500000000002</v>
      </c>
      <c r="BS22" s="64">
        <v>51.147500000000001</v>
      </c>
      <c r="BT22" s="64">
        <v>51.094999999999999</v>
      </c>
      <c r="BU22" s="64">
        <v>51.685000000000002</v>
      </c>
      <c r="BV22" s="64">
        <v>52.304999999999993</v>
      </c>
      <c r="BW22" s="4">
        <f>AVERAGE(BK22:BM22)</f>
        <v>48.771666666666668</v>
      </c>
      <c r="BX22" s="4">
        <f>AVERAGE(BN22:BP22)</f>
        <v>49.848333333333329</v>
      </c>
      <c r="BY22" s="4">
        <f>AVERAGE(BQ22:BS22)</f>
        <v>50.840833333333336</v>
      </c>
      <c r="BZ22" s="4">
        <f>AVERAGE(BT22:BV22)</f>
        <v>51.694999999999993</v>
      </c>
      <c r="CA22" s="64"/>
      <c r="CB22" s="64">
        <v>52.967500000000001</v>
      </c>
      <c r="CC22" s="64">
        <v>53.064999999999998</v>
      </c>
      <c r="CD22" s="64">
        <v>53.06</v>
      </c>
      <c r="CE22" s="64">
        <v>53.054999999999993</v>
      </c>
      <c r="CF22" s="64">
        <v>52.95</v>
      </c>
      <c r="CG22" s="64">
        <v>52.967500000000001</v>
      </c>
      <c r="CH22" s="64">
        <v>52.924999999999997</v>
      </c>
      <c r="CI22" s="64">
        <v>52.954999999999998</v>
      </c>
      <c r="CJ22" s="64">
        <v>53.03</v>
      </c>
      <c r="CK22" s="64">
        <v>52.999999999999993</v>
      </c>
      <c r="CL22" s="64">
        <v>53.075000000000003</v>
      </c>
      <c r="CM22" s="4"/>
      <c r="CN22" s="4">
        <f>AVERAGE(CB22:CD22)</f>
        <v>53.030833333333334</v>
      </c>
      <c r="CO22" s="4">
        <f>AVERAGE(CE22:CG22)</f>
        <v>52.990833333333335</v>
      </c>
      <c r="CP22" s="4"/>
      <c r="CQ22" s="4"/>
      <c r="CR22" s="64"/>
      <c r="CS22" s="64"/>
    </row>
    <row r="23" spans="1:97" x14ac:dyDescent="0.25">
      <c r="A23" s="63"/>
      <c r="B23" s="1"/>
      <c r="C23" s="1"/>
      <c r="D23" s="18" t="s">
        <v>50</v>
      </c>
      <c r="E23" s="5" t="s">
        <v>51</v>
      </c>
      <c r="F23" s="18" t="s">
        <v>124</v>
      </c>
      <c r="G23" s="1" t="s">
        <v>30</v>
      </c>
      <c r="H23" s="1" t="s">
        <v>49</v>
      </c>
      <c r="I23" s="23" t="s">
        <v>21</v>
      </c>
      <c r="J23" s="21">
        <v>43101</v>
      </c>
      <c r="K23" s="18" t="s">
        <v>123</v>
      </c>
      <c r="L23" s="64">
        <v>39.549999999999997</v>
      </c>
      <c r="M23" s="64">
        <v>39.4925</v>
      </c>
      <c r="N23" s="64">
        <v>39.465000000000003</v>
      </c>
      <c r="O23" s="64">
        <v>39.497500000000002</v>
      </c>
      <c r="P23" s="64">
        <v>40.685000000000002</v>
      </c>
      <c r="Q23" s="64">
        <v>42.585000000000001</v>
      </c>
      <c r="R23" s="64">
        <v>42.8125</v>
      </c>
      <c r="S23" s="64">
        <v>42.627499999999998</v>
      </c>
      <c r="T23" s="64">
        <v>42.444999999999993</v>
      </c>
      <c r="U23" s="64">
        <v>42.502499999999998</v>
      </c>
      <c r="V23" s="64">
        <v>42.5</v>
      </c>
      <c r="W23" s="64">
        <v>42.532499999999999</v>
      </c>
      <c r="X23" s="4">
        <f t="shared" ref="X23:X24" si="3">AVERAGE(L23:N23)</f>
        <v>39.502499999999998</v>
      </c>
      <c r="Y23" s="4">
        <f t="shared" ref="Y23:Y24" si="4">AVERAGE(O23:Q23)</f>
        <v>40.922500000000007</v>
      </c>
      <c r="Z23" s="4">
        <f t="shared" ref="Z23:Z24" si="5">AVERAGE(R23:T23)</f>
        <v>42.62833333333333</v>
      </c>
      <c r="AA23" s="4">
        <f t="shared" ref="AA23:AA24" si="6">AVERAGE(U23:W23)</f>
        <v>42.511666666666663</v>
      </c>
      <c r="AB23" s="11"/>
      <c r="AC23" s="64">
        <v>43.085000000000001</v>
      </c>
      <c r="AD23" s="64">
        <v>43.14</v>
      </c>
      <c r="AE23" s="64">
        <v>43.11</v>
      </c>
      <c r="AF23" s="64">
        <v>43.112499999999997</v>
      </c>
      <c r="AG23" s="64">
        <v>43.160000000000004</v>
      </c>
      <c r="AH23" s="64">
        <v>43.377499999999998</v>
      </c>
      <c r="AI23" s="64">
        <v>43.53</v>
      </c>
      <c r="AJ23" s="64">
        <v>43.555</v>
      </c>
      <c r="AK23" s="64">
        <v>43.557500000000005</v>
      </c>
      <c r="AL23" s="64">
        <v>43.68249999999999</v>
      </c>
      <c r="AM23" s="64">
        <v>43.580000000000005</v>
      </c>
      <c r="AN23" s="64">
        <v>43.190000000000005</v>
      </c>
      <c r="AO23" s="4">
        <f t="shared" ref="AO23:AO24" si="7">AVERAGE(AC23:AE23)</f>
        <v>43.111666666666657</v>
      </c>
      <c r="AP23" s="4">
        <f t="shared" ref="AP23:AP24" si="8">AVERAGE(AF23:AH23)</f>
        <v>43.216666666666669</v>
      </c>
      <c r="AQ23" s="4">
        <f t="shared" ref="AQ23:AQ24" si="9">AVERAGE(AI23:AK23)</f>
        <v>43.547500000000007</v>
      </c>
      <c r="AR23" s="4">
        <f t="shared" ref="AR23:AR24" si="10">AVERAGE(AL23:AN23)</f>
        <v>43.48416666666666</v>
      </c>
      <c r="AS23" s="33"/>
      <c r="AT23" s="64">
        <v>43.265000000000001</v>
      </c>
      <c r="AU23" s="64">
        <v>43.282499999999999</v>
      </c>
      <c r="AV23" s="64">
        <v>43.27</v>
      </c>
      <c r="AW23" s="64">
        <v>43.16</v>
      </c>
      <c r="AX23" s="64">
        <v>43.012499999999996</v>
      </c>
      <c r="AY23" s="64">
        <v>43.0625</v>
      </c>
      <c r="AZ23" s="64">
        <v>43.475000000000001</v>
      </c>
      <c r="BA23" s="64">
        <v>43.724999999999994</v>
      </c>
      <c r="BB23" s="64">
        <v>43.852499999999999</v>
      </c>
      <c r="BC23" s="64">
        <v>43.89</v>
      </c>
      <c r="BD23" s="64">
        <v>43.907499999999999</v>
      </c>
      <c r="BE23" s="64">
        <v>44.097500000000004</v>
      </c>
      <c r="BF23" s="4">
        <f t="shared" ref="BF23:BF24" si="11">AVERAGE(AT23:AV23)</f>
        <v>43.272500000000001</v>
      </c>
      <c r="BG23" s="4">
        <f t="shared" ref="BG23:BG24" si="12">AVERAGE(AW23:AY23)</f>
        <v>43.078333333333326</v>
      </c>
      <c r="BH23" s="4">
        <f t="shared" ref="BH23:BH24" si="13">AVERAGE(AZ23:BB23)</f>
        <v>43.684166666666663</v>
      </c>
      <c r="BI23" s="4">
        <f t="shared" ref="BI23:BI24" si="14">AVERAGE(BC23:BE23)</f>
        <v>43.965000000000003</v>
      </c>
      <c r="BJ23" s="64"/>
      <c r="BK23" s="64">
        <v>44.302500000000002</v>
      </c>
      <c r="BL23" s="64">
        <v>44.552500000000002</v>
      </c>
      <c r="BM23" s="64">
        <v>44.929999999999993</v>
      </c>
      <c r="BN23" s="64">
        <v>45.605000000000004</v>
      </c>
      <c r="BO23" s="64">
        <v>45.847499999999997</v>
      </c>
      <c r="BP23" s="64">
        <v>46.217499999999994</v>
      </c>
      <c r="BQ23" s="64">
        <v>46.332500000000003</v>
      </c>
      <c r="BR23" s="64">
        <v>46.769999999999996</v>
      </c>
      <c r="BS23" s="64">
        <v>46.762500000000003</v>
      </c>
      <c r="BT23" s="64">
        <v>46.824999999999996</v>
      </c>
      <c r="BU23" s="64">
        <v>47.390000000000008</v>
      </c>
      <c r="BV23" s="64">
        <v>48.024999999999999</v>
      </c>
      <c r="BW23" s="4">
        <f t="shared" ref="BW23:BW24" si="15">AVERAGE(BK23:BM23)</f>
        <v>44.594999999999999</v>
      </c>
      <c r="BX23" s="4">
        <f t="shared" ref="BX23:BX24" si="16">AVERAGE(BN23:BP23)</f>
        <v>45.889999999999993</v>
      </c>
      <c r="BY23" s="4">
        <f t="shared" ref="BY23:BY24" si="17">AVERAGE(BQ23:BS23)</f>
        <v>46.62166666666667</v>
      </c>
      <c r="BZ23" s="4">
        <f t="shared" ref="BZ23:BZ24" si="18">AVERAGE(BT23:BV23)</f>
        <v>47.413333333333334</v>
      </c>
      <c r="CA23" s="64"/>
      <c r="CB23" s="64">
        <v>48.355000000000004</v>
      </c>
      <c r="CC23" s="64">
        <v>48.344999999999999</v>
      </c>
      <c r="CD23" s="64">
        <v>48.315000000000005</v>
      </c>
      <c r="CE23" s="64">
        <v>48.195000000000007</v>
      </c>
      <c r="CF23" s="64">
        <v>48.122500000000002</v>
      </c>
      <c r="CG23" s="64">
        <v>48.109999999999992</v>
      </c>
      <c r="CH23" s="64">
        <v>48.057500000000005</v>
      </c>
      <c r="CI23" s="64">
        <v>48.134999999999998</v>
      </c>
      <c r="CJ23" s="64">
        <v>48.122500000000002</v>
      </c>
      <c r="CK23" s="64">
        <v>48.157499999999999</v>
      </c>
      <c r="CL23" s="64">
        <v>48.157499999999999</v>
      </c>
      <c r="CM23" s="4"/>
      <c r="CN23" s="4">
        <f t="shared" ref="CN23:CN24" si="19">AVERAGE(CB23:CD23)</f>
        <v>48.338333333333338</v>
      </c>
      <c r="CO23" s="4">
        <f t="shared" ref="CO23:CO24" si="20">AVERAGE(CE23:CG23)</f>
        <v>48.142500000000005</v>
      </c>
      <c r="CP23" s="4"/>
      <c r="CQ23" s="4"/>
      <c r="CR23" s="64"/>
      <c r="CS23" s="64"/>
    </row>
    <row r="24" spans="1:97" x14ac:dyDescent="0.25">
      <c r="A24" s="63"/>
      <c r="B24" s="1"/>
      <c r="C24" s="1"/>
      <c r="D24" s="18" t="s">
        <v>52</v>
      </c>
      <c r="E24" s="5" t="s">
        <v>53</v>
      </c>
      <c r="F24" s="18" t="s">
        <v>124</v>
      </c>
      <c r="G24" s="1" t="s">
        <v>30</v>
      </c>
      <c r="H24" s="1" t="s">
        <v>49</v>
      </c>
      <c r="I24" s="23" t="s">
        <v>21</v>
      </c>
      <c r="J24" s="21">
        <v>43101</v>
      </c>
      <c r="K24" s="18" t="s">
        <v>123</v>
      </c>
      <c r="L24" s="64">
        <v>39.53</v>
      </c>
      <c r="M24" s="64">
        <v>39.482500000000002</v>
      </c>
      <c r="N24" s="64">
        <v>39.409999999999997</v>
      </c>
      <c r="O24" s="64">
        <v>39.572499999999998</v>
      </c>
      <c r="P24" s="64">
        <v>41.204999999999998</v>
      </c>
      <c r="Q24" s="64">
        <v>43.102500000000006</v>
      </c>
      <c r="R24" s="64">
        <v>43.34</v>
      </c>
      <c r="S24" s="64">
        <v>43.605000000000004</v>
      </c>
      <c r="T24" s="64">
        <v>43.14</v>
      </c>
      <c r="U24" s="64">
        <v>43.069999999999993</v>
      </c>
      <c r="V24" s="64">
        <v>43.177500000000002</v>
      </c>
      <c r="W24" s="64">
        <v>43.519999999999996</v>
      </c>
      <c r="X24" s="4">
        <f t="shared" si="3"/>
        <v>39.474166666666669</v>
      </c>
      <c r="Y24" s="4">
        <f t="shared" si="4"/>
        <v>41.293333333333337</v>
      </c>
      <c r="Z24" s="4">
        <f t="shared" si="5"/>
        <v>43.361666666666672</v>
      </c>
      <c r="AA24" s="4">
        <f t="shared" si="6"/>
        <v>43.255833333333328</v>
      </c>
      <c r="AB24" s="11"/>
      <c r="AC24" s="64">
        <v>44.412500000000001</v>
      </c>
      <c r="AD24" s="64">
        <v>44.269999999999996</v>
      </c>
      <c r="AE24" s="64">
        <v>44.129999999999995</v>
      </c>
      <c r="AF24" s="64">
        <v>43.992500000000007</v>
      </c>
      <c r="AG24" s="64">
        <v>44.102500000000006</v>
      </c>
      <c r="AH24" s="64">
        <v>44.407499999999999</v>
      </c>
      <c r="AI24" s="64">
        <v>44.472499999999997</v>
      </c>
      <c r="AJ24" s="64">
        <v>44.575000000000003</v>
      </c>
      <c r="AK24" s="64">
        <v>44.5625</v>
      </c>
      <c r="AL24" s="64">
        <v>44.967500000000001</v>
      </c>
      <c r="AM24" s="64">
        <v>45.267499999999998</v>
      </c>
      <c r="AN24" s="64">
        <v>45.69</v>
      </c>
      <c r="AO24" s="4">
        <f t="shared" si="7"/>
        <v>44.270833333333336</v>
      </c>
      <c r="AP24" s="4">
        <f t="shared" si="8"/>
        <v>44.167499999999997</v>
      </c>
      <c r="AQ24" s="4">
        <f t="shared" si="9"/>
        <v>44.536666666666669</v>
      </c>
      <c r="AR24" s="4">
        <f t="shared" si="10"/>
        <v>45.308333333333337</v>
      </c>
      <c r="AS24" s="33"/>
      <c r="AT24" s="64">
        <v>45.8675</v>
      </c>
      <c r="AU24" s="64">
        <v>46.072500000000005</v>
      </c>
      <c r="AV24" s="64">
        <v>46.160000000000004</v>
      </c>
      <c r="AW24" s="64">
        <v>46.137500000000003</v>
      </c>
      <c r="AX24" s="64">
        <v>45.994999999999997</v>
      </c>
      <c r="AY24" s="64">
        <v>45.892499999999998</v>
      </c>
      <c r="AZ24" s="64">
        <v>46.067500000000003</v>
      </c>
      <c r="BA24" s="64">
        <v>46.157500000000006</v>
      </c>
      <c r="BB24" s="64">
        <v>46.3125</v>
      </c>
      <c r="BC24" s="64">
        <v>46.277499999999996</v>
      </c>
      <c r="BD24" s="64">
        <v>46.405000000000001</v>
      </c>
      <c r="BE24" s="64">
        <v>46.567499999999995</v>
      </c>
      <c r="BF24" s="4">
        <f t="shared" si="11"/>
        <v>46.033333333333331</v>
      </c>
      <c r="BG24" s="4">
        <f t="shared" si="12"/>
        <v>46.008333333333326</v>
      </c>
      <c r="BH24" s="4">
        <f t="shared" si="13"/>
        <v>46.179166666666674</v>
      </c>
      <c r="BI24" s="4">
        <f t="shared" si="14"/>
        <v>46.416666666666664</v>
      </c>
      <c r="BJ24" s="64"/>
      <c r="BK24" s="64">
        <v>46.722499999999997</v>
      </c>
      <c r="BL24" s="64">
        <v>46.932499999999997</v>
      </c>
      <c r="BM24" s="64">
        <v>47.217500000000001</v>
      </c>
      <c r="BN24" s="64">
        <v>47.69250000000001</v>
      </c>
      <c r="BO24" s="64">
        <v>47.712500000000006</v>
      </c>
      <c r="BP24" s="64">
        <v>47.967499999999994</v>
      </c>
      <c r="BQ24" s="64">
        <v>48.13</v>
      </c>
      <c r="BR24" s="64">
        <v>48.532499999999999</v>
      </c>
      <c r="BS24" s="64">
        <v>48.512500000000003</v>
      </c>
      <c r="BT24" s="64">
        <v>48.5625</v>
      </c>
      <c r="BU24" s="64">
        <v>49.282500000000006</v>
      </c>
      <c r="BV24" s="64">
        <v>50.272499999999994</v>
      </c>
      <c r="BW24" s="4">
        <f t="shared" si="15"/>
        <v>46.957500000000003</v>
      </c>
      <c r="BX24" s="4">
        <f t="shared" si="16"/>
        <v>47.790833333333332</v>
      </c>
      <c r="BY24" s="4">
        <f t="shared" si="17"/>
        <v>48.391666666666673</v>
      </c>
      <c r="BZ24" s="4">
        <f t="shared" si="18"/>
        <v>49.372500000000002</v>
      </c>
      <c r="CA24" s="64"/>
      <c r="CB24" s="64">
        <v>51.019999999999996</v>
      </c>
      <c r="CC24" s="64">
        <v>51.61</v>
      </c>
      <c r="CD24" s="64">
        <v>51.940000000000005</v>
      </c>
      <c r="CE24" s="64">
        <v>51.877499999999998</v>
      </c>
      <c r="CF24" s="64">
        <v>52.17</v>
      </c>
      <c r="CG24" s="64">
        <v>52.36</v>
      </c>
      <c r="CH24" s="64">
        <v>51.827499999999993</v>
      </c>
      <c r="CI24" s="64">
        <v>52.244999999999997</v>
      </c>
      <c r="CJ24" s="64">
        <v>52.837499999999991</v>
      </c>
      <c r="CK24" s="64">
        <v>53.414999999999999</v>
      </c>
      <c r="CL24" s="64">
        <v>53.772499999999994</v>
      </c>
      <c r="CM24" s="4"/>
      <c r="CN24" s="4">
        <f t="shared" si="19"/>
        <v>51.523333333333333</v>
      </c>
      <c r="CO24" s="4">
        <f t="shared" si="20"/>
        <v>52.135833333333331</v>
      </c>
      <c r="CP24" s="4"/>
      <c r="CQ24" s="4"/>
      <c r="CR24" s="64"/>
      <c r="CS24" s="64"/>
    </row>
    <row r="25" spans="1:97" ht="45" x14ac:dyDescent="0.25">
      <c r="A25" s="1"/>
      <c r="B25" s="1"/>
      <c r="C25" s="1"/>
      <c r="D25" s="24" t="s">
        <v>54</v>
      </c>
      <c r="E25" s="25" t="s">
        <v>55</v>
      </c>
      <c r="F25" s="28" t="s">
        <v>122</v>
      </c>
      <c r="G25" s="1" t="s">
        <v>38</v>
      </c>
      <c r="H25" s="36" t="s">
        <v>113</v>
      </c>
      <c r="I25" s="17" t="s">
        <v>26</v>
      </c>
      <c r="J25" s="2">
        <v>43466</v>
      </c>
      <c r="K25" s="18" t="s">
        <v>123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59">
        <v>21978677</v>
      </c>
      <c r="Y25" s="59">
        <f>46540757-X25</f>
        <v>24562080</v>
      </c>
      <c r="Z25" s="59">
        <f>86257577-Y25-X25</f>
        <v>39716820</v>
      </c>
      <c r="AA25" s="59">
        <f>127958949-Z25-Y25-X25</f>
        <v>41701372</v>
      </c>
      <c r="AB25" s="59">
        <v>127958949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59">
        <v>24830746</v>
      </c>
      <c r="AP25" s="59">
        <f>50981872-AO25</f>
        <v>26151126</v>
      </c>
      <c r="AQ25" s="59">
        <f>90138271-AP25-AO25</f>
        <v>39156399</v>
      </c>
      <c r="AR25" s="59">
        <f>126194703-AQ25-AP25-AO25</f>
        <v>36056432</v>
      </c>
      <c r="AS25" s="59">
        <v>126194703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59">
        <v>27242988</v>
      </c>
      <c r="BG25" s="59">
        <f>40941454-BF25</f>
        <v>13698466</v>
      </c>
      <c r="BH25" s="59">
        <f>76025850-BG25-BF25</f>
        <v>35084396</v>
      </c>
      <c r="BI25" s="59">
        <f>115009068-BH25-BG25-BF25</f>
        <v>38983218</v>
      </c>
      <c r="BJ25" s="59">
        <v>115009068</v>
      </c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59">
        <v>23874261</v>
      </c>
      <c r="BX25" s="59">
        <f>46605644-BW25</f>
        <v>22731383</v>
      </c>
      <c r="BY25" s="59">
        <f>85850925-BX25-BW25</f>
        <v>39245281</v>
      </c>
      <c r="BZ25" s="59">
        <f>122311091-BY25-BX25-BW25</f>
        <v>36460166</v>
      </c>
      <c r="CA25" s="59">
        <v>122311091</v>
      </c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5"/>
      <c r="CN25" s="59">
        <v>28374066</v>
      </c>
      <c r="CO25" s="59">
        <f>57670214-CN25</f>
        <v>29296148</v>
      </c>
      <c r="CP25" s="15"/>
      <c r="CQ25" s="15"/>
      <c r="CR25" s="15"/>
    </row>
    <row r="26" spans="1:97" x14ac:dyDescent="0.25">
      <c r="A26" s="1"/>
      <c r="B26" s="1"/>
      <c r="C26" s="1"/>
      <c r="D26" s="1" t="s">
        <v>56</v>
      </c>
      <c r="E26" s="5" t="s">
        <v>55</v>
      </c>
      <c r="F26" s="28" t="s">
        <v>122</v>
      </c>
      <c r="G26" s="1" t="s">
        <v>38</v>
      </c>
      <c r="H26" s="28" t="s">
        <v>113</v>
      </c>
      <c r="I26" s="17" t="s">
        <v>26</v>
      </c>
      <c r="J26" s="2">
        <v>43466</v>
      </c>
      <c r="K26" s="18" t="s">
        <v>123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59">
        <v>5494683</v>
      </c>
      <c r="Y26" s="59">
        <f>16448163-X26</f>
        <v>10953480</v>
      </c>
      <c r="Z26" s="59">
        <f>28486300-Y26-X26</f>
        <v>12038137</v>
      </c>
      <c r="AA26" s="59">
        <f>40602866-Z26-Y26-X26</f>
        <v>12116566</v>
      </c>
      <c r="AB26" s="59">
        <v>40602866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59">
        <v>6384093</v>
      </c>
      <c r="AP26" s="59">
        <f>18318335-AO26</f>
        <v>11934242</v>
      </c>
      <c r="AQ26" s="59">
        <f>30816312-AP26-AO26</f>
        <v>12497977</v>
      </c>
      <c r="AR26" s="59">
        <f>41305714-AQ26-AP26-AO26</f>
        <v>10489402</v>
      </c>
      <c r="AS26" s="59">
        <v>41305714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59">
        <v>8492744</v>
      </c>
      <c r="BG26" s="59">
        <f>14358405-BF26</f>
        <v>5865661</v>
      </c>
      <c r="BH26" s="59">
        <f>30660058-BG26-BF26</f>
        <v>16301653</v>
      </c>
      <c r="BI26" s="59">
        <f>48069858-BH26-BG26-BF26</f>
        <v>17409800</v>
      </c>
      <c r="BJ26" s="59">
        <v>48069858</v>
      </c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59">
        <v>7847851</v>
      </c>
      <c r="BX26" s="59">
        <f>14320604-BW26</f>
        <v>6472753</v>
      </c>
      <c r="BY26" s="59">
        <f>34298367-BX26-BW26</f>
        <v>19977763</v>
      </c>
      <c r="BZ26" s="59">
        <f>50718176-BY26-BX26-BW26</f>
        <v>16419809</v>
      </c>
      <c r="CA26" s="59">
        <v>50718176</v>
      </c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5"/>
      <c r="CN26" s="59">
        <v>10627045</v>
      </c>
      <c r="CO26" s="59">
        <f>18979889-CN26</f>
        <v>8352844</v>
      </c>
      <c r="CP26" s="15"/>
      <c r="CQ26" s="15"/>
      <c r="CR26" s="15"/>
    </row>
    <row r="27" spans="1:97" x14ac:dyDescent="0.25">
      <c r="A27" s="30">
        <v>14</v>
      </c>
      <c r="B27" s="1"/>
      <c r="C27" s="1"/>
      <c r="D27" s="28" t="s">
        <v>60</v>
      </c>
      <c r="E27" s="5" t="s">
        <v>61</v>
      </c>
      <c r="F27" s="28" t="s">
        <v>119</v>
      </c>
      <c r="G27" s="1" t="s">
        <v>23</v>
      </c>
      <c r="H27" s="1" t="s">
        <v>41</v>
      </c>
      <c r="I27" s="20" t="s">
        <v>21</v>
      </c>
      <c r="J27" s="2">
        <v>43497</v>
      </c>
      <c r="K27" s="18" t="s">
        <v>123</v>
      </c>
      <c r="AC27" s="60"/>
      <c r="AD27" s="33">
        <v>87.214285714285708</v>
      </c>
      <c r="AE27" s="33">
        <v>98.161290322580641</v>
      </c>
      <c r="AF27" s="33">
        <v>107.2</v>
      </c>
      <c r="AG27" s="33">
        <v>100.16129032258064</v>
      </c>
      <c r="AH27" s="33">
        <v>100.23333333333333</v>
      </c>
      <c r="AI27" s="33">
        <v>99.533333333333331</v>
      </c>
      <c r="AJ27" s="33">
        <v>101.19354838709677</v>
      </c>
      <c r="AK27" s="33">
        <v>106.86666666666666</v>
      </c>
      <c r="AL27" s="33">
        <v>99.903225806451616</v>
      </c>
      <c r="AM27" s="33">
        <v>109.4</v>
      </c>
      <c r="AN27" s="33">
        <v>105.16129032258064</v>
      </c>
      <c r="AO27" s="33"/>
      <c r="AP27" s="33"/>
      <c r="AQ27" s="33"/>
      <c r="AR27" s="33"/>
      <c r="AS27" s="33"/>
      <c r="AT27" s="33">
        <v>94.58064516129032</v>
      </c>
      <c r="AU27" s="33">
        <v>105.25</v>
      </c>
      <c r="AV27" s="33">
        <v>134.29032258064515</v>
      </c>
      <c r="AW27" s="33">
        <v>49.233333333333334</v>
      </c>
      <c r="AX27" s="33">
        <v>83.225806451612897</v>
      </c>
      <c r="AY27" s="33">
        <v>115.2</v>
      </c>
      <c r="AZ27" s="33">
        <v>149.46666666666667</v>
      </c>
      <c r="BA27" s="33">
        <v>113.25806451612904</v>
      </c>
      <c r="BB27" s="33">
        <v>128.69999999999999</v>
      </c>
      <c r="BC27" s="33">
        <v>149.80645161290323</v>
      </c>
      <c r="BD27" s="33">
        <v>141.76666666666668</v>
      </c>
      <c r="BE27" s="33">
        <v>176.38709677419354</v>
      </c>
      <c r="BF27" s="33"/>
      <c r="BG27" s="33"/>
      <c r="BH27" s="33"/>
      <c r="BI27" s="33"/>
      <c r="BJ27" s="33"/>
      <c r="BK27" s="33">
        <v>149.12903225806451</v>
      </c>
      <c r="BL27" s="33">
        <v>171.39285714285714</v>
      </c>
      <c r="BM27" s="33">
        <v>193.2258064516129</v>
      </c>
      <c r="BN27" s="33">
        <v>199.43333333333334</v>
      </c>
      <c r="BO27" s="33">
        <v>203.45161290322579</v>
      </c>
      <c r="BP27" s="33">
        <v>201.4</v>
      </c>
      <c r="BQ27" s="33">
        <v>245.56666666666666</v>
      </c>
      <c r="BR27" s="33">
        <v>212.38709677419354</v>
      </c>
      <c r="BS27" s="33">
        <v>217.36666666666667</v>
      </c>
      <c r="BT27" s="33">
        <v>248.06451612903226</v>
      </c>
      <c r="BU27" s="33">
        <v>245.23333333333332</v>
      </c>
      <c r="BV27" s="33">
        <v>248.67741935483872</v>
      </c>
      <c r="BW27" s="33"/>
      <c r="BX27" s="33"/>
      <c r="BY27" s="33"/>
      <c r="BZ27" s="33"/>
      <c r="CA27" s="33"/>
      <c r="CB27" s="33">
        <v>181.54838709677421</v>
      </c>
      <c r="CC27" s="33">
        <v>226.14285714285714</v>
      </c>
      <c r="CD27" s="33">
        <v>204.03225806451613</v>
      </c>
      <c r="CE27" s="33">
        <v>154.30000000000001</v>
      </c>
      <c r="CF27" s="33">
        <v>148.70967741935485</v>
      </c>
      <c r="CG27" s="33">
        <v>155.36666666666667</v>
      </c>
      <c r="CH27" s="33">
        <v>144.69999999999999</v>
      </c>
      <c r="CI27" s="33">
        <v>156.96774193548387</v>
      </c>
      <c r="CJ27" s="33">
        <v>144.46666666666667</v>
      </c>
      <c r="CK27" s="33">
        <v>145.54838709677421</v>
      </c>
      <c r="CL27" s="33">
        <v>136.375</v>
      </c>
      <c r="CM27" s="60"/>
    </row>
    <row r="28" spans="1:97" x14ac:dyDescent="0.25">
      <c r="A28" s="30">
        <v>15</v>
      </c>
      <c r="B28" s="1"/>
      <c r="C28" s="1"/>
      <c r="D28" s="24" t="s">
        <v>62</v>
      </c>
      <c r="E28" s="5" t="s">
        <v>61</v>
      </c>
      <c r="F28" s="28" t="s">
        <v>119</v>
      </c>
      <c r="G28" s="1" t="s">
        <v>23</v>
      </c>
      <c r="H28" s="1" t="s">
        <v>41</v>
      </c>
      <c r="I28" s="20" t="s">
        <v>21</v>
      </c>
      <c r="J28" s="2">
        <v>43497</v>
      </c>
      <c r="K28" s="18" t="s">
        <v>123</v>
      </c>
      <c r="AC28" s="60"/>
      <c r="AD28" s="33">
        <v>91.888888888888886</v>
      </c>
      <c r="AE28" s="33">
        <v>98.290322580645167</v>
      </c>
      <c r="AF28" s="33">
        <v>100.2</v>
      </c>
      <c r="AG28" s="33">
        <v>100.29032258064517</v>
      </c>
      <c r="AH28" s="33">
        <v>106.83333333333333</v>
      </c>
      <c r="AI28" s="33">
        <v>99.166666666666671</v>
      </c>
      <c r="AJ28" s="33">
        <v>107.19354838709677</v>
      </c>
      <c r="AK28" s="33">
        <v>99.9</v>
      </c>
      <c r="AL28" s="33">
        <v>99.193548387096769</v>
      </c>
      <c r="AM28" s="33">
        <v>101</v>
      </c>
      <c r="AN28" s="33">
        <v>99.387096774193552</v>
      </c>
      <c r="AO28" s="33"/>
      <c r="AP28" s="33"/>
      <c r="AQ28" s="33"/>
      <c r="AR28" s="33"/>
      <c r="AS28" s="33"/>
      <c r="AT28" s="33">
        <v>90.548387096774192</v>
      </c>
      <c r="AU28" s="33">
        <v>95.5</v>
      </c>
      <c r="AV28" s="33">
        <v>95.612903225806448</v>
      </c>
      <c r="AW28" s="33">
        <v>48.4</v>
      </c>
      <c r="AX28" s="33">
        <v>70.161290322580641</v>
      </c>
      <c r="AY28" s="33">
        <v>99.63333333333334</v>
      </c>
      <c r="AZ28" s="33">
        <v>103.5</v>
      </c>
      <c r="BA28" s="33">
        <v>115.35483870967742</v>
      </c>
      <c r="BB28" s="33">
        <v>108.2</v>
      </c>
      <c r="BC28" s="33">
        <v>103.64516129032258</v>
      </c>
      <c r="BD28" s="33">
        <v>105.73333333333333</v>
      </c>
      <c r="BE28" s="33">
        <v>107.3225806451613</v>
      </c>
      <c r="BF28" s="33"/>
      <c r="BG28" s="33"/>
      <c r="BH28" s="33"/>
      <c r="BI28" s="33"/>
      <c r="BJ28" s="33"/>
      <c r="BK28" s="33">
        <v>96.677419354838705</v>
      </c>
      <c r="BL28" s="33">
        <v>102.92857142857143</v>
      </c>
      <c r="BM28" s="33">
        <v>113.12903225806451</v>
      </c>
      <c r="BN28" s="33">
        <v>117.9</v>
      </c>
      <c r="BO28" s="33">
        <v>121.7741935483871</v>
      </c>
      <c r="BP28" s="33">
        <v>127.96666666666667</v>
      </c>
      <c r="BQ28" s="33">
        <v>127.73333333333333</v>
      </c>
      <c r="BR28" s="33">
        <v>136.29032258064515</v>
      </c>
      <c r="BS28" s="33">
        <v>129.9</v>
      </c>
      <c r="BT28" s="33">
        <v>127.90322580645162</v>
      </c>
      <c r="BU28" s="33">
        <v>126.03333333333333</v>
      </c>
      <c r="BV28" s="33">
        <v>129.09677419354838</v>
      </c>
      <c r="BW28" s="33"/>
      <c r="BX28" s="33"/>
      <c r="BY28" s="33"/>
      <c r="BZ28" s="33"/>
      <c r="CA28" s="33"/>
      <c r="CB28" s="33">
        <v>113.96774193548387</v>
      </c>
      <c r="CC28" s="33">
        <v>126.60714285714286</v>
      </c>
      <c r="CD28" s="33">
        <v>115.61290322580645</v>
      </c>
      <c r="CE28" s="33">
        <v>119.26666666666667</v>
      </c>
      <c r="CF28" s="33">
        <v>117.90322580645162</v>
      </c>
      <c r="CG28" s="33">
        <v>123.33333333333333</v>
      </c>
      <c r="CH28" s="33">
        <v>105.9</v>
      </c>
      <c r="CI28" s="33">
        <v>128.61290322580646</v>
      </c>
      <c r="CJ28" s="33">
        <v>115.5</v>
      </c>
      <c r="CK28" s="33">
        <v>105.96774193548387</v>
      </c>
      <c r="CL28" s="33">
        <v>108.375</v>
      </c>
      <c r="CM28" s="60"/>
    </row>
    <row r="29" spans="1:97" x14ac:dyDescent="0.25">
      <c r="A29" s="30">
        <v>16</v>
      </c>
      <c r="B29" s="26" t="s">
        <v>85</v>
      </c>
      <c r="C29" s="1" t="s">
        <v>73</v>
      </c>
      <c r="D29" s="1" t="s">
        <v>74</v>
      </c>
      <c r="E29" s="45" t="s">
        <v>133</v>
      </c>
      <c r="F29" s="1" t="s">
        <v>117</v>
      </c>
      <c r="G29" s="1" t="s">
        <v>30</v>
      </c>
      <c r="H29" s="1" t="s">
        <v>31</v>
      </c>
      <c r="I29" s="20" t="s">
        <v>21</v>
      </c>
      <c r="J29" s="2">
        <v>43101</v>
      </c>
      <c r="K29" s="18" t="s">
        <v>123</v>
      </c>
      <c r="U29" s="76">
        <v>248</v>
      </c>
      <c r="V29" s="76">
        <v>248.5</v>
      </c>
      <c r="W29" s="76">
        <v>248</v>
      </c>
      <c r="X29" s="76"/>
      <c r="Y29" s="76"/>
      <c r="Z29" s="76"/>
      <c r="AA29" s="76"/>
      <c r="AB29" s="76"/>
      <c r="AC29" s="76">
        <v>247.1</v>
      </c>
      <c r="AD29" s="76">
        <v>287.7</v>
      </c>
      <c r="AE29" s="76">
        <v>285.39999999999998</v>
      </c>
      <c r="AF29" s="76">
        <v>263.60000000000002</v>
      </c>
      <c r="AG29" s="76">
        <v>259.89999999999998</v>
      </c>
      <c r="AH29" s="76">
        <v>239.9</v>
      </c>
      <c r="AI29" s="76">
        <v>326.2</v>
      </c>
      <c r="AJ29" s="76">
        <v>259.60000000000002</v>
      </c>
      <c r="AK29" s="76">
        <v>256</v>
      </c>
      <c r="AL29" s="76">
        <v>238.9</v>
      </c>
      <c r="AM29" s="76">
        <v>236.3</v>
      </c>
      <c r="AN29" s="76">
        <v>233.2</v>
      </c>
      <c r="AO29" s="76"/>
      <c r="AP29" s="76"/>
      <c r="AQ29" s="76"/>
      <c r="AR29" s="76"/>
      <c r="AS29" s="76"/>
      <c r="AT29" s="76">
        <v>229.4</v>
      </c>
      <c r="AU29" s="76">
        <v>237.2</v>
      </c>
      <c r="AV29" s="76">
        <v>214.8</v>
      </c>
      <c r="AW29" s="76">
        <v>208.2</v>
      </c>
      <c r="AX29" s="76">
        <v>197.8</v>
      </c>
      <c r="AY29" s="76">
        <v>206.4</v>
      </c>
      <c r="AZ29" s="76">
        <v>210.9</v>
      </c>
      <c r="BA29" s="76">
        <v>220.2</v>
      </c>
      <c r="BB29" s="76">
        <v>221</v>
      </c>
      <c r="BC29" s="76">
        <v>219.9</v>
      </c>
      <c r="BD29" s="76">
        <v>215.6</v>
      </c>
      <c r="BE29" s="76">
        <v>217.5</v>
      </c>
      <c r="BF29" s="76"/>
      <c r="BG29" s="76"/>
      <c r="BH29" s="76"/>
      <c r="BI29" s="76"/>
      <c r="BJ29" s="76"/>
      <c r="BK29" s="76">
        <v>213.8</v>
      </c>
      <c r="BL29" s="76">
        <v>234.1</v>
      </c>
      <c r="BM29" s="76">
        <v>302.45</v>
      </c>
      <c r="BN29" s="76">
        <v>493.22</v>
      </c>
      <c r="BO29" s="76">
        <v>564.15</v>
      </c>
      <c r="BP29" s="76">
        <v>690</v>
      </c>
      <c r="BQ29" s="76">
        <v>725.64</v>
      </c>
      <c r="BR29" s="76">
        <v>456.03</v>
      </c>
      <c r="BS29" s="76">
        <v>453.82</v>
      </c>
      <c r="BT29" s="76">
        <v>262.7</v>
      </c>
      <c r="BU29" s="76">
        <v>262.3</v>
      </c>
      <c r="BV29" s="76">
        <v>273.20999999999998</v>
      </c>
      <c r="BW29" s="76"/>
      <c r="BX29" s="76"/>
      <c r="BY29" s="76"/>
      <c r="BZ29" s="76"/>
      <c r="CA29" s="76"/>
      <c r="CB29" s="76">
        <v>654.14</v>
      </c>
      <c r="CC29" s="76"/>
      <c r="CD29" s="76"/>
      <c r="CE29" s="76"/>
      <c r="CF29" s="76"/>
      <c r="CG29" s="76"/>
      <c r="CH29" s="76"/>
      <c r="CI29" s="76"/>
      <c r="CJ29" s="76"/>
      <c r="CK29" s="76"/>
      <c r="CL29" s="76"/>
    </row>
    <row r="30" spans="1:97" x14ac:dyDescent="0.25">
      <c r="A30" s="30">
        <v>17</v>
      </c>
      <c r="B30" s="26" t="s">
        <v>85</v>
      </c>
      <c r="C30" s="1" t="s">
        <v>73</v>
      </c>
      <c r="D30" s="1" t="s">
        <v>75</v>
      </c>
      <c r="E30" s="45" t="s">
        <v>130</v>
      </c>
      <c r="F30" s="1" t="s">
        <v>117</v>
      </c>
      <c r="G30" s="1" t="s">
        <v>30</v>
      </c>
      <c r="H30" s="1" t="s">
        <v>31</v>
      </c>
      <c r="I30" s="20" t="s">
        <v>21</v>
      </c>
      <c r="J30" s="2">
        <v>43101</v>
      </c>
      <c r="K30" s="18" t="s">
        <v>123</v>
      </c>
      <c r="U30" s="76">
        <v>1033.3</v>
      </c>
      <c r="V30" s="76">
        <v>1045.2</v>
      </c>
      <c r="W30" s="76">
        <v>9032.7000000000007</v>
      </c>
      <c r="X30" s="76"/>
      <c r="Y30" s="76"/>
      <c r="Z30" s="76"/>
      <c r="AA30" s="76"/>
      <c r="AB30" s="76"/>
      <c r="AC30" s="76">
        <v>21118.400000000001</v>
      </c>
      <c r="AD30" s="76">
        <v>12760.7</v>
      </c>
      <c r="AE30" s="76">
        <v>12594.6</v>
      </c>
      <c r="AF30" s="76">
        <v>1116.5999999999999</v>
      </c>
      <c r="AG30" s="76">
        <v>1072.2</v>
      </c>
      <c r="AH30" s="77">
        <v>1119.5</v>
      </c>
      <c r="AI30" s="76">
        <v>1003.5</v>
      </c>
      <c r="AJ30" s="76">
        <v>1002.6</v>
      </c>
      <c r="AK30" s="76">
        <v>989.5</v>
      </c>
      <c r="AL30" s="76">
        <v>979.1</v>
      </c>
      <c r="AM30" s="76">
        <v>976.8</v>
      </c>
      <c r="AN30" s="76">
        <v>989.2</v>
      </c>
      <c r="AO30" s="76"/>
      <c r="AP30" s="76"/>
      <c r="AQ30" s="76"/>
      <c r="AR30" s="76"/>
      <c r="AS30" s="76"/>
      <c r="AT30" s="76">
        <v>987.7</v>
      </c>
      <c r="AU30" s="76">
        <v>814.8</v>
      </c>
      <c r="AV30" s="76">
        <v>824.4</v>
      </c>
      <c r="AW30" s="76">
        <v>824.3</v>
      </c>
      <c r="AX30" s="76">
        <v>839.4</v>
      </c>
      <c r="AY30" s="76">
        <v>839.4</v>
      </c>
      <c r="AZ30" s="76">
        <v>816.5</v>
      </c>
      <c r="BA30" s="76">
        <v>821.3</v>
      </c>
      <c r="BB30" s="76">
        <v>807.2</v>
      </c>
      <c r="BC30" s="76">
        <v>807.4</v>
      </c>
      <c r="BD30" s="76">
        <v>805.75</v>
      </c>
      <c r="BE30" s="76">
        <v>794</v>
      </c>
      <c r="BF30" s="76"/>
      <c r="BG30" s="76"/>
      <c r="BH30" s="76"/>
      <c r="BI30" s="76"/>
      <c r="BJ30" s="76"/>
      <c r="BK30" s="76">
        <v>819.7</v>
      </c>
      <c r="BL30" s="76">
        <v>918.1</v>
      </c>
      <c r="BM30" s="76">
        <v>969.44</v>
      </c>
      <c r="BN30" s="76">
        <v>963.7</v>
      </c>
      <c r="BO30" s="76">
        <v>938.9</v>
      </c>
      <c r="BP30" s="76">
        <v>914.53</v>
      </c>
      <c r="BQ30" s="76">
        <v>939.32</v>
      </c>
      <c r="BR30" s="76">
        <v>914.21</v>
      </c>
      <c r="BS30" s="76">
        <v>848.74</v>
      </c>
      <c r="BT30" s="76">
        <v>867.4</v>
      </c>
      <c r="BU30" s="76">
        <v>894.63</v>
      </c>
      <c r="BV30" s="76">
        <v>859.49</v>
      </c>
      <c r="BW30" s="76"/>
      <c r="BX30" s="76"/>
      <c r="BY30" s="76"/>
      <c r="BZ30" s="76"/>
      <c r="CA30" s="76"/>
      <c r="CB30" s="76">
        <v>822.98</v>
      </c>
      <c r="CC30" s="76"/>
      <c r="CD30" s="76"/>
      <c r="CE30" s="76"/>
      <c r="CF30" s="76"/>
      <c r="CG30" s="76"/>
      <c r="CH30" s="76"/>
      <c r="CI30" s="76"/>
      <c r="CJ30" s="76"/>
      <c r="CK30" s="76"/>
      <c r="CL30" s="76"/>
    </row>
    <row r="31" spans="1:97" x14ac:dyDescent="0.25">
      <c r="A31" s="30">
        <v>18</v>
      </c>
      <c r="B31" s="26"/>
      <c r="C31" s="1" t="s">
        <v>73</v>
      </c>
      <c r="D31" s="1" t="s">
        <v>76</v>
      </c>
      <c r="E31" s="5" t="s">
        <v>134</v>
      </c>
      <c r="F31" s="1" t="s">
        <v>117</v>
      </c>
      <c r="G31" s="1" t="s">
        <v>30</v>
      </c>
      <c r="H31" s="1" t="s">
        <v>31</v>
      </c>
      <c r="I31" s="20" t="s">
        <v>21</v>
      </c>
      <c r="J31" s="2">
        <v>43101</v>
      </c>
      <c r="K31" s="18" t="s">
        <v>123</v>
      </c>
      <c r="U31" s="76">
        <v>591.6</v>
      </c>
      <c r="V31" s="76">
        <v>631.79999999999995</v>
      </c>
      <c r="W31" s="76">
        <v>701.9</v>
      </c>
      <c r="X31" s="76"/>
      <c r="Y31" s="76"/>
      <c r="Z31" s="76"/>
      <c r="AA31" s="76"/>
      <c r="AB31" s="76"/>
      <c r="AC31" s="76">
        <v>4866.6000000000004</v>
      </c>
      <c r="AD31" s="76">
        <v>11563.3</v>
      </c>
      <c r="AE31" s="76">
        <v>9351.1</v>
      </c>
      <c r="AF31" s="76">
        <v>8890</v>
      </c>
      <c r="AG31" s="76">
        <v>750.2</v>
      </c>
      <c r="AH31" s="76">
        <v>732.2</v>
      </c>
      <c r="AI31" s="76">
        <v>699.3</v>
      </c>
      <c r="AJ31" s="76">
        <v>692.3</v>
      </c>
      <c r="AK31" s="76">
        <v>680.2</v>
      </c>
      <c r="AL31" s="76">
        <v>656.1</v>
      </c>
      <c r="AM31" s="77">
        <v>706.4</v>
      </c>
      <c r="AN31" s="76">
        <v>749.6</v>
      </c>
      <c r="AO31" s="76"/>
      <c r="AP31" s="76"/>
      <c r="AQ31" s="76"/>
      <c r="AR31" s="76"/>
      <c r="AS31" s="76"/>
      <c r="AT31" s="76">
        <v>740.7</v>
      </c>
      <c r="AU31" s="76">
        <v>764.8</v>
      </c>
      <c r="AV31" s="76">
        <v>750.2</v>
      </c>
      <c r="AW31" s="76">
        <v>723.1</v>
      </c>
      <c r="AX31" s="76">
        <v>687.3</v>
      </c>
      <c r="AY31" s="76">
        <v>693.3</v>
      </c>
      <c r="AZ31" s="76">
        <v>696.4</v>
      </c>
      <c r="BA31" s="76">
        <v>764.2</v>
      </c>
      <c r="BB31" s="76">
        <v>774.3</v>
      </c>
      <c r="BC31" s="76">
        <v>773</v>
      </c>
      <c r="BD31" s="76">
        <v>748.7</v>
      </c>
      <c r="BE31" s="76">
        <v>732.1</v>
      </c>
      <c r="BF31" s="76"/>
      <c r="BG31" s="76"/>
      <c r="BH31" s="76"/>
      <c r="BI31" s="76"/>
      <c r="BJ31" s="76"/>
      <c r="BK31" s="76">
        <v>712.9</v>
      </c>
      <c r="BL31" s="76">
        <v>720.9</v>
      </c>
      <c r="BM31" s="76">
        <v>731.9</v>
      </c>
      <c r="BN31" s="76">
        <v>764.72</v>
      </c>
      <c r="BO31" s="76">
        <v>789.07</v>
      </c>
      <c r="BP31" s="76">
        <v>788.6</v>
      </c>
      <c r="BQ31" s="76">
        <v>774.81</v>
      </c>
      <c r="BR31" s="76">
        <v>752.51</v>
      </c>
      <c r="BS31" s="76">
        <v>737.27</v>
      </c>
      <c r="BT31" s="76">
        <v>816.13</v>
      </c>
      <c r="BU31" s="76">
        <v>731.73</v>
      </c>
      <c r="BV31" s="76">
        <v>732.52</v>
      </c>
      <c r="BW31" s="76"/>
      <c r="BX31" s="76"/>
      <c r="BY31" s="76"/>
      <c r="BZ31" s="76"/>
      <c r="CA31" s="76"/>
      <c r="CB31" s="76">
        <v>844.8</v>
      </c>
      <c r="CC31" s="76"/>
      <c r="CD31" s="76"/>
      <c r="CE31" s="76"/>
      <c r="CF31" s="76"/>
      <c r="CG31" s="76"/>
      <c r="CH31" s="76"/>
      <c r="CI31" s="76"/>
      <c r="CJ31" s="76"/>
      <c r="CK31" s="76"/>
      <c r="CL31" s="76"/>
    </row>
    <row r="32" spans="1:97" x14ac:dyDescent="0.25">
      <c r="A32" s="30">
        <v>19</v>
      </c>
      <c r="B32" s="26" t="s">
        <v>85</v>
      </c>
      <c r="C32" s="1" t="s">
        <v>78</v>
      </c>
      <c r="D32" s="1" t="s">
        <v>77</v>
      </c>
      <c r="E32" s="5" t="s">
        <v>132</v>
      </c>
      <c r="F32" s="1" t="s">
        <v>117</v>
      </c>
      <c r="G32" s="1" t="s">
        <v>30</v>
      </c>
      <c r="H32" s="1" t="s">
        <v>31</v>
      </c>
      <c r="I32" s="20" t="s">
        <v>21</v>
      </c>
      <c r="J32" s="2">
        <v>43101</v>
      </c>
      <c r="K32" s="18" t="s">
        <v>123</v>
      </c>
      <c r="U32" s="76">
        <v>28802.5</v>
      </c>
      <c r="V32" s="76">
        <v>27869.4</v>
      </c>
      <c r="W32" s="76">
        <v>26749.599999999999</v>
      </c>
      <c r="X32" s="76"/>
      <c r="Y32" s="76"/>
      <c r="Z32" s="76"/>
      <c r="AA32" s="76"/>
      <c r="AB32" s="76"/>
      <c r="AC32" s="76">
        <v>27288.3</v>
      </c>
      <c r="AD32" s="76">
        <v>29342</v>
      </c>
      <c r="AE32" s="76">
        <v>28738.1</v>
      </c>
      <c r="AF32" s="76">
        <v>26876</v>
      </c>
      <c r="AG32" s="76">
        <v>28995.9</v>
      </c>
      <c r="AH32" s="76">
        <v>29947.599999999999</v>
      </c>
      <c r="AI32" s="76">
        <v>31120.6</v>
      </c>
      <c r="AJ32" s="76">
        <v>32388.799999999999</v>
      </c>
      <c r="AK32" s="76">
        <v>32586.3</v>
      </c>
      <c r="AL32" s="76">
        <v>46749.4</v>
      </c>
      <c r="AM32" s="76">
        <v>47675.5</v>
      </c>
      <c r="AN32" s="76">
        <v>42045.599999999999</v>
      </c>
      <c r="AO32" s="76"/>
      <c r="AP32" s="76"/>
      <c r="AQ32" s="76"/>
      <c r="AR32" s="76"/>
      <c r="AS32" s="76"/>
      <c r="AT32" s="76">
        <v>49266.6</v>
      </c>
      <c r="AU32" s="76">
        <v>31303.5</v>
      </c>
      <c r="AV32" s="76">
        <v>37015.199999999997</v>
      </c>
      <c r="AW32" s="76">
        <v>44933.599999999999</v>
      </c>
      <c r="AX32" s="76">
        <v>45230.5</v>
      </c>
      <c r="AY32" s="76">
        <v>42624.3</v>
      </c>
      <c r="AZ32" s="76">
        <v>42631.5</v>
      </c>
      <c r="BA32" s="76">
        <v>37597.9</v>
      </c>
      <c r="BB32" s="76">
        <v>30894.2</v>
      </c>
      <c r="BC32" s="76">
        <v>40356.300000000003</v>
      </c>
      <c r="BD32" s="76">
        <v>41552.1</v>
      </c>
      <c r="BE32" s="76">
        <v>40100.050000000003</v>
      </c>
      <c r="BF32" s="76"/>
      <c r="BG32" s="76"/>
      <c r="BH32" s="76"/>
      <c r="BI32" s="76"/>
      <c r="BJ32" s="76"/>
      <c r="BK32" s="76">
        <v>32906.5</v>
      </c>
      <c r="BL32" s="76">
        <v>37125.699999999997</v>
      </c>
      <c r="BM32" s="76">
        <v>32702.43</v>
      </c>
      <c r="BN32" s="76">
        <v>53716.3</v>
      </c>
      <c r="BO32" s="76">
        <v>54633.77</v>
      </c>
      <c r="BP32" s="76">
        <v>30210.2</v>
      </c>
      <c r="BQ32" s="76">
        <v>32712.799999999999</v>
      </c>
      <c r="BR32" s="76">
        <v>48490.7</v>
      </c>
      <c r="BS32" s="76">
        <v>49169.08</v>
      </c>
      <c r="BT32" s="76">
        <v>31678.84</v>
      </c>
      <c r="BU32" s="76">
        <v>30582.1</v>
      </c>
      <c r="BV32" s="76">
        <v>31613.67</v>
      </c>
      <c r="BW32" s="76"/>
      <c r="BX32" s="76"/>
      <c r="BY32" s="76"/>
      <c r="BZ32" s="76"/>
      <c r="CA32" s="76"/>
      <c r="CB32" s="76">
        <v>41725.08</v>
      </c>
      <c r="CC32" s="76"/>
      <c r="CD32" s="76"/>
      <c r="CE32" s="76"/>
      <c r="CF32" s="76"/>
      <c r="CG32" s="76"/>
      <c r="CH32" s="76"/>
      <c r="CI32" s="76"/>
      <c r="CJ32" s="76"/>
      <c r="CK32" s="76"/>
      <c r="CL32" s="76"/>
    </row>
    <row r="33" spans="1:94" x14ac:dyDescent="0.25">
      <c r="A33" s="30">
        <v>20</v>
      </c>
      <c r="B33" s="26" t="s">
        <v>85</v>
      </c>
      <c r="C33" s="1" t="s">
        <v>78</v>
      </c>
      <c r="D33" s="1" t="s">
        <v>79</v>
      </c>
      <c r="E33" s="5" t="s">
        <v>131</v>
      </c>
      <c r="F33" s="1" t="s">
        <v>117</v>
      </c>
      <c r="G33" s="1" t="s">
        <v>30</v>
      </c>
      <c r="H33" s="1" t="s">
        <v>31</v>
      </c>
      <c r="I33" s="20" t="s">
        <v>21</v>
      </c>
      <c r="J33" s="2">
        <v>43101</v>
      </c>
      <c r="K33" s="18" t="s">
        <v>123</v>
      </c>
      <c r="U33" s="76">
        <v>81061.100000000006</v>
      </c>
      <c r="V33" s="76">
        <v>81904.800000000003</v>
      </c>
      <c r="W33" s="76">
        <v>85598.6</v>
      </c>
      <c r="X33" s="76"/>
      <c r="Y33" s="76"/>
      <c r="Z33" s="76"/>
      <c r="AA33" s="76"/>
      <c r="AB33" s="76"/>
      <c r="AC33" s="76">
        <v>82901.399999999994</v>
      </c>
      <c r="AD33" s="76">
        <v>94488.6</v>
      </c>
      <c r="AE33" s="76">
        <v>92922.8</v>
      </c>
      <c r="AF33" s="76">
        <v>98511.1</v>
      </c>
      <c r="AG33" s="76">
        <v>96259.4</v>
      </c>
      <c r="AH33" s="77">
        <v>94133.4</v>
      </c>
      <c r="AI33" s="76">
        <v>91436.2</v>
      </c>
      <c r="AJ33" s="76">
        <v>91013.7</v>
      </c>
      <c r="AK33" s="76">
        <v>87955.9</v>
      </c>
      <c r="AL33" s="76">
        <v>94882.2</v>
      </c>
      <c r="AM33" s="76">
        <v>92998.5</v>
      </c>
      <c r="AN33" s="76">
        <v>88589.1</v>
      </c>
      <c r="AO33" s="76"/>
      <c r="AP33" s="76"/>
      <c r="AQ33" s="76"/>
      <c r="AR33" s="76"/>
      <c r="AS33" s="76"/>
      <c r="AT33" s="76">
        <v>94394</v>
      </c>
      <c r="AU33" s="76">
        <v>91903</v>
      </c>
      <c r="AV33" s="76">
        <v>89199.7</v>
      </c>
      <c r="AW33" s="76">
        <v>90125.9</v>
      </c>
      <c r="AX33" s="76">
        <v>92271.2</v>
      </c>
      <c r="AY33" s="76">
        <v>92000.8</v>
      </c>
      <c r="AZ33" s="76">
        <v>89026.6</v>
      </c>
      <c r="BA33" s="76">
        <v>90151.3</v>
      </c>
      <c r="BB33" s="76">
        <v>89863.5</v>
      </c>
      <c r="BC33" s="76">
        <v>90893</v>
      </c>
      <c r="BD33" s="76">
        <v>90232.6</v>
      </c>
      <c r="BE33" s="76">
        <v>90233</v>
      </c>
      <c r="BF33" s="76"/>
      <c r="BG33" s="76"/>
      <c r="BH33" s="76"/>
      <c r="BI33" s="76"/>
      <c r="BJ33" s="76"/>
      <c r="BK33" s="76">
        <v>98433.5</v>
      </c>
      <c r="BL33" s="76">
        <v>95635.5</v>
      </c>
      <c r="BM33" s="76">
        <v>98710.57</v>
      </c>
      <c r="BN33" s="76">
        <v>101119.07</v>
      </c>
      <c r="BO33" s="76">
        <v>95361.4</v>
      </c>
      <c r="BP33" s="76">
        <v>92062.92</v>
      </c>
      <c r="BQ33" s="76">
        <v>98253.440000000002</v>
      </c>
      <c r="BR33" s="76">
        <v>104729.16</v>
      </c>
      <c r="BS33" s="76">
        <v>99976.44</v>
      </c>
      <c r="BT33" s="76">
        <v>104016.7</v>
      </c>
      <c r="BU33" s="76">
        <v>117609.7</v>
      </c>
      <c r="BV33" s="76">
        <v>118047.72</v>
      </c>
      <c r="BW33" s="76"/>
      <c r="BX33" s="76"/>
      <c r="BY33" s="76"/>
      <c r="BZ33" s="76"/>
      <c r="CA33" s="76"/>
      <c r="CB33" s="76">
        <v>104215.7</v>
      </c>
      <c r="CC33" s="76"/>
      <c r="CD33" s="76"/>
      <c r="CE33" s="76"/>
      <c r="CF33" s="76"/>
      <c r="CG33" s="76"/>
      <c r="CH33" s="76"/>
      <c r="CI33" s="76"/>
      <c r="CJ33" s="76"/>
      <c r="CK33" s="76"/>
      <c r="CL33" s="76"/>
    </row>
    <row r="34" spans="1:94" x14ac:dyDescent="0.25">
      <c r="A34" s="30">
        <v>21</v>
      </c>
      <c r="B34" s="26"/>
      <c r="C34" s="1" t="s">
        <v>78</v>
      </c>
      <c r="D34" s="1" t="s">
        <v>80</v>
      </c>
      <c r="E34" s="5" t="s">
        <v>135</v>
      </c>
      <c r="F34" s="1" t="s">
        <v>117</v>
      </c>
      <c r="G34" s="1" t="s">
        <v>30</v>
      </c>
      <c r="H34" s="1" t="s">
        <v>31</v>
      </c>
      <c r="I34" s="20" t="s">
        <v>21</v>
      </c>
      <c r="J34" s="2">
        <v>43101</v>
      </c>
      <c r="K34" s="18" t="s">
        <v>123</v>
      </c>
      <c r="U34" s="76">
        <v>63437.1</v>
      </c>
      <c r="V34" s="76">
        <v>65482.2</v>
      </c>
      <c r="W34" s="76">
        <v>68967.399999999994</v>
      </c>
      <c r="X34" s="76"/>
      <c r="Y34" s="76"/>
      <c r="Z34" s="76"/>
      <c r="AA34" s="76"/>
      <c r="AB34" s="76"/>
      <c r="AC34" s="76">
        <v>72177.399999999994</v>
      </c>
      <c r="AD34" s="76">
        <v>82413.100000000006</v>
      </c>
      <c r="AE34" s="76">
        <v>79593</v>
      </c>
      <c r="AF34" s="76">
        <v>82970.399999999994</v>
      </c>
      <c r="AG34" s="76">
        <v>72358.5</v>
      </c>
      <c r="AH34" s="77">
        <v>76158.5</v>
      </c>
      <c r="AI34" s="76">
        <v>73178.7</v>
      </c>
      <c r="AJ34" s="76">
        <v>73212.899999999994</v>
      </c>
      <c r="AK34" s="76">
        <v>72081.399999999994</v>
      </c>
      <c r="AL34" s="76">
        <v>78098.899999999994</v>
      </c>
      <c r="AM34" s="76">
        <v>84162.2</v>
      </c>
      <c r="AN34" s="76">
        <v>55350.9</v>
      </c>
      <c r="AO34" s="76"/>
      <c r="AP34" s="76"/>
      <c r="AQ34" s="76"/>
      <c r="AR34" s="76"/>
      <c r="AS34" s="76"/>
      <c r="AT34" s="76">
        <v>51593.8</v>
      </c>
      <c r="AU34" s="76">
        <v>65527.7</v>
      </c>
      <c r="AV34" s="76">
        <v>105857.8</v>
      </c>
      <c r="AW34" s="76">
        <v>110431.3</v>
      </c>
      <c r="AX34" s="76">
        <v>115807.5</v>
      </c>
      <c r="AY34" s="76">
        <v>109340.2</v>
      </c>
      <c r="AZ34" s="76">
        <v>100868.9</v>
      </c>
      <c r="BA34" s="76">
        <v>137299.6</v>
      </c>
      <c r="BB34" s="76">
        <v>82806.600000000006</v>
      </c>
      <c r="BC34" s="76">
        <v>80415.899999999994</v>
      </c>
      <c r="BD34" s="76">
        <v>98017.4</v>
      </c>
      <c r="BE34" s="76">
        <v>96767.2</v>
      </c>
      <c r="BF34" s="76"/>
      <c r="BG34" s="76"/>
      <c r="BH34" s="76"/>
      <c r="BI34" s="76"/>
      <c r="BJ34" s="76"/>
      <c r="BK34" s="76">
        <v>108762.55</v>
      </c>
      <c r="BL34" s="76">
        <v>84402.7</v>
      </c>
      <c r="BM34" s="76">
        <v>79066.13</v>
      </c>
      <c r="BN34" s="76">
        <v>88383.34</v>
      </c>
      <c r="BO34" s="76">
        <v>90631.9</v>
      </c>
      <c r="BP34" s="76">
        <v>107093.5</v>
      </c>
      <c r="BQ34" s="76">
        <v>98253.27</v>
      </c>
      <c r="BR34" s="76">
        <v>87996.21</v>
      </c>
      <c r="BS34" s="76">
        <v>87935.12</v>
      </c>
      <c r="BT34" s="76">
        <v>156523.35999999999</v>
      </c>
      <c r="BU34" s="76">
        <v>162983.6</v>
      </c>
      <c r="BV34" s="76">
        <v>160869.37</v>
      </c>
      <c r="BW34" s="76"/>
      <c r="BX34" s="76"/>
      <c r="BY34" s="76"/>
      <c r="BZ34" s="76"/>
      <c r="CA34" s="76"/>
      <c r="CB34" s="76">
        <v>198826.77</v>
      </c>
      <c r="CC34" s="76"/>
      <c r="CD34" s="76"/>
      <c r="CE34" s="76"/>
      <c r="CF34" s="76"/>
      <c r="CG34" s="76"/>
      <c r="CH34" s="76"/>
      <c r="CI34" s="76"/>
      <c r="CJ34" s="76"/>
      <c r="CK34" s="76"/>
      <c r="CL34" s="76"/>
    </row>
    <row r="35" spans="1:94" x14ac:dyDescent="0.25">
      <c r="A35" s="30"/>
      <c r="B35" s="26"/>
      <c r="C35" s="1" t="s">
        <v>73</v>
      </c>
      <c r="D35" s="20" t="s">
        <v>74</v>
      </c>
      <c r="E35" s="5" t="s">
        <v>136</v>
      </c>
      <c r="F35" s="1" t="s">
        <v>117</v>
      </c>
      <c r="G35" s="1" t="s">
        <v>30</v>
      </c>
      <c r="H35" s="1" t="s">
        <v>31</v>
      </c>
      <c r="I35" s="20" t="s">
        <v>21</v>
      </c>
      <c r="J35" s="2">
        <v>43101</v>
      </c>
      <c r="K35" s="18" t="s">
        <v>141</v>
      </c>
      <c r="U35" s="76">
        <v>231</v>
      </c>
      <c r="V35" s="76">
        <v>232</v>
      </c>
      <c r="W35" s="76">
        <v>232.3</v>
      </c>
      <c r="X35" s="76"/>
      <c r="Y35" s="76"/>
      <c r="Z35" s="76"/>
      <c r="AA35" s="76"/>
      <c r="AB35" s="76"/>
      <c r="AC35" s="76">
        <v>231.9</v>
      </c>
      <c r="AD35" s="76">
        <v>280.7</v>
      </c>
      <c r="AE35" s="76">
        <v>257.10000000000002</v>
      </c>
      <c r="AF35" s="76">
        <v>255.8</v>
      </c>
      <c r="AG35" s="76">
        <v>229.3</v>
      </c>
      <c r="AH35" s="76">
        <v>328.1</v>
      </c>
      <c r="AI35" s="76">
        <v>332.7</v>
      </c>
      <c r="AJ35" s="76">
        <v>254.3</v>
      </c>
      <c r="AK35" s="76">
        <v>231.8</v>
      </c>
      <c r="AL35" s="76">
        <v>233.5</v>
      </c>
      <c r="AM35" s="76">
        <v>229.6</v>
      </c>
      <c r="AN35" s="76">
        <v>235.6</v>
      </c>
      <c r="AO35" s="76"/>
      <c r="AP35" s="76"/>
      <c r="AQ35" s="76"/>
      <c r="AR35" s="76"/>
      <c r="AS35" s="76"/>
      <c r="AT35" s="76">
        <v>250.8</v>
      </c>
      <c r="AU35" s="76">
        <v>250.3</v>
      </c>
      <c r="AV35" s="77">
        <v>244.6</v>
      </c>
      <c r="AW35" s="76">
        <v>246.9</v>
      </c>
      <c r="AX35" s="76">
        <v>256.39999999999998</v>
      </c>
      <c r="AY35" s="76">
        <v>260.8</v>
      </c>
      <c r="AZ35" s="76">
        <v>260.7</v>
      </c>
      <c r="BA35" s="76">
        <v>257.7</v>
      </c>
      <c r="BB35" s="76">
        <v>254.3</v>
      </c>
      <c r="BC35" s="76">
        <v>254.4</v>
      </c>
      <c r="BD35" s="76">
        <v>258.60000000000002</v>
      </c>
      <c r="BE35" s="76">
        <v>422.1</v>
      </c>
      <c r="BF35" s="76"/>
      <c r="BG35" s="76"/>
      <c r="BH35" s="76"/>
      <c r="BI35" s="76"/>
      <c r="BJ35" s="76"/>
      <c r="BK35" s="76">
        <v>775.3</v>
      </c>
      <c r="BL35" s="76">
        <v>660.4</v>
      </c>
      <c r="BM35" s="76">
        <v>964.4</v>
      </c>
      <c r="BN35" s="76">
        <v>807.13</v>
      </c>
      <c r="BO35" s="76">
        <v>537.21</v>
      </c>
      <c r="BP35" s="76">
        <v>410.6</v>
      </c>
      <c r="BQ35" s="76">
        <v>288.39999999999998</v>
      </c>
      <c r="BR35" s="76">
        <v>486.32</v>
      </c>
      <c r="BS35" s="76">
        <v>495.9</v>
      </c>
      <c r="BT35" s="76">
        <v>706</v>
      </c>
      <c r="BU35" s="76">
        <v>847.4</v>
      </c>
      <c r="BV35" s="76">
        <v>965.3</v>
      </c>
      <c r="BW35" s="76"/>
      <c r="BX35" s="76"/>
      <c r="BY35" s="76"/>
      <c r="BZ35" s="76"/>
      <c r="CA35" s="76"/>
      <c r="CB35" s="76">
        <v>859.22</v>
      </c>
      <c r="CC35" s="76">
        <v>933.9</v>
      </c>
      <c r="CD35" s="76">
        <v>321.89999999999998</v>
      </c>
      <c r="CE35" s="76">
        <v>701</v>
      </c>
      <c r="CF35" s="76">
        <v>323.10000000000002</v>
      </c>
      <c r="CG35" s="76">
        <v>338.4</v>
      </c>
      <c r="CH35" s="76">
        <v>362.9</v>
      </c>
      <c r="CI35" s="76">
        <v>449.9</v>
      </c>
      <c r="CJ35" s="76">
        <v>359.17</v>
      </c>
      <c r="CK35" s="76">
        <v>607.6</v>
      </c>
      <c r="CL35" s="76">
        <v>421.3</v>
      </c>
    </row>
    <row r="36" spans="1:94" x14ac:dyDescent="0.25">
      <c r="A36" s="30"/>
      <c r="B36" s="26"/>
      <c r="C36" s="1" t="s">
        <v>73</v>
      </c>
      <c r="D36" s="20" t="s">
        <v>75</v>
      </c>
      <c r="E36" s="5" t="s">
        <v>140</v>
      </c>
      <c r="F36" s="1" t="s">
        <v>117</v>
      </c>
      <c r="G36" s="1" t="s">
        <v>30</v>
      </c>
      <c r="H36" s="1" t="s">
        <v>31</v>
      </c>
      <c r="I36" s="20" t="s">
        <v>21</v>
      </c>
      <c r="J36" s="2">
        <v>43101</v>
      </c>
      <c r="K36" s="18" t="s">
        <v>141</v>
      </c>
      <c r="U36" s="76">
        <v>1040.5</v>
      </c>
      <c r="V36" s="76">
        <v>1094.5</v>
      </c>
      <c r="W36" s="76">
        <v>10016.4</v>
      </c>
      <c r="X36" s="76"/>
      <c r="Y36" s="76"/>
      <c r="Z36" s="76"/>
      <c r="AA36" s="76"/>
      <c r="AB36" s="76"/>
      <c r="AC36" s="76">
        <v>12626.8</v>
      </c>
      <c r="AD36" s="76">
        <v>12847.4</v>
      </c>
      <c r="AE36" s="76">
        <v>12671.4</v>
      </c>
      <c r="AF36" s="76">
        <v>1024</v>
      </c>
      <c r="AG36" s="76">
        <v>1119.5</v>
      </c>
      <c r="AH36" s="76">
        <v>1105.0999999999999</v>
      </c>
      <c r="AI36" s="76">
        <v>994.7</v>
      </c>
      <c r="AJ36" s="76">
        <v>1111.0999999999999</v>
      </c>
      <c r="AK36" s="76">
        <v>978.5</v>
      </c>
      <c r="AL36" s="76">
        <v>993.9</v>
      </c>
      <c r="AM36" s="77">
        <v>1009.8</v>
      </c>
      <c r="AN36" s="76">
        <v>996.8</v>
      </c>
      <c r="AO36" s="76"/>
      <c r="AP36" s="76"/>
      <c r="AQ36" s="76"/>
      <c r="AR36" s="76"/>
      <c r="AS36" s="76"/>
      <c r="AT36" s="76">
        <v>980.1</v>
      </c>
      <c r="AU36" s="76">
        <v>977.3</v>
      </c>
      <c r="AV36" s="76">
        <v>982.9</v>
      </c>
      <c r="AW36" s="76">
        <v>990.6</v>
      </c>
      <c r="AX36" s="76">
        <v>974</v>
      </c>
      <c r="AY36" s="76">
        <v>966.2</v>
      </c>
      <c r="AZ36" s="76">
        <v>958.4</v>
      </c>
      <c r="BA36" s="76">
        <v>973.7</v>
      </c>
      <c r="BB36" s="76">
        <v>961.2</v>
      </c>
      <c r="BC36" s="76">
        <v>953.6</v>
      </c>
      <c r="BD36" s="76">
        <v>933.4</v>
      </c>
      <c r="BE36" s="76">
        <v>1017.6</v>
      </c>
      <c r="BF36" s="76"/>
      <c r="BG36" s="76"/>
      <c r="BH36" s="76"/>
      <c r="BI36" s="76"/>
      <c r="BJ36" s="76"/>
      <c r="BK36" s="76">
        <v>1019.4</v>
      </c>
      <c r="BL36" s="76">
        <v>1046.5999999999999</v>
      </c>
      <c r="BM36" s="76">
        <v>990.45</v>
      </c>
      <c r="BN36" s="76">
        <v>965.96</v>
      </c>
      <c r="BO36" s="76">
        <v>1034.24</v>
      </c>
      <c r="BP36" s="76">
        <v>1026.48</v>
      </c>
      <c r="BQ36" s="76">
        <v>946.33</v>
      </c>
      <c r="BR36" s="76">
        <v>1030.0999999999999</v>
      </c>
      <c r="BS36" s="76">
        <v>1013.34</v>
      </c>
      <c r="BT36" s="76">
        <v>959.6</v>
      </c>
      <c r="BU36" s="76">
        <v>995.3</v>
      </c>
      <c r="BV36" s="76">
        <v>951.51</v>
      </c>
      <c r="BW36" s="76"/>
      <c r="BX36" s="76"/>
      <c r="BY36" s="76"/>
      <c r="BZ36" s="76"/>
      <c r="CA36" s="76"/>
      <c r="CB36" s="76">
        <v>994.2</v>
      </c>
      <c r="CC36" s="76">
        <v>1002</v>
      </c>
      <c r="CD36" s="76">
        <v>969.3</v>
      </c>
      <c r="CE36" s="76">
        <v>981.9</v>
      </c>
      <c r="CF36" s="76">
        <v>970.3</v>
      </c>
      <c r="CG36" s="76">
        <v>1072.4000000000001</v>
      </c>
      <c r="CH36" s="76">
        <v>1157.28</v>
      </c>
      <c r="CI36" s="76">
        <v>1096.7</v>
      </c>
      <c r="CJ36" s="76">
        <v>1135.53</v>
      </c>
      <c r="CK36" s="76">
        <v>1150.0999999999999</v>
      </c>
      <c r="CL36" s="76">
        <v>1204.33</v>
      </c>
    </row>
    <row r="37" spans="1:94" x14ac:dyDescent="0.25">
      <c r="A37" s="30"/>
      <c r="B37" s="26"/>
      <c r="C37" s="1" t="s">
        <v>73</v>
      </c>
      <c r="D37" s="20" t="s">
        <v>76</v>
      </c>
      <c r="E37" s="5" t="s">
        <v>139</v>
      </c>
      <c r="F37" s="1" t="s">
        <v>117</v>
      </c>
      <c r="G37" s="1" t="s">
        <v>30</v>
      </c>
      <c r="H37" s="1" t="s">
        <v>31</v>
      </c>
      <c r="I37" s="20" t="s">
        <v>21</v>
      </c>
      <c r="J37" s="2">
        <v>43101</v>
      </c>
      <c r="K37" s="18" t="s">
        <v>141</v>
      </c>
      <c r="U37" s="76">
        <v>634.1</v>
      </c>
      <c r="V37" s="76">
        <v>673</v>
      </c>
      <c r="W37" s="76">
        <v>5354.7</v>
      </c>
      <c r="X37" s="76"/>
      <c r="Y37" s="76"/>
      <c r="Z37" s="76"/>
      <c r="AA37" s="76"/>
      <c r="AB37" s="76"/>
      <c r="AC37" s="76">
        <v>10955.3</v>
      </c>
      <c r="AD37" s="76">
        <v>9811.7000000000007</v>
      </c>
      <c r="AE37" s="76">
        <v>9340.7999999999993</v>
      </c>
      <c r="AF37" s="76">
        <v>750.9</v>
      </c>
      <c r="AG37" s="76">
        <v>731.6</v>
      </c>
      <c r="AH37" s="76">
        <v>697.4</v>
      </c>
      <c r="AI37" s="76">
        <v>689.5</v>
      </c>
      <c r="AJ37" s="76">
        <v>677.8</v>
      </c>
      <c r="AK37" s="76">
        <v>718.9</v>
      </c>
      <c r="AL37" s="76">
        <v>744.3</v>
      </c>
      <c r="AM37" s="77">
        <v>743.4</v>
      </c>
      <c r="AN37" s="76">
        <v>773.8</v>
      </c>
      <c r="AO37" s="76"/>
      <c r="AP37" s="76"/>
      <c r="AQ37" s="76"/>
      <c r="AR37" s="76"/>
      <c r="AS37" s="76"/>
      <c r="AT37" s="76">
        <v>782.9</v>
      </c>
      <c r="AU37" s="76">
        <v>725</v>
      </c>
      <c r="AV37" s="76">
        <v>715.7</v>
      </c>
      <c r="AW37" s="76">
        <v>715.2</v>
      </c>
      <c r="AX37" s="76">
        <v>702.9</v>
      </c>
      <c r="AY37" s="76">
        <v>691.6</v>
      </c>
      <c r="AZ37" s="76">
        <v>721.6</v>
      </c>
      <c r="BA37" s="76">
        <v>726.1</v>
      </c>
      <c r="BB37" s="76">
        <v>740.75</v>
      </c>
      <c r="BC37" s="76">
        <v>715.2</v>
      </c>
      <c r="BD37" s="76">
        <v>658.2</v>
      </c>
      <c r="BE37" s="76">
        <v>689</v>
      </c>
      <c r="BF37" s="76"/>
      <c r="BG37" s="76"/>
      <c r="BH37" s="76"/>
      <c r="BI37" s="76"/>
      <c r="BJ37" s="76"/>
      <c r="BK37" s="76">
        <v>720.7</v>
      </c>
      <c r="BL37" s="76">
        <v>726</v>
      </c>
      <c r="BM37" s="76">
        <v>768.5</v>
      </c>
      <c r="BN37" s="76">
        <v>756.66</v>
      </c>
      <c r="BO37" s="76">
        <v>735.09</v>
      </c>
      <c r="BP37" s="76">
        <v>740.01</v>
      </c>
      <c r="BQ37" s="76">
        <v>843.8</v>
      </c>
      <c r="BR37" s="76">
        <v>694.79</v>
      </c>
      <c r="BS37" s="76">
        <v>863.19</v>
      </c>
      <c r="BT37" s="76">
        <v>812.1</v>
      </c>
      <c r="BU37" s="76">
        <v>824.8</v>
      </c>
      <c r="BV37" s="76">
        <v>888.7</v>
      </c>
      <c r="BW37" s="76"/>
      <c r="BX37" s="76"/>
      <c r="BY37" s="76"/>
      <c r="BZ37" s="76"/>
      <c r="CA37" s="76"/>
      <c r="CB37" s="76">
        <v>751.47</v>
      </c>
      <c r="CC37" s="76">
        <v>684.3</v>
      </c>
      <c r="CD37" s="76">
        <v>758.7</v>
      </c>
      <c r="CE37" s="76">
        <v>712.2</v>
      </c>
      <c r="CF37" s="76">
        <v>733.7</v>
      </c>
      <c r="CG37" s="76">
        <v>778.73</v>
      </c>
      <c r="CH37" s="76">
        <v>822.15</v>
      </c>
      <c r="CI37" s="76">
        <v>895.1</v>
      </c>
      <c r="CJ37" s="76">
        <v>832.5</v>
      </c>
      <c r="CK37" s="76">
        <v>773.8</v>
      </c>
      <c r="CL37" s="76">
        <v>817.9</v>
      </c>
    </row>
    <row r="38" spans="1:94" x14ac:dyDescent="0.25">
      <c r="A38" s="30"/>
      <c r="B38" s="26"/>
      <c r="C38" s="1" t="s">
        <v>78</v>
      </c>
      <c r="D38" s="20" t="s">
        <v>77</v>
      </c>
      <c r="E38" s="5" t="s">
        <v>137</v>
      </c>
      <c r="F38" s="1" t="s">
        <v>117</v>
      </c>
      <c r="G38" s="1" t="s">
        <v>30</v>
      </c>
      <c r="H38" s="1" t="s">
        <v>31</v>
      </c>
      <c r="I38" s="20" t="s">
        <v>21</v>
      </c>
      <c r="J38" s="2">
        <v>43101</v>
      </c>
      <c r="K38" s="18" t="s">
        <v>141</v>
      </c>
      <c r="U38" s="76">
        <v>42785.5</v>
      </c>
      <c r="V38" s="76">
        <v>42740.3</v>
      </c>
      <c r="W38" s="76">
        <v>42740.3</v>
      </c>
      <c r="X38" s="76"/>
      <c r="Y38" s="76"/>
      <c r="Z38" s="76"/>
      <c r="AA38" s="76"/>
      <c r="AB38" s="76"/>
      <c r="AC38" s="76">
        <v>40513.5</v>
      </c>
      <c r="AD38" s="76">
        <v>36630.1</v>
      </c>
      <c r="AE38" s="76">
        <v>35239.699999999997</v>
      </c>
      <c r="AF38" s="76">
        <v>34774.400000000001</v>
      </c>
      <c r="AG38" s="76">
        <v>41791</v>
      </c>
      <c r="AH38" s="76">
        <v>28349.200000000001</v>
      </c>
      <c r="AI38" s="76">
        <v>33804.6</v>
      </c>
      <c r="AJ38" s="76">
        <v>32881.199999999997</v>
      </c>
      <c r="AK38" s="76">
        <v>42483.5</v>
      </c>
      <c r="AL38" s="77">
        <v>44514.5</v>
      </c>
      <c r="AM38" s="76">
        <v>43391.8</v>
      </c>
      <c r="AN38" s="76">
        <v>40343.9</v>
      </c>
      <c r="AO38" s="76"/>
      <c r="AP38" s="76"/>
      <c r="AQ38" s="76"/>
      <c r="AR38" s="76"/>
      <c r="AS38" s="76"/>
      <c r="AT38" s="76">
        <v>42927.4</v>
      </c>
      <c r="AU38" s="76">
        <v>44799.6</v>
      </c>
      <c r="AV38" s="76">
        <v>43230.1</v>
      </c>
      <c r="AW38" s="76">
        <v>47479.8</v>
      </c>
      <c r="AX38" s="76">
        <v>51383.9</v>
      </c>
      <c r="AY38" s="76">
        <v>48900.3</v>
      </c>
      <c r="AZ38" s="76">
        <v>45674.400000000001</v>
      </c>
      <c r="BA38" s="76">
        <v>76416.5</v>
      </c>
      <c r="BB38" s="76">
        <v>83245.100000000006</v>
      </c>
      <c r="BC38" s="76">
        <v>74897.100000000006</v>
      </c>
      <c r="BD38" s="76">
        <v>48874.400000000001</v>
      </c>
      <c r="BE38" s="76">
        <v>37670.9</v>
      </c>
      <c r="BF38" s="76"/>
      <c r="BG38" s="76"/>
      <c r="BH38" s="76"/>
      <c r="BI38" s="76"/>
      <c r="BJ38" s="76"/>
      <c r="BK38" s="76">
        <v>35991.199999999997</v>
      </c>
      <c r="BL38" s="76">
        <v>36128.9</v>
      </c>
      <c r="BM38" s="76">
        <v>41457.599999999999</v>
      </c>
      <c r="BN38" s="76">
        <v>48225.4</v>
      </c>
      <c r="BO38" s="76">
        <v>78682</v>
      </c>
      <c r="BP38" s="76">
        <v>70951.23</v>
      </c>
      <c r="BQ38" s="76">
        <v>38313.68</v>
      </c>
      <c r="BR38" s="76">
        <v>45877.74</v>
      </c>
      <c r="BS38" s="76">
        <v>47101.32</v>
      </c>
      <c r="BT38" s="76">
        <v>45361.2</v>
      </c>
      <c r="BU38" s="76">
        <v>47927.1</v>
      </c>
      <c r="BV38" s="76">
        <v>47916.9</v>
      </c>
      <c r="BW38" s="76"/>
      <c r="BX38" s="76"/>
      <c r="BY38" s="76"/>
      <c r="BZ38" s="76"/>
      <c r="CA38" s="76"/>
      <c r="CB38" s="76">
        <v>41389.82</v>
      </c>
      <c r="CC38" s="76">
        <v>43131.4</v>
      </c>
      <c r="CD38" s="76">
        <v>41855.1</v>
      </c>
      <c r="CE38" s="76">
        <v>56254.7</v>
      </c>
      <c r="CF38" s="76">
        <v>51877.599999999999</v>
      </c>
      <c r="CG38" s="76">
        <v>45690.3</v>
      </c>
      <c r="CH38" s="76">
        <v>47130.6</v>
      </c>
      <c r="CI38" s="76">
        <v>46608.9</v>
      </c>
      <c r="CJ38" s="76">
        <v>38416.9</v>
      </c>
      <c r="CK38" s="76">
        <v>41638.300000000003</v>
      </c>
      <c r="CL38" s="76">
        <v>39375.17</v>
      </c>
    </row>
    <row r="39" spans="1:94" x14ac:dyDescent="0.25">
      <c r="A39" s="30"/>
      <c r="B39" s="26"/>
      <c r="C39" s="1" t="s">
        <v>78</v>
      </c>
      <c r="D39" s="20" t="s">
        <v>79</v>
      </c>
      <c r="E39" s="5" t="s">
        <v>140</v>
      </c>
      <c r="F39" s="1" t="s">
        <v>117</v>
      </c>
      <c r="G39" s="1" t="s">
        <v>30</v>
      </c>
      <c r="H39" s="1" t="s">
        <v>31</v>
      </c>
      <c r="I39" s="20" t="s">
        <v>21</v>
      </c>
      <c r="J39" s="2">
        <v>43101</v>
      </c>
      <c r="K39" s="18" t="s">
        <v>141</v>
      </c>
      <c r="U39" s="76">
        <v>92936.9</v>
      </c>
      <c r="V39" s="76">
        <v>93501.8</v>
      </c>
      <c r="W39" s="76">
        <v>92682</v>
      </c>
      <c r="X39" s="76"/>
      <c r="Y39" s="76"/>
      <c r="Z39" s="76"/>
      <c r="AA39" s="76"/>
      <c r="AB39" s="76"/>
      <c r="AC39" s="76">
        <v>104816.8</v>
      </c>
      <c r="AD39" s="76">
        <v>101305.1</v>
      </c>
      <c r="AE39" s="76">
        <v>102606.6</v>
      </c>
      <c r="AF39" s="76">
        <v>99810</v>
      </c>
      <c r="AG39" s="76">
        <v>98546.7</v>
      </c>
      <c r="AH39" s="76">
        <v>94540.4</v>
      </c>
      <c r="AI39" s="76">
        <v>93445.8</v>
      </c>
      <c r="AJ39" s="76">
        <v>50774.7</v>
      </c>
      <c r="AK39" s="76">
        <v>97989.2</v>
      </c>
      <c r="AL39" s="76">
        <v>95516.6</v>
      </c>
      <c r="AM39" s="77">
        <v>96749.1</v>
      </c>
      <c r="AN39" s="76">
        <v>96218.5</v>
      </c>
      <c r="AO39" s="76"/>
      <c r="AP39" s="76"/>
      <c r="AQ39" s="76"/>
      <c r="AR39" s="76"/>
      <c r="AS39" s="76"/>
      <c r="AT39" s="76">
        <v>91261</v>
      </c>
      <c r="AU39" s="76">
        <v>93099.4</v>
      </c>
      <c r="AV39" s="76">
        <v>96915.7</v>
      </c>
      <c r="AW39" s="76">
        <v>96893.8</v>
      </c>
      <c r="AX39" s="76">
        <v>92918.399999999994</v>
      </c>
      <c r="AY39" s="76">
        <v>92685.2</v>
      </c>
      <c r="AZ39" s="76">
        <v>95347.3</v>
      </c>
      <c r="BA39" s="76">
        <v>95755</v>
      </c>
      <c r="BB39" s="76">
        <v>95815.7</v>
      </c>
      <c r="BC39" s="76">
        <v>94573.6</v>
      </c>
      <c r="BD39" s="76">
        <v>99101</v>
      </c>
      <c r="BE39" s="76">
        <v>100593.9</v>
      </c>
      <c r="BF39" s="76"/>
      <c r="BG39" s="76"/>
      <c r="BH39" s="76"/>
      <c r="BI39" s="76"/>
      <c r="BJ39" s="76"/>
      <c r="BK39" s="76">
        <v>104686</v>
      </c>
      <c r="BL39" s="76">
        <v>105596.1</v>
      </c>
      <c r="BM39" s="76">
        <v>103929.5</v>
      </c>
      <c r="BN39" s="76">
        <v>93661.21</v>
      </c>
      <c r="BO39" s="76">
        <v>96249.21</v>
      </c>
      <c r="BP39" s="76">
        <v>99041.96</v>
      </c>
      <c r="BQ39" s="76">
        <v>100876.22</v>
      </c>
      <c r="BR39" s="76">
        <v>117115.49</v>
      </c>
      <c r="BS39" s="76">
        <v>122017.43</v>
      </c>
      <c r="BT39" s="76">
        <v>127360.2</v>
      </c>
      <c r="BU39" s="76">
        <v>119269.83</v>
      </c>
      <c r="BV39" s="76">
        <v>107497.61</v>
      </c>
      <c r="BW39" s="76"/>
      <c r="BX39" s="76"/>
      <c r="BY39" s="76"/>
      <c r="BZ39" s="76"/>
      <c r="CA39" s="76"/>
      <c r="CB39" s="76">
        <v>120822.7</v>
      </c>
      <c r="CC39" s="76">
        <v>122063.29</v>
      </c>
      <c r="CD39" s="76">
        <v>118703.2</v>
      </c>
      <c r="CE39" s="76">
        <v>103171</v>
      </c>
      <c r="CF39" s="76">
        <v>109952.7</v>
      </c>
      <c r="CG39" s="76">
        <v>114191.5</v>
      </c>
      <c r="CH39" s="76">
        <v>140707.63</v>
      </c>
      <c r="CI39" s="76">
        <v>153347</v>
      </c>
      <c r="CJ39" s="76">
        <v>157236.13</v>
      </c>
      <c r="CK39" s="76">
        <v>155499.20000000001</v>
      </c>
      <c r="CL39" s="76">
        <v>130854.87</v>
      </c>
    </row>
    <row r="40" spans="1:94" x14ac:dyDescent="0.25">
      <c r="A40" s="30"/>
      <c r="B40" s="26"/>
      <c r="C40" s="1" t="s">
        <v>78</v>
      </c>
      <c r="D40" s="20" t="s">
        <v>80</v>
      </c>
      <c r="E40" s="5" t="s">
        <v>138</v>
      </c>
      <c r="F40" s="1" t="s">
        <v>117</v>
      </c>
      <c r="G40" s="1" t="s">
        <v>30</v>
      </c>
      <c r="H40" s="1" t="s">
        <v>31</v>
      </c>
      <c r="I40" s="20" t="s">
        <v>21</v>
      </c>
      <c r="J40" s="2">
        <v>43101</v>
      </c>
      <c r="K40" s="18" t="s">
        <v>141</v>
      </c>
      <c r="U40" s="76">
        <v>65053.3</v>
      </c>
      <c r="V40" s="76">
        <v>64318.7</v>
      </c>
      <c r="W40" s="76">
        <v>72273.8</v>
      </c>
      <c r="X40" s="76"/>
      <c r="Y40" s="76"/>
      <c r="Z40" s="76"/>
      <c r="AA40" s="76"/>
      <c r="AB40" s="76"/>
      <c r="AC40" s="76">
        <v>83583.199999999997</v>
      </c>
      <c r="AD40" s="76">
        <v>79008.800000000003</v>
      </c>
      <c r="AE40" s="76">
        <v>79727.8</v>
      </c>
      <c r="AF40" s="76">
        <v>69814.3</v>
      </c>
      <c r="AG40" s="76">
        <v>75625.8</v>
      </c>
      <c r="AH40" s="76">
        <v>72858.899999999994</v>
      </c>
      <c r="AI40" s="76">
        <v>70804.5</v>
      </c>
      <c r="AJ40" s="76">
        <v>70791</v>
      </c>
      <c r="AK40" s="76">
        <v>88454.9</v>
      </c>
      <c r="AL40" s="76">
        <v>50889.3</v>
      </c>
      <c r="AM40" s="77">
        <v>50446.2</v>
      </c>
      <c r="AN40" s="76">
        <v>51295.4</v>
      </c>
      <c r="AO40" s="76"/>
      <c r="AP40" s="76"/>
      <c r="AQ40" s="76"/>
      <c r="AR40" s="76"/>
      <c r="AS40" s="76"/>
      <c r="AT40" s="76">
        <v>49905.1</v>
      </c>
      <c r="AU40" s="76">
        <v>49590.1</v>
      </c>
      <c r="AV40" s="76">
        <v>48847.3</v>
      </c>
      <c r="AW40" s="76">
        <v>49427.8</v>
      </c>
      <c r="AX40" s="76">
        <v>49746.1</v>
      </c>
      <c r="AY40" s="76">
        <v>54417.8</v>
      </c>
      <c r="AZ40" s="76">
        <v>55918.2</v>
      </c>
      <c r="BA40" s="76">
        <v>56525.8</v>
      </c>
      <c r="BB40" s="76">
        <v>51836.4</v>
      </c>
      <c r="BC40" s="76">
        <v>51051.3</v>
      </c>
      <c r="BD40" s="76">
        <v>46432.1</v>
      </c>
      <c r="BE40" s="76">
        <v>48860.9</v>
      </c>
      <c r="BF40" s="76"/>
      <c r="BG40" s="76"/>
      <c r="BH40" s="76"/>
      <c r="BI40" s="76"/>
      <c r="BJ40" s="76"/>
      <c r="BK40" s="76">
        <v>51664.63</v>
      </c>
      <c r="BL40" s="76">
        <v>55620.9</v>
      </c>
      <c r="BM40" s="76">
        <v>58391.6</v>
      </c>
      <c r="BN40" s="76">
        <v>53980.13</v>
      </c>
      <c r="BO40" s="76">
        <v>55614.69</v>
      </c>
      <c r="BP40" s="76">
        <v>57833.31</v>
      </c>
      <c r="BQ40" s="76">
        <v>83746.28</v>
      </c>
      <c r="BR40" s="76">
        <v>91362.99</v>
      </c>
      <c r="BS40" s="76">
        <v>90917.2</v>
      </c>
      <c r="BT40" s="76">
        <v>88329.7</v>
      </c>
      <c r="BU40" s="76">
        <v>98891.27</v>
      </c>
      <c r="BV40" s="76">
        <v>87040.83</v>
      </c>
      <c r="BW40" s="76"/>
      <c r="BX40" s="76"/>
      <c r="BY40" s="76"/>
      <c r="BZ40" s="76"/>
      <c r="CA40" s="76"/>
      <c r="CB40" s="76">
        <v>60035.8</v>
      </c>
      <c r="CC40" s="76">
        <v>64440.2</v>
      </c>
      <c r="CD40" s="76">
        <v>62550.7</v>
      </c>
      <c r="CE40" s="76">
        <v>64102.5</v>
      </c>
      <c r="CF40" s="76">
        <v>82456.600000000006</v>
      </c>
      <c r="CG40" s="76">
        <v>79387.8</v>
      </c>
      <c r="CH40" s="76">
        <v>76039.83</v>
      </c>
      <c r="CI40" s="76">
        <v>66714.8</v>
      </c>
      <c r="CJ40" s="76">
        <v>63573.67</v>
      </c>
      <c r="CK40" s="76">
        <v>69475.100000000006</v>
      </c>
      <c r="CL40" s="76">
        <v>68502.83</v>
      </c>
    </row>
    <row r="41" spans="1:94" x14ac:dyDescent="0.25">
      <c r="A41" s="30">
        <v>22</v>
      </c>
      <c r="B41" s="26"/>
      <c r="C41" s="1" t="s">
        <v>88</v>
      </c>
      <c r="D41" s="75" t="s">
        <v>114</v>
      </c>
      <c r="E41" s="5" t="s">
        <v>35</v>
      </c>
      <c r="F41" s="1" t="s">
        <v>118</v>
      </c>
      <c r="G41" s="1" t="s">
        <v>33</v>
      </c>
      <c r="H41" s="28" t="s">
        <v>110</v>
      </c>
      <c r="I41" s="17" t="s">
        <v>26</v>
      </c>
      <c r="J41" s="2">
        <v>43101</v>
      </c>
      <c r="K41" s="18" t="s">
        <v>123</v>
      </c>
      <c r="X41" s="50">
        <v>76.7</v>
      </c>
      <c r="Y41" s="50">
        <f>134.6-X41</f>
        <v>57.899999999999991</v>
      </c>
      <c r="Z41" s="50">
        <f>195.2-Y41-X41</f>
        <v>60.600000000000009</v>
      </c>
      <c r="AA41" s="50">
        <f>362.3-Z41-Y41-X41</f>
        <v>167.10000000000002</v>
      </c>
      <c r="AB41" s="62">
        <f>SUM(X41:AA41)</f>
        <v>362.3</v>
      </c>
      <c r="AC41" s="61"/>
      <c r="AO41" s="49">
        <v>53</v>
      </c>
      <c r="AP41" s="50">
        <f>184.3-AO41</f>
        <v>131.30000000000001</v>
      </c>
      <c r="AQ41" s="50">
        <f>250.4-AP41-AO41</f>
        <v>66.099999999999994</v>
      </c>
      <c r="AR41" s="50">
        <f>344.4-AQ41-AP41-AO41</f>
        <v>93.999999999999943</v>
      </c>
      <c r="AS41" s="50">
        <v>344.4</v>
      </c>
      <c r="BF41" s="50">
        <v>104.8</v>
      </c>
      <c r="BG41" s="50">
        <f>206.6-BF41</f>
        <v>101.8</v>
      </c>
      <c r="BH41" s="50">
        <f>281.4-BG41-BF41</f>
        <v>74.799999999999969</v>
      </c>
      <c r="BI41" s="50">
        <f>327.9-BH41-BG41-BF41</f>
        <v>46.500000000000014</v>
      </c>
      <c r="BJ41" s="50">
        <v>327.9</v>
      </c>
      <c r="BW41" s="50">
        <v>106.8</v>
      </c>
      <c r="BX41" s="50">
        <f>219.6-BW41</f>
        <v>112.8</v>
      </c>
      <c r="BY41" s="50">
        <f>372.7-BX41-BW41</f>
        <v>153.09999999999997</v>
      </c>
      <c r="BZ41" s="50">
        <f>559.4-BY41-BX41-BW41</f>
        <v>186.7</v>
      </c>
      <c r="CA41" s="50">
        <v>559.4</v>
      </c>
      <c r="CN41" s="50">
        <v>92.3</v>
      </c>
      <c r="CO41" s="50">
        <v>238.7</v>
      </c>
      <c r="CP41" s="50">
        <v>379.2</v>
      </c>
    </row>
    <row r="42" spans="1:94" x14ac:dyDescent="0.25">
      <c r="A42" s="30">
        <v>23</v>
      </c>
      <c r="B42" s="26" t="s">
        <v>85</v>
      </c>
      <c r="C42" s="1" t="s">
        <v>88</v>
      </c>
      <c r="D42" s="1" t="s">
        <v>84</v>
      </c>
      <c r="E42" s="5" t="s">
        <v>36</v>
      </c>
      <c r="F42" s="1" t="s">
        <v>118</v>
      </c>
      <c r="G42" s="1" t="s">
        <v>33</v>
      </c>
      <c r="H42" s="28" t="s">
        <v>110</v>
      </c>
      <c r="I42" s="17" t="s">
        <v>26</v>
      </c>
      <c r="J42" s="2">
        <v>43831</v>
      </c>
      <c r="K42" s="18" t="s">
        <v>123</v>
      </c>
      <c r="X42" s="50">
        <v>33.299999999999997</v>
      </c>
      <c r="Y42" s="50">
        <v>31.600000000000009</v>
      </c>
      <c r="Z42" s="49">
        <v>31.099999999999994</v>
      </c>
      <c r="AA42" s="50">
        <v>56.300000000000011</v>
      </c>
      <c r="AB42" s="62">
        <f>SUM(X42:AA42)</f>
        <v>152.30000000000001</v>
      </c>
      <c r="AC42" s="61"/>
      <c r="AO42" s="68">
        <v>14.6</v>
      </c>
      <c r="AP42" s="42">
        <v>57.699999999999996</v>
      </c>
      <c r="AQ42" s="42">
        <v>40.799999999999997</v>
      </c>
      <c r="AR42" s="42">
        <v>42.700000000000017</v>
      </c>
      <c r="AS42" s="42">
        <f>SUM(AO42:AR42)</f>
        <v>155.80000000000001</v>
      </c>
      <c r="BF42" s="50">
        <v>36.1</v>
      </c>
      <c r="BG42" s="50">
        <v>35.6</v>
      </c>
      <c r="BH42" s="50">
        <v>37.399999999999991</v>
      </c>
      <c r="BI42" s="50">
        <v>15.700000000000003</v>
      </c>
      <c r="BJ42" s="9">
        <f>SUM(BF42:BI42)</f>
        <v>124.8</v>
      </c>
      <c r="BW42" s="50">
        <v>23.1</v>
      </c>
      <c r="BX42" s="50">
        <v>37.199999999999996</v>
      </c>
      <c r="BY42" s="50">
        <v>33.5</v>
      </c>
      <c r="BZ42" s="50">
        <v>94.3</v>
      </c>
      <c r="CA42" s="70">
        <f>SUM(BW42:BZ42)</f>
        <v>188.1</v>
      </c>
      <c r="CN42" s="50">
        <v>32.700000000000003</v>
      </c>
      <c r="CO42" s="50">
        <v>45.2</v>
      </c>
      <c r="CP42" s="50">
        <v>54.5</v>
      </c>
    </row>
    <row r="43" spans="1:94" x14ac:dyDescent="0.25">
      <c r="A43" s="30">
        <v>24</v>
      </c>
      <c r="B43" s="1"/>
      <c r="C43" s="1" t="s">
        <v>92</v>
      </c>
      <c r="D43" s="1" t="s">
        <v>89</v>
      </c>
      <c r="E43" s="5" t="s">
        <v>67</v>
      </c>
      <c r="F43" s="1" t="s">
        <v>117</v>
      </c>
      <c r="G43" s="1" t="s">
        <v>23</v>
      </c>
      <c r="H43" s="1" t="s">
        <v>68</v>
      </c>
      <c r="I43" s="20" t="s">
        <v>21</v>
      </c>
      <c r="J43" s="21">
        <v>43905</v>
      </c>
      <c r="K43" s="18" t="s">
        <v>123</v>
      </c>
      <c r="Y43" s="67"/>
      <c r="Z43" s="67"/>
      <c r="AA43" s="67"/>
      <c r="AC43" s="61"/>
      <c r="AO43" s="50"/>
      <c r="AP43" s="50"/>
      <c r="AQ43" s="50"/>
      <c r="AR43" s="50"/>
      <c r="AV43" s="12">
        <v>1.5</v>
      </c>
      <c r="AW43" s="12">
        <v>-32.825000000000003</v>
      </c>
      <c r="AX43" s="12">
        <v>-28.86</v>
      </c>
      <c r="AY43" s="12">
        <v>-8.0500000000000007</v>
      </c>
      <c r="AZ43" s="12">
        <v>4.7249999999999996</v>
      </c>
      <c r="BA43" s="12">
        <v>7.58</v>
      </c>
      <c r="BB43" s="12">
        <v>8.6999999999999993</v>
      </c>
      <c r="BC43" s="12">
        <v>6.9749999999999996</v>
      </c>
      <c r="BD43" s="12">
        <v>5.84</v>
      </c>
      <c r="BE43" s="12">
        <v>6.4249999999999998</v>
      </c>
      <c r="BF43" s="15"/>
      <c r="BG43" s="69"/>
      <c r="BH43" s="69"/>
      <c r="BI43" s="69"/>
      <c r="BJ43" s="15"/>
      <c r="BK43" s="12">
        <v>4.24</v>
      </c>
      <c r="BL43" s="12">
        <v>6.3</v>
      </c>
      <c r="BM43" s="12">
        <v>7.7249999999999996</v>
      </c>
      <c r="BN43" s="12">
        <v>10.199999999999999</v>
      </c>
      <c r="BO43" s="12">
        <v>11.02</v>
      </c>
      <c r="BP43" s="12">
        <v>17.675000000000001</v>
      </c>
      <c r="BQ43" s="12">
        <v>19.05</v>
      </c>
      <c r="BR43" s="12">
        <v>19.920000000000002</v>
      </c>
      <c r="BS43" s="12">
        <v>20.149999999999999</v>
      </c>
      <c r="BT43" s="12">
        <v>17</v>
      </c>
      <c r="BU43" s="12">
        <v>15.55</v>
      </c>
      <c r="BV43" s="12">
        <v>16.375</v>
      </c>
      <c r="BW43" s="15"/>
      <c r="BX43" s="69"/>
      <c r="BY43" s="69"/>
      <c r="BZ43" s="69"/>
      <c r="CA43" s="15"/>
      <c r="CB43" s="12">
        <v>13.3</v>
      </c>
      <c r="CC43" s="12">
        <v>15.5</v>
      </c>
      <c r="CD43" s="12">
        <v>15.2</v>
      </c>
      <c r="CE43" s="12">
        <v>16.074999999999999</v>
      </c>
      <c r="CF43" s="12">
        <v>18.38</v>
      </c>
      <c r="CG43" s="12">
        <v>22.975000000000001</v>
      </c>
      <c r="CH43" s="12">
        <v>25.2</v>
      </c>
      <c r="CI43" s="12">
        <v>26.5</v>
      </c>
      <c r="CJ43" s="12">
        <v>27.7</v>
      </c>
      <c r="CK43" s="12"/>
      <c r="CO43" s="67"/>
      <c r="CP43" s="67"/>
    </row>
    <row r="44" spans="1:94" x14ac:dyDescent="0.25">
      <c r="A44" s="30">
        <v>25</v>
      </c>
      <c r="B44" s="29" t="s">
        <v>95</v>
      </c>
      <c r="C44" s="29" t="s">
        <v>98</v>
      </c>
      <c r="D44" s="1" t="s">
        <v>63</v>
      </c>
      <c r="E44" s="5" t="s">
        <v>22</v>
      </c>
      <c r="F44" s="1" t="s">
        <v>117</v>
      </c>
      <c r="G44" s="1" t="s">
        <v>23</v>
      </c>
      <c r="H44" s="1" t="s">
        <v>41</v>
      </c>
      <c r="I44" s="20" t="s">
        <v>21</v>
      </c>
      <c r="J44" s="2">
        <v>43800</v>
      </c>
      <c r="K44" s="18" t="s">
        <v>123</v>
      </c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12">
        <v>80.354839999999996</v>
      </c>
      <c r="AO44" s="15"/>
      <c r="AP44" s="15"/>
      <c r="AQ44" s="15"/>
      <c r="AR44" s="15"/>
      <c r="AS44" s="15"/>
      <c r="AT44" s="12">
        <v>66.548389999999998</v>
      </c>
      <c r="AU44" s="12">
        <v>78.413790000000006</v>
      </c>
      <c r="AV44" s="12">
        <v>75.74194</v>
      </c>
      <c r="AW44" s="12">
        <v>47.266669999999998</v>
      </c>
      <c r="AX44" s="12">
        <v>60.548389999999998</v>
      </c>
      <c r="AY44" s="12">
        <v>75.900000000000006</v>
      </c>
      <c r="AZ44" s="12">
        <v>82.806449999999998</v>
      </c>
      <c r="BA44" s="12">
        <v>83.838710000000006</v>
      </c>
      <c r="BB44" s="12">
        <v>88.066670000000002</v>
      </c>
      <c r="BC44" s="12">
        <v>88.74194</v>
      </c>
      <c r="BD44" s="12">
        <v>77.5</v>
      </c>
      <c r="BE44" s="15"/>
      <c r="BF44" s="15"/>
      <c r="BG44" s="15"/>
      <c r="BH44" s="15"/>
      <c r="BI44" s="15"/>
      <c r="BJ44" s="15"/>
      <c r="BK44" s="78"/>
      <c r="BL44" s="78"/>
      <c r="BM44" s="78"/>
      <c r="BN44" s="78"/>
      <c r="BO44" s="78"/>
      <c r="BP44" s="78"/>
      <c r="BQ44" s="78"/>
      <c r="BR44" s="78"/>
      <c r="BS44" s="12">
        <v>87.066670000000002</v>
      </c>
      <c r="BT44" s="12">
        <v>81.516130000000004</v>
      </c>
      <c r="BU44" s="12">
        <v>75.266670000000005</v>
      </c>
      <c r="BV44" s="12">
        <v>78.620689999999996</v>
      </c>
      <c r="BW44" s="15"/>
      <c r="BX44" s="15"/>
      <c r="BY44" s="15"/>
      <c r="BZ44" s="15"/>
      <c r="CA44" s="15"/>
      <c r="CB44" s="12">
        <v>61.3</v>
      </c>
      <c r="CC44" s="12">
        <v>71.142859999999999</v>
      </c>
      <c r="CD44" s="12">
        <v>58.483870000000003</v>
      </c>
      <c r="CE44" s="12">
        <v>61.4</v>
      </c>
      <c r="CF44" s="12">
        <v>59.580649999999999</v>
      </c>
      <c r="CG44" s="12">
        <v>62.966670000000001</v>
      </c>
      <c r="CH44" s="12">
        <v>61.645159999999997</v>
      </c>
      <c r="CI44" s="12">
        <v>60.87097</v>
      </c>
      <c r="CJ44" s="12">
        <v>60.8</v>
      </c>
      <c r="CK44" s="12">
        <v>55.516129999999997</v>
      </c>
      <c r="CL44" s="12">
        <v>52.22222</v>
      </c>
    </row>
    <row r="45" spans="1:94" x14ac:dyDescent="0.25">
      <c r="A45" s="30">
        <v>26</v>
      </c>
      <c r="B45" s="1"/>
      <c r="C45" s="28" t="s">
        <v>97</v>
      </c>
      <c r="D45" s="24" t="s">
        <v>64</v>
      </c>
      <c r="E45" s="5" t="s">
        <v>61</v>
      </c>
      <c r="F45" s="28" t="s">
        <v>119</v>
      </c>
      <c r="G45" s="1" t="s">
        <v>23</v>
      </c>
      <c r="H45" s="1" t="s">
        <v>41</v>
      </c>
      <c r="I45" s="20" t="s">
        <v>21</v>
      </c>
      <c r="J45" s="2">
        <v>43497</v>
      </c>
      <c r="K45" s="18" t="s">
        <v>123</v>
      </c>
      <c r="AC45" s="60"/>
      <c r="AD45" s="33">
        <v>83.074074074074076</v>
      </c>
      <c r="AE45" s="33">
        <v>88.806451612903231</v>
      </c>
      <c r="AF45" s="33">
        <v>98.333333333333329</v>
      </c>
      <c r="AG45" s="33">
        <v>96.967741935483872</v>
      </c>
      <c r="AH45" s="33">
        <v>107.56666666666666</v>
      </c>
      <c r="AI45" s="33">
        <v>104.23333333333333</v>
      </c>
      <c r="AJ45" s="33">
        <v>99.903225806451616</v>
      </c>
      <c r="AK45" s="33">
        <v>105.3</v>
      </c>
      <c r="AL45" s="33">
        <v>104.16129032258064</v>
      </c>
      <c r="AM45" s="33">
        <v>109.46666666666667</v>
      </c>
      <c r="AN45" s="33">
        <v>119.61290322580645</v>
      </c>
      <c r="AT45" s="60">
        <v>88.096774193548384</v>
      </c>
      <c r="AU45" s="60">
        <v>97.571428571428569</v>
      </c>
      <c r="AV45" s="60">
        <v>118.90322580645162</v>
      </c>
      <c r="AW45" s="60">
        <v>58.06666666666667</v>
      </c>
      <c r="AX45" s="60">
        <v>89.516129032258064</v>
      </c>
      <c r="AY45" s="60">
        <v>118.16666666666667</v>
      </c>
      <c r="AZ45" s="60">
        <v>128.73333333333332</v>
      </c>
      <c r="BA45" s="60">
        <v>124.7741935483871</v>
      </c>
      <c r="BB45" s="60">
        <v>123.86666666666666</v>
      </c>
      <c r="BC45" s="60">
        <v>129.80645161290323</v>
      </c>
      <c r="BD45" s="60">
        <v>144.96666666666667</v>
      </c>
      <c r="BE45" s="60">
        <v>168.29032258064515</v>
      </c>
      <c r="BK45" s="33">
        <v>125.3225806451613</v>
      </c>
      <c r="BL45" s="33">
        <v>145.53571428571428</v>
      </c>
      <c r="BM45" s="33">
        <v>143.48387096774192</v>
      </c>
      <c r="BN45" s="33">
        <v>164.43333333333334</v>
      </c>
      <c r="BO45" s="33">
        <v>167.80645161290323</v>
      </c>
      <c r="BP45" s="33">
        <v>175.8</v>
      </c>
      <c r="BQ45" s="33">
        <v>173.03333333333333</v>
      </c>
      <c r="BR45" s="33">
        <v>172.03225806451613</v>
      </c>
      <c r="BS45" s="33">
        <v>167.9</v>
      </c>
      <c r="BT45" s="33">
        <v>172.35483870967741</v>
      </c>
      <c r="BU45" s="33">
        <v>179.76666666666668</v>
      </c>
      <c r="BV45" s="33">
        <v>195.7741935483871</v>
      </c>
      <c r="CB45" s="33">
        <v>133.51612903225808</v>
      </c>
      <c r="CC45" s="33">
        <v>178.35714285714286</v>
      </c>
      <c r="CD45" s="33">
        <v>182.06451612903226</v>
      </c>
      <c r="CE45" s="33">
        <v>126.9</v>
      </c>
      <c r="CF45" s="33">
        <v>123.25806451612904</v>
      </c>
      <c r="CG45" s="33">
        <v>120.53333333333333</v>
      </c>
      <c r="CH45" s="33">
        <v>108.16666666666667</v>
      </c>
      <c r="CI45" s="33">
        <v>115</v>
      </c>
      <c r="CJ45" s="33">
        <v>111.06666666666666</v>
      </c>
      <c r="CK45" s="33">
        <v>108.2258064516129</v>
      </c>
      <c r="CL45" s="33">
        <v>107.375</v>
      </c>
      <c r="CM45" s="60"/>
    </row>
    <row r="46" spans="1:94" x14ac:dyDescent="0.25">
      <c r="A46" s="30">
        <v>27</v>
      </c>
      <c r="B46" s="1"/>
      <c r="C46" s="28" t="s">
        <v>97</v>
      </c>
      <c r="D46" s="24" t="s">
        <v>65</v>
      </c>
      <c r="E46" s="5" t="s">
        <v>61</v>
      </c>
      <c r="F46" s="28" t="s">
        <v>119</v>
      </c>
      <c r="G46" s="1" t="s">
        <v>23</v>
      </c>
      <c r="H46" s="1" t="s">
        <v>41</v>
      </c>
      <c r="I46" s="20" t="s">
        <v>21</v>
      </c>
      <c r="J46" s="2">
        <v>43497</v>
      </c>
      <c r="K46" s="18" t="s">
        <v>123</v>
      </c>
      <c r="AC46" s="60"/>
      <c r="AD46" s="33">
        <v>92.666666666666671</v>
      </c>
      <c r="AE46" s="33">
        <v>100.45161290322581</v>
      </c>
      <c r="AF46" s="33">
        <v>100.43333333333334</v>
      </c>
      <c r="AG46" s="33">
        <v>88.225806451612897</v>
      </c>
      <c r="AH46" s="33">
        <v>91.13333333333334</v>
      </c>
      <c r="AI46" s="33">
        <v>119.26666666666667</v>
      </c>
      <c r="AJ46" s="33">
        <v>98.322580645161295</v>
      </c>
      <c r="AK46" s="33">
        <v>98.8</v>
      </c>
      <c r="AL46" s="33">
        <v>119.29032258064517</v>
      </c>
      <c r="AM46" s="33">
        <v>111.46666666666667</v>
      </c>
      <c r="AN46" s="33">
        <v>114.45161290322581</v>
      </c>
      <c r="AT46" s="60">
        <v>111.93548387096774</v>
      </c>
      <c r="AU46" s="60">
        <v>134.17857142857142</v>
      </c>
      <c r="AV46" s="60">
        <v>123.38709677419355</v>
      </c>
      <c r="AW46" s="60">
        <v>47.166666666666664</v>
      </c>
      <c r="AX46" s="60">
        <v>75.161290322580641</v>
      </c>
      <c r="AY46" s="60">
        <v>119.3</v>
      </c>
      <c r="AZ46" s="60">
        <v>159.56666666666666</v>
      </c>
      <c r="BA46" s="60">
        <v>142.29032258064515</v>
      </c>
      <c r="BB46" s="60">
        <v>145.69999999999999</v>
      </c>
      <c r="BC46" s="60">
        <v>159.61290322580646</v>
      </c>
      <c r="BD46" s="60">
        <v>158.93333333333334</v>
      </c>
      <c r="BE46" s="60">
        <v>153.61290322580646</v>
      </c>
      <c r="BK46" s="33">
        <v>145.06451612903226</v>
      </c>
      <c r="BL46" s="33">
        <v>169.10714285714286</v>
      </c>
      <c r="BM46" s="33">
        <v>187.54838709677421</v>
      </c>
      <c r="BN46" s="33">
        <v>195.3</v>
      </c>
      <c r="BO46" s="33">
        <v>181.67741935483872</v>
      </c>
      <c r="BP46" s="33">
        <v>187.66666666666666</v>
      </c>
      <c r="BQ46" s="33">
        <v>204.6</v>
      </c>
      <c r="BR46" s="33">
        <v>179.19354838709677</v>
      </c>
      <c r="BS46" s="33">
        <v>193.7</v>
      </c>
      <c r="BT46" s="33">
        <v>201.32258064516128</v>
      </c>
      <c r="BU46" s="33">
        <v>208.96666666666667</v>
      </c>
      <c r="BV46" s="33">
        <v>196.25806451612902</v>
      </c>
      <c r="CB46" s="33">
        <v>173.67741935483872</v>
      </c>
      <c r="CC46" s="33">
        <v>221.32142857142858</v>
      </c>
      <c r="CD46" s="33">
        <v>199.83870967741936</v>
      </c>
      <c r="CE46" s="33">
        <v>187.33333333333334</v>
      </c>
      <c r="CF46" s="33">
        <v>170.25806451612902</v>
      </c>
      <c r="CG46" s="33">
        <v>169.9</v>
      </c>
      <c r="CH46" s="33">
        <v>176.2</v>
      </c>
      <c r="CI46" s="33">
        <v>173.29032258064515</v>
      </c>
      <c r="CJ46" s="33">
        <v>175.16666666666666</v>
      </c>
      <c r="CK46" s="33">
        <v>176.25806451612902</v>
      </c>
      <c r="CL46" s="33">
        <v>169.125</v>
      </c>
      <c r="CM46" s="60"/>
    </row>
    <row r="47" spans="1:94" x14ac:dyDescent="0.25">
      <c r="A47" s="30">
        <v>28</v>
      </c>
      <c r="B47" s="1"/>
      <c r="C47" s="28" t="s">
        <v>97</v>
      </c>
      <c r="D47" s="24" t="s">
        <v>66</v>
      </c>
      <c r="E47" s="5" t="s">
        <v>61</v>
      </c>
      <c r="F47" s="28" t="s">
        <v>119</v>
      </c>
      <c r="G47" s="1" t="s">
        <v>23</v>
      </c>
      <c r="H47" s="1" t="s">
        <v>41</v>
      </c>
      <c r="I47" s="20" t="s">
        <v>21</v>
      </c>
      <c r="J47" s="2">
        <v>43497</v>
      </c>
      <c r="K47" s="18" t="s">
        <v>123</v>
      </c>
      <c r="AC47" s="60"/>
      <c r="AD47" s="33">
        <v>86.777777777777771</v>
      </c>
      <c r="AE47" s="33">
        <v>90.451612903225808</v>
      </c>
      <c r="AF47" s="33">
        <v>90.5</v>
      </c>
      <c r="AG47" s="33">
        <v>100.45161290322581</v>
      </c>
      <c r="AH47" s="33">
        <v>107.16666666666667</v>
      </c>
      <c r="AI47" s="33">
        <v>104.16666666666667</v>
      </c>
      <c r="AJ47" s="33">
        <v>113.12903225806451</v>
      </c>
      <c r="AK47" s="33">
        <v>109.13333333333334</v>
      </c>
      <c r="AL47" s="33">
        <v>103.74193548387096</v>
      </c>
      <c r="AM47" s="33">
        <v>102.13333333333334</v>
      </c>
      <c r="AN47" s="33">
        <v>96.806451612903231</v>
      </c>
      <c r="AT47" s="60">
        <v>97.387096774193552</v>
      </c>
      <c r="AU47" s="60">
        <v>99</v>
      </c>
      <c r="AV47" s="60">
        <v>77.161290322580641</v>
      </c>
      <c r="AW47" s="60">
        <v>17.266666666666666</v>
      </c>
      <c r="AX47" s="60">
        <v>23.64516129032258</v>
      </c>
      <c r="AY47" s="60">
        <v>61.93333333333333</v>
      </c>
      <c r="AZ47" s="60">
        <v>101.83333333333333</v>
      </c>
      <c r="BA47" s="60">
        <v>112.41935483870968</v>
      </c>
      <c r="BB47" s="60">
        <v>112.8</v>
      </c>
      <c r="BC47" s="60">
        <v>103.12903225806451</v>
      </c>
      <c r="BD47" s="60">
        <v>87.1</v>
      </c>
      <c r="BE47" s="60">
        <v>84.967741935483872</v>
      </c>
      <c r="BK47" s="33">
        <v>93.709677419354833</v>
      </c>
      <c r="BL47" s="33">
        <v>102.10714285714286</v>
      </c>
      <c r="BM47" s="33">
        <v>109.41935483870968</v>
      </c>
      <c r="BN47" s="33">
        <v>113.46666666666667</v>
      </c>
      <c r="BO47" s="33">
        <v>127.09677419354838</v>
      </c>
      <c r="BP47" s="33">
        <v>131.36666666666667</v>
      </c>
      <c r="BQ47" s="33">
        <v>129.56666666666666</v>
      </c>
      <c r="BR47" s="33">
        <v>132.87096774193549</v>
      </c>
      <c r="BS47" s="33">
        <v>132.69999999999999</v>
      </c>
      <c r="BT47" s="33">
        <v>129.51612903225808</v>
      </c>
      <c r="BU47" s="33">
        <v>97.2</v>
      </c>
      <c r="BV47" s="33">
        <v>109.54838709677419</v>
      </c>
      <c r="CB47" s="33">
        <v>115.19354838709677</v>
      </c>
      <c r="CC47" s="33">
        <v>121.07142857142857</v>
      </c>
      <c r="CD47" s="33">
        <v>94.193548387096769</v>
      </c>
      <c r="CE47" s="33">
        <v>103.83333333333333</v>
      </c>
      <c r="CF47" s="33">
        <v>106.87096774193549</v>
      </c>
      <c r="CG47" s="33">
        <v>113.9</v>
      </c>
      <c r="CH47" s="33">
        <v>92.066666666666663</v>
      </c>
      <c r="CI47" s="33">
        <v>112.41935483870968</v>
      </c>
      <c r="CJ47" s="33">
        <v>104.43333333333334</v>
      </c>
      <c r="CK47" s="33">
        <v>91.774193548387103</v>
      </c>
      <c r="CL47" s="33">
        <v>99.75</v>
      </c>
      <c r="CM47" s="60"/>
    </row>
    <row r="48" spans="1:94" x14ac:dyDescent="0.25">
      <c r="A48" s="30">
        <v>29</v>
      </c>
      <c r="B48" s="1"/>
      <c r="C48" s="28" t="s">
        <v>129</v>
      </c>
      <c r="D48" s="66" t="s">
        <v>126</v>
      </c>
      <c r="E48" s="45" t="s">
        <v>127</v>
      </c>
      <c r="F48" s="1"/>
      <c r="G48" s="66" t="s">
        <v>128</v>
      </c>
      <c r="H48" s="66" t="s">
        <v>68</v>
      </c>
      <c r="I48" s="20" t="s">
        <v>21</v>
      </c>
      <c r="J48" s="71">
        <v>43497</v>
      </c>
      <c r="K48" s="72" t="s">
        <v>123</v>
      </c>
      <c r="AD48" s="33">
        <v>16.718214289999999</v>
      </c>
      <c r="AE48" s="33">
        <v>15.866774189999999</v>
      </c>
      <c r="AF48" s="33">
        <v>15.89733333</v>
      </c>
      <c r="AG48" s="33">
        <v>14.79</v>
      </c>
      <c r="AH48" s="33">
        <v>14.412333329999999</v>
      </c>
      <c r="AI48" s="33">
        <v>16.125666670000001</v>
      </c>
      <c r="AJ48" s="33">
        <v>15.342903229999999</v>
      </c>
      <c r="AK48" s="33">
        <v>15.669</v>
      </c>
      <c r="AL48" s="33">
        <v>16.11935484</v>
      </c>
      <c r="AM48" s="33">
        <v>16.509</v>
      </c>
      <c r="AN48" s="33">
        <v>14.433870969999999</v>
      </c>
      <c r="AO48" s="33"/>
      <c r="AP48" s="33"/>
      <c r="AQ48" s="33"/>
      <c r="AR48" s="33"/>
      <c r="AS48" s="33"/>
      <c r="AT48" s="33">
        <v>15.709032260000001</v>
      </c>
      <c r="AU48" s="33">
        <v>16.145357140000002</v>
      </c>
      <c r="AV48" s="33">
        <v>14.36774194</v>
      </c>
      <c r="AW48" s="33">
        <v>22.72433333</v>
      </c>
      <c r="AX48" s="33">
        <v>20.980645160000002</v>
      </c>
      <c r="AY48" s="33">
        <v>18.272333329999999</v>
      </c>
      <c r="AZ48" s="33">
        <v>18.739000000000001</v>
      </c>
      <c r="BA48" s="33">
        <v>17.53741935</v>
      </c>
      <c r="BB48" s="33">
        <v>18.792999999999999</v>
      </c>
      <c r="BC48" s="33">
        <v>18.690967740000001</v>
      </c>
      <c r="BD48" s="33">
        <v>20.288666670000001</v>
      </c>
      <c r="BE48" s="33">
        <v>17.915483869999999</v>
      </c>
      <c r="BF48" s="33"/>
      <c r="BG48" s="33"/>
      <c r="BH48" s="33"/>
      <c r="BI48" s="33"/>
      <c r="BJ48" s="33"/>
      <c r="BK48" s="33">
        <v>18.49387097</v>
      </c>
      <c r="BL48" s="33">
        <v>20.314642859999999</v>
      </c>
      <c r="BM48" s="33">
        <v>18.099677419999999</v>
      </c>
      <c r="BN48" s="33">
        <v>18.395</v>
      </c>
      <c r="BO48" s="33">
        <v>16.851612899999999</v>
      </c>
      <c r="BP48" s="33">
        <v>17.024333330000001</v>
      </c>
      <c r="BQ48" s="33">
        <v>17.262</v>
      </c>
      <c r="BR48" s="33">
        <v>18.010000000000002</v>
      </c>
      <c r="BS48" s="33">
        <v>18.198666670000001</v>
      </c>
      <c r="BT48" s="33">
        <v>17.30870968</v>
      </c>
      <c r="BU48" s="33">
        <v>18.074333330000002</v>
      </c>
      <c r="BV48" s="33">
        <v>16.90903226</v>
      </c>
      <c r="BW48" s="33"/>
      <c r="BX48" s="33"/>
      <c r="BY48" s="33"/>
      <c r="BZ48" s="33"/>
      <c r="CA48" s="33"/>
      <c r="CB48" s="33">
        <v>17.049677419999998</v>
      </c>
      <c r="CC48" s="33">
        <v>17.34464286</v>
      </c>
      <c r="CD48" s="33">
        <v>14.04822581</v>
      </c>
      <c r="CE48" s="33">
        <v>13.54166667</v>
      </c>
      <c r="CF48" s="33">
        <v>12.558387099999999</v>
      </c>
      <c r="CG48" s="33">
        <v>13.80133333</v>
      </c>
      <c r="CH48" s="33">
        <v>15.927</v>
      </c>
      <c r="CI48" s="33">
        <v>12.640967740000001</v>
      </c>
      <c r="CJ48" s="33">
        <v>14.14</v>
      </c>
      <c r="CK48" s="33">
        <v>16.098709679999999</v>
      </c>
      <c r="CL48" s="33">
        <v>16.787727270000001</v>
      </c>
      <c r="CM48" s="60"/>
    </row>
    <row r="49" spans="1:96" ht="16.5" thickBot="1" x14ac:dyDescent="0.3">
      <c r="A49" s="30">
        <v>30</v>
      </c>
      <c r="B49" s="1"/>
      <c r="C49" s="1" t="s">
        <v>94</v>
      </c>
      <c r="D49" s="1" t="s">
        <v>28</v>
      </c>
      <c r="E49" s="5" t="s">
        <v>29</v>
      </c>
      <c r="F49" s="1"/>
      <c r="G49" s="1"/>
      <c r="H49" s="1" t="s">
        <v>24</v>
      </c>
      <c r="I49" s="16" t="s">
        <v>25</v>
      </c>
      <c r="J49" s="1"/>
      <c r="K49" s="1" t="s">
        <v>123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73">
        <v>509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73">
        <v>463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>
        <v>443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73">
        <v>594</v>
      </c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74">
        <v>590</v>
      </c>
      <c r="CN49" s="1"/>
      <c r="CO49" s="1"/>
      <c r="CP49" s="1"/>
      <c r="CQ49" s="1"/>
      <c r="CR49" s="1"/>
    </row>
  </sheetData>
  <phoneticPr fontId="21" type="noConversion"/>
  <hyperlinks>
    <hyperlink ref="E49" r:id="rId1" xr:uid="{00000000-0004-0000-0100-000000000000}"/>
    <hyperlink ref="E6" r:id="rId2" xr:uid="{00000000-0004-0000-0100-000007000000}"/>
    <hyperlink ref="E7" r:id="rId3" xr:uid="{00000000-0004-0000-0100-000008000000}"/>
    <hyperlink ref="E8" r:id="rId4" xr:uid="{00000000-0004-0000-0100-000009000000}"/>
    <hyperlink ref="E41" r:id="rId5" xr:uid="{00000000-0004-0000-0100-00000A000000}"/>
    <hyperlink ref="E42" r:id="rId6" xr:uid="{00000000-0004-0000-0100-00000B000000}"/>
    <hyperlink ref="E4" r:id="rId7" xr:uid="{00000000-0004-0000-0100-00000C000000}"/>
    <hyperlink ref="E9" r:id="rId8" xr:uid="{00000000-0004-0000-0100-00000D000000}"/>
    <hyperlink ref="E5" r:id="rId9" xr:uid="{00000000-0004-0000-0100-00000E000000}"/>
    <hyperlink ref="E22" r:id="rId10" xr:uid="{00000000-0004-0000-0100-00000F000000}"/>
    <hyperlink ref="E23" r:id="rId11" xr:uid="{00000000-0004-0000-0100-000010000000}"/>
    <hyperlink ref="E24" r:id="rId12" xr:uid="{00000000-0004-0000-0100-000011000000}"/>
    <hyperlink ref="E25" r:id="rId13" xr:uid="{00000000-0004-0000-0100-000012000000}"/>
    <hyperlink ref="F25" r:id="rId14" display="https://www.fedstat.ru/indicator/57699" xr:uid="{00000000-0004-0000-0100-000013000000}"/>
    <hyperlink ref="E26" r:id="rId15" xr:uid="{00000000-0004-0000-0100-000014000000}"/>
    <hyperlink ref="E27" r:id="rId16" xr:uid="{00000000-0004-0000-0100-000015000000}"/>
    <hyperlink ref="E28" r:id="rId17" xr:uid="{00000000-0004-0000-0100-000016000000}"/>
    <hyperlink ref="E44" r:id="rId18" xr:uid="{00000000-0004-0000-0100-000017000000}"/>
    <hyperlink ref="E45" r:id="rId19" xr:uid="{00000000-0004-0000-0100-000018000000}"/>
    <hyperlink ref="E46" r:id="rId20" xr:uid="{00000000-0004-0000-0100-000019000000}"/>
    <hyperlink ref="E47" r:id="rId21" xr:uid="{00000000-0004-0000-0100-00001A000000}"/>
    <hyperlink ref="E43" r:id="rId22" xr:uid="{00000000-0004-0000-0100-00001B000000}"/>
    <hyperlink ref="E15" r:id="rId23" xr:uid="{00000000-0004-0000-0100-00001C000000}"/>
    <hyperlink ref="E16" r:id="rId24" xr:uid="{00000000-0004-0000-0100-00001D000000}"/>
    <hyperlink ref="E17" r:id="rId25" xr:uid="{00000000-0004-0000-0100-00001E000000}"/>
    <hyperlink ref="E18" r:id="rId26" xr:uid="{00000000-0004-0000-0100-00001F000000}"/>
    <hyperlink ref="E10" r:id="rId27" xr:uid="{00000000-0004-0000-0100-000020000000}"/>
    <hyperlink ref="E12" r:id="rId28" xr:uid="{00000000-0004-0000-0100-000021000000}"/>
    <hyperlink ref="E13" r:id="rId29" xr:uid="{00000000-0004-0000-0100-000022000000}"/>
    <hyperlink ref="E14" r:id="rId30" xr:uid="{00000000-0004-0000-0100-000023000000}"/>
    <hyperlink ref="F26" r:id="rId31" display="https://www.fedstat.ru/indicator/57699" xr:uid="{00000000-0004-0000-0100-000024000000}"/>
    <hyperlink ref="E48" r:id="rId32" xr:uid="{EC47BEEC-6C8D-4413-A235-9F7731F9A08C}"/>
    <hyperlink ref="E30" r:id="rId33" location="form1" display="https://krasnodarskyy-kray.restate.ru/graph/ceny-arendy-kommercheskoy/#form1" xr:uid="{1C98429B-664D-48B2-A4E0-CF2FA4FB91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Краснодарский край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User</cp:lastModifiedBy>
  <cp:revision>43</cp:revision>
  <dcterms:created xsi:type="dcterms:W3CDTF">2022-11-07T17:08:48Z</dcterms:created>
  <dcterms:modified xsi:type="dcterms:W3CDTF">2022-11-29T19:02:58Z</dcterms:modified>
</cp:coreProperties>
</file>