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User\Desktop\работа\"/>
    </mc:Choice>
  </mc:AlternateContent>
  <xr:revisionPtr revIDLastSave="0" documentId="13_ncr:1_{9B7E5B8D-2793-4837-8B3E-A8EC6559893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НН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G11" i="2" l="1"/>
  <c r="CH11" i="2"/>
  <c r="CI11" i="2"/>
  <c r="CJ11" i="2"/>
  <c r="CK11" i="2"/>
  <c r="CE11" i="2"/>
  <c r="CF11" i="2"/>
  <c r="CD11" i="2"/>
  <c r="CC11" i="2"/>
  <c r="CB11" i="2"/>
  <c r="BM11" i="2"/>
  <c r="BN11" i="2"/>
  <c r="BO11" i="2"/>
  <c r="BP11" i="2"/>
  <c r="BQ11" i="2"/>
  <c r="BR11" i="2"/>
  <c r="BS11" i="2"/>
  <c r="BT11" i="2"/>
  <c r="BU11" i="2"/>
  <c r="BV11" i="2"/>
  <c r="BL11" i="2"/>
  <c r="BK11" i="2"/>
  <c r="AV11" i="2"/>
  <c r="AW11" i="2"/>
  <c r="AX11" i="2"/>
  <c r="AY11" i="2"/>
  <c r="AZ11" i="2"/>
  <c r="BA11" i="2"/>
  <c r="BB11" i="2"/>
  <c r="BC11" i="2"/>
  <c r="BD11" i="2"/>
  <c r="BE11" i="2"/>
  <c r="AU11" i="2"/>
  <c r="AT11" i="2"/>
  <c r="AM11" i="2"/>
  <c r="AN11" i="2"/>
  <c r="AL11" i="2"/>
  <c r="AK11" i="2"/>
  <c r="AJ11" i="2"/>
  <c r="AI11" i="2"/>
  <c r="AS9" i="2"/>
  <c r="AB9" i="2"/>
  <c r="CA36" i="2" l="1"/>
  <c r="BJ36" i="2"/>
  <c r="AB36" i="2"/>
  <c r="AS36" i="2"/>
  <c r="CN23" i="2" l="1"/>
  <c r="CO23" i="2"/>
  <c r="CP23" i="2"/>
  <c r="CQ23" i="2"/>
  <c r="CN24" i="2"/>
  <c r="CN21" i="2" s="1"/>
  <c r="CO24" i="2"/>
  <c r="CP24" i="2"/>
  <c r="CQ24" i="2"/>
  <c r="CO22" i="2"/>
  <c r="CQ22" i="2"/>
  <c r="CP22" i="2"/>
  <c r="CN22" i="2"/>
  <c r="BZ24" i="2"/>
  <c r="BY24" i="2"/>
  <c r="BX24" i="2"/>
  <c r="BW24" i="2"/>
  <c r="BW21" i="2" s="1"/>
  <c r="BZ23" i="2"/>
  <c r="BY23" i="2"/>
  <c r="BX23" i="2"/>
  <c r="BW23" i="2"/>
  <c r="BZ22" i="2"/>
  <c r="BY22" i="2"/>
  <c r="BX22" i="2"/>
  <c r="BW22" i="2"/>
  <c r="BW20" i="2" s="1"/>
  <c r="BI24" i="2"/>
  <c r="BH24" i="2"/>
  <c r="BG24" i="2"/>
  <c r="BF24" i="2"/>
  <c r="BF21" i="2" s="1"/>
  <c r="BI23" i="2"/>
  <c r="BH23" i="2"/>
  <c r="BG23" i="2"/>
  <c r="BF23" i="2"/>
  <c r="BI22" i="2"/>
  <c r="BH22" i="2"/>
  <c r="BG22" i="2"/>
  <c r="BF22" i="2"/>
  <c r="AR24" i="2"/>
  <c r="AQ24" i="2"/>
  <c r="AP24" i="2"/>
  <c r="AO24" i="2"/>
  <c r="AO21" i="2" s="1"/>
  <c r="AR23" i="2"/>
  <c r="AQ23" i="2"/>
  <c r="AP23" i="2"/>
  <c r="AO23" i="2"/>
  <c r="AR22" i="2"/>
  <c r="AQ22" i="2"/>
  <c r="AP22" i="2"/>
  <c r="AO22" i="2"/>
  <c r="AO20" i="2" s="1"/>
  <c r="X23" i="2"/>
  <c r="Y23" i="2"/>
  <c r="Z23" i="2"/>
  <c r="AA23" i="2"/>
  <c r="X24" i="2"/>
  <c r="X21" i="2" s="1"/>
  <c r="Y24" i="2"/>
  <c r="Z24" i="2"/>
  <c r="AA24" i="2"/>
  <c r="AA22" i="2"/>
  <c r="Z22" i="2"/>
  <c r="Y22" i="2"/>
  <c r="X22" i="2"/>
  <c r="CO35" i="2"/>
  <c r="CP35" i="2" s="1"/>
  <c r="BX35" i="2"/>
  <c r="BG35" i="2"/>
  <c r="AP35" i="2"/>
  <c r="Y35" i="2"/>
  <c r="Y26" i="2"/>
  <c r="AP26" i="2"/>
  <c r="AP21" i="2" s="1"/>
  <c r="BG26" i="2"/>
  <c r="BX26" i="2"/>
  <c r="CO26" i="2"/>
  <c r="CO21" i="2" s="1"/>
  <c r="CO25" i="2"/>
  <c r="BX25" i="2"/>
  <c r="BG25" i="2"/>
  <c r="AP25" i="2"/>
  <c r="Y25" i="2"/>
  <c r="CA7" i="2"/>
  <c r="BJ6" i="2"/>
  <c r="AS6" i="2"/>
  <c r="CA14" i="2"/>
  <c r="CA13" i="2"/>
  <c r="CO20" i="2" l="1"/>
  <c r="X20" i="2"/>
  <c r="CN20" i="2"/>
  <c r="BY35" i="2"/>
  <c r="BZ35" i="2" s="1"/>
  <c r="BF20" i="2"/>
  <c r="AP20" i="2"/>
  <c r="AQ25" i="2"/>
  <c r="BY26" i="2"/>
  <c r="BX21" i="2"/>
  <c r="BH26" i="2"/>
  <c r="BG21" i="2"/>
  <c r="AQ26" i="2"/>
  <c r="Z25" i="2"/>
  <c r="Y20" i="2"/>
  <c r="Z26" i="2"/>
  <c r="Y21" i="2"/>
  <c r="BH25" i="2"/>
  <c r="BG20" i="2"/>
  <c r="BY25" i="2"/>
  <c r="BX20" i="2"/>
  <c r="AQ35" i="2"/>
  <c r="AR35" i="2" s="1"/>
  <c r="Z35" i="2"/>
  <c r="AA35" i="2" s="1"/>
  <c r="BH35" i="2"/>
  <c r="BI35" i="2" s="1"/>
  <c r="CA35" i="2" l="1"/>
  <c r="AQ20" i="2"/>
  <c r="AR25" i="2"/>
  <c r="AR20" i="2" s="1"/>
  <c r="AA25" i="2"/>
  <c r="AA20" i="2" s="1"/>
  <c r="Z20" i="2"/>
  <c r="BZ25" i="2"/>
  <c r="BZ20" i="2" s="1"/>
  <c r="BY20" i="2"/>
  <c r="AR26" i="2"/>
  <c r="AR21" i="2" s="1"/>
  <c r="AQ21" i="2"/>
  <c r="BI26" i="2"/>
  <c r="BI21" i="2" s="1"/>
  <c r="BH21" i="2"/>
  <c r="BI25" i="2"/>
  <c r="BI20" i="2" s="1"/>
  <c r="BH20" i="2"/>
  <c r="AA26" i="2"/>
  <c r="AA21" i="2" s="1"/>
  <c r="Z21" i="2"/>
  <c r="BZ26" i="2"/>
  <c r="BZ21" i="2" s="1"/>
  <c r="BY21" i="2"/>
  <c r="BJ35" i="2"/>
  <c r="AS35" i="2"/>
  <c r="AB35" i="2"/>
  <c r="CA10" i="2"/>
  <c r="BJ9" i="2"/>
  <c r="CA9" i="2" s="1"/>
  <c r="CO8" i="2" l="1"/>
  <c r="CP8" i="2" s="1"/>
  <c r="BX8" i="2"/>
  <c r="BY8" i="2" s="1"/>
  <c r="BG8" i="2"/>
  <c r="AP8" i="2"/>
  <c r="AQ8" i="2" s="1"/>
  <c r="AR8" i="2" s="1"/>
  <c r="Y8" i="2"/>
  <c r="Z8" i="2" s="1"/>
  <c r="AA8" i="2" s="1"/>
  <c r="AB8" i="2" s="1"/>
  <c r="BG7" i="2"/>
  <c r="BH7" i="2" s="1"/>
  <c r="AP7" i="2"/>
  <c r="AQ7" i="2" s="1"/>
  <c r="AR7" i="2" s="1"/>
  <c r="Y7" i="2"/>
  <c r="CA4" i="2"/>
  <c r="BJ4" i="2"/>
  <c r="AS4" i="2"/>
  <c r="AB4" i="2"/>
  <c r="AS7" i="2" l="1"/>
  <c r="AS8" i="2"/>
  <c r="Z7" i="2"/>
  <c r="AA7" i="2" s="1"/>
  <c r="BI7" i="2"/>
  <c r="BJ7" i="2" s="1"/>
  <c r="BZ8" i="2"/>
  <c r="CA8" i="2" s="1"/>
  <c r="BH8" i="2"/>
  <c r="BI8" i="2" s="1"/>
  <c r="AB7" i="2" l="1"/>
  <c r="BJ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 D</author>
  </authors>
  <commentList>
    <comment ref="CB18" authorId="0" shapeId="0" xr:uid="{BC6EC91F-0A09-4E40-86A4-024C4595E437}">
      <text>
        <r>
          <rPr>
            <b/>
            <sz val="9"/>
            <color indexed="81"/>
            <rFont val="Tahoma"/>
            <charset val="1"/>
          </rPr>
          <t>Y D:</t>
        </r>
        <r>
          <rPr>
            <sz val="9"/>
            <color indexed="81"/>
            <rFont val="Tahoma"/>
            <charset val="1"/>
          </rPr>
          <t xml:space="preserve">
Отрицательное значение в источнике. Вероятно, имел место возврат средств в бюджет</t>
        </r>
      </text>
    </comment>
  </commentList>
</comments>
</file>

<file path=xl/sharedStrings.xml><?xml version="1.0" encoding="utf-8"?>
<sst xmlns="http://schemas.openxmlformats.org/spreadsheetml/2006/main" count="335" uniqueCount="135">
  <si>
    <t>Источник</t>
  </si>
  <si>
    <t>1кв2018</t>
  </si>
  <si>
    <t>2кв2018</t>
  </si>
  <si>
    <t>3кв2018</t>
  </si>
  <si>
    <t>4кв2018</t>
  </si>
  <si>
    <t>1кв2019</t>
  </si>
  <si>
    <t>2кв2019</t>
  </si>
  <si>
    <t>3кв2019</t>
  </si>
  <si>
    <t>4кв2019</t>
  </si>
  <si>
    <t>1кв2020</t>
  </si>
  <si>
    <t>2кв2020</t>
  </si>
  <si>
    <t>3кв2020</t>
  </si>
  <si>
    <t>4кв2020</t>
  </si>
  <si>
    <t>1кв2021</t>
  </si>
  <si>
    <t>2кв2021</t>
  </si>
  <si>
    <t>3кв2021</t>
  </si>
  <si>
    <t>4кв2021</t>
  </si>
  <si>
    <t>1кв2022</t>
  </si>
  <si>
    <t>2кв2022</t>
  </si>
  <si>
    <t>3кв2022</t>
  </si>
  <si>
    <t>4кв2022</t>
  </si>
  <si>
    <t>мес</t>
  </si>
  <si>
    <t>https://sberindex.ru/ru/dashboards/indeks-potrebitelskoi-aktivnosti</t>
  </si>
  <si>
    <t>индекс</t>
  </si>
  <si>
    <t>чел.</t>
  </si>
  <si>
    <t>год</t>
  </si>
  <si>
    <t>кв</t>
  </si>
  <si>
    <t>Кол-во выпущенных специалистов сварочного производства и сварщиков</t>
  </si>
  <si>
    <t>https://edu.gov.ru/activity/statistics/secondary_prof_edu</t>
  </si>
  <si>
    <t>https://www.gipernn.ru/</t>
  </si>
  <si>
    <t>цена</t>
  </si>
  <si>
    <t>руб./кв.м</t>
  </si>
  <si>
    <t>руб</t>
  </si>
  <si>
    <t>количество</t>
  </si>
  <si>
    <t>https://sberindex.ru/ru/dashboards/kolichestvo-predlozhenii-o-prodazhe-pervichki</t>
  </si>
  <si>
    <t>https://fedstat.ru/indicator/43298</t>
  </si>
  <si>
    <t>http://www.cbr.ru/vfs/statistics/banksector/borrowings/02_28_escrow_accounts.xlsx</t>
  </si>
  <si>
    <t>денежный</t>
  </si>
  <si>
    <t>Ипотека по ДДУ в деньгах</t>
  </si>
  <si>
    <t>http://www.cbr.ru/statistics/bank_sector/mortgage/</t>
  </si>
  <si>
    <t>ед.</t>
  </si>
  <si>
    <t>Ипотека всего в деньгах</t>
  </si>
  <si>
    <t>Ипотека всего в количестве выданных кредитов</t>
  </si>
  <si>
    <t>Полный плановый объем потребления электроэнергии</t>
  </si>
  <si>
    <t>https://www.atsenergo.ru/nreport?rname=trade_region_spub&amp;rdate=20191112</t>
  </si>
  <si>
    <t>МВт.ч.</t>
  </si>
  <si>
    <t>Цена на 95 бензин (розничные цены)</t>
  </si>
  <si>
    <t>Цена на 92 бензин (розничные цены)</t>
  </si>
  <si>
    <t>Цена на ДТ (розничные цены)</t>
  </si>
  <si>
    <t>Розничная продажа бензинов автомобильных (в деньгах; накопительный итог)</t>
  </si>
  <si>
    <t>https://www.fedstat.ru/indicator/57699</t>
  </si>
  <si>
    <t>Розничная продажа Дизельное топливо (в деньгах; накопительный итог)</t>
  </si>
  <si>
    <t>Оценка объема потребеления безина</t>
  </si>
  <si>
    <t>Оценка объема потребеления ДТ</t>
  </si>
  <si>
    <t>Индекс грузоперевозок НН (собирается)</t>
  </si>
  <si>
    <t>автоуслуги (по тратам потребителей) - Тинькофф индекс</t>
  </si>
  <si>
    <t>https://index.tinkoff.ru/?start=07.2022&amp;end=11.2022&amp;region=%D0%9D%D0%B8%D0%B6%D0%B5%D0%B3%D0%BE%D1%80%D0%BE%D0%B4%D1%81%D0%BA%D0%B0%D1%8F+%D0%BE%D0%B1%D0%BB%D0%B0%D1%81%D1%82%D1%8C</t>
  </si>
  <si>
    <t>топливо (потратам потребителей)-Тинькофф индекс</t>
  </si>
  <si>
    <t>Индекс потребительской активности - Сбериндекс</t>
  </si>
  <si>
    <t>дом и ремонт (по тратам потребителей) - Тинькофф индекс</t>
  </si>
  <si>
    <t>медуслуги (по тратам потребителей)-Тинькофф индекс</t>
  </si>
  <si>
    <t>рестораны (по тратам потребителей)-Тинькофф индекс</t>
  </si>
  <si>
    <t>https://sberindex.ru/ru/dashboards/izmenenie-aktivnosti-msp-po-regionam</t>
  </si>
  <si>
    <t>%</t>
  </si>
  <si>
    <t>https://roskazna.gov.ru/ispolnenie-byudzhetov/konsolidirovannye-byudzhety-subektov/1019/</t>
  </si>
  <si>
    <t>всего затраты на комм. хозяйство в регионе</t>
  </si>
  <si>
    <t>из них: Закупка товаров, работ и услуг для обеспечения государственных (муниципальных) нужд</t>
  </si>
  <si>
    <t>закупки товаров и услуг (в т.ч. текущий ремонт)</t>
  </si>
  <si>
    <t>из них: Капитальные вложения в объекты государственной (муниципальной) собственности</t>
  </si>
  <si>
    <t>инвестиции</t>
  </si>
  <si>
    <t>из них: Иные бюджетные ассигнования (собирается)</t>
  </si>
  <si>
    <t>субсидии водоканалам и др. организациям</t>
  </si>
  <si>
    <t>Аренда нежилой недвижимости</t>
  </si>
  <si>
    <t>Аренда складской недвижимости</t>
  </si>
  <si>
    <t>Аренда торговой недвижимости</t>
  </si>
  <si>
    <t>Аренда офисной недвижимости</t>
  </si>
  <si>
    <t>Продажа складской недвижимости</t>
  </si>
  <si>
    <t>Цены нежилой недвижимости</t>
  </si>
  <si>
    <t>Продажа торговой недвижимости</t>
  </si>
  <si>
    <t>Продажа офисной недвижимости</t>
  </si>
  <si>
    <t>Предложения новостроек</t>
  </si>
  <si>
    <t>число объявлений</t>
  </si>
  <si>
    <t>Жилые здания, жилые помещения и т.п.</t>
  </si>
  <si>
    <t>из коммерческих: торговые площади</t>
  </si>
  <si>
    <t>(торговля)</t>
  </si>
  <si>
    <t>Строительство план</t>
  </si>
  <si>
    <t>Строительство факт</t>
  </si>
  <si>
    <t>Бизнес-строительство</t>
  </si>
  <si>
    <t>Изменение активности МСП по регионам (Сбериндекс)</t>
  </si>
  <si>
    <t>Промышленность / энергетика</t>
  </si>
  <si>
    <t>электроэнергетика</t>
  </si>
  <si>
    <t>Активность МСП</t>
  </si>
  <si>
    <t>промышленность строительство факт</t>
  </si>
  <si>
    <t>Сварщик</t>
  </si>
  <si>
    <t>(ковид)</t>
  </si>
  <si>
    <t>ЖКХ</t>
  </si>
  <si>
    <t>по рынкам</t>
  </si>
  <si>
    <t>ковид+</t>
  </si>
  <si>
    <t>Направление</t>
  </si>
  <si>
    <t>Показатель</t>
  </si>
  <si>
    <t>Тип данных</t>
  </si>
  <si>
    <t>Ед. изм.</t>
  </si>
  <si>
    <t>Периодичность</t>
  </si>
  <si>
    <t>Дата начала</t>
  </si>
  <si>
    <t>Территориальный разрез</t>
  </si>
  <si>
    <t>млн л.</t>
  </si>
  <si>
    <t>расчёты</t>
  </si>
  <si>
    <t>млн руб.</t>
  </si>
  <si>
    <t>Ипотека по ДДУ в количестве выданных кредитов</t>
  </si>
  <si>
    <t>тыс. кв. м</t>
  </si>
  <si>
    <t>Всего введено зданий</t>
  </si>
  <si>
    <t>Коммунальное хозяйство - всего (накопительный итог на начало месяца) - собирается</t>
  </si>
  <si>
    <t>тыс. руб</t>
  </si>
  <si>
    <t>из нежилых: коммерческие здания</t>
  </si>
  <si>
    <t>из нежилых: Промышленные здания</t>
  </si>
  <si>
    <t>Где брать</t>
  </si>
  <si>
    <t>Общий файл в облаке</t>
  </si>
  <si>
    <t>файл "Ввод зданий по регионам поквартально"</t>
  </si>
  <si>
    <t>Файл "02_28_Escrow_accounts"</t>
  </si>
  <si>
    <t>Файлы ЦБ об ИЖК</t>
  </si>
  <si>
    <t>файл "Розничная продажа топлива"</t>
  </si>
  <si>
    <t>Ростовская область</t>
  </si>
  <si>
    <t>https://www.benzin-price.ru/price2.php?region_id=61</t>
  </si>
  <si>
    <t>файл "Электричество_потребление_только_суммы_помесячно"</t>
  </si>
  <si>
    <t>файл "Тинькофф индексы"</t>
  </si>
  <si>
    <t>в процессе подсчёта</t>
  </si>
  <si>
    <t>https://index.tinkoff.ru/?start=07.2022&amp;end=11.2022&amp;region=%D0%A0%D0%BE%D1%81%D1%82%D0%BE%D0%B2%D1%81%D0%BA%D0%B0%D1%8F+%D0%BE%D0%B1%D0%BB%D0%B0%D1%81%D1%82%D1%8C</t>
  </si>
  <si>
    <t>онлайн-торговля</t>
  </si>
  <si>
    <t>Доля онлайн платежей в безналичных тратах населения</t>
  </si>
  <si>
    <t>https://www.fedstat.ru/indicator/57605</t>
  </si>
  <si>
    <t>файл "Ввод_торговых_площадей_по_регионам_поквартально"</t>
  </si>
  <si>
    <t>доля</t>
  </si>
  <si>
    <t>Средства на счетах эскроу в рублях (накопительный итог)</t>
  </si>
  <si>
    <t>Средства на счетах эскроу в рублях (ежемесячные изменения)</t>
  </si>
  <si>
    <t>расчёт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</si>
</sst>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0.0"/>
    <numFmt numFmtId="165" formatCode="#,##0.0"/>
    <numFmt numFmtId="166" formatCode="#,##0.####"/>
    <numFmt numFmtId="167" formatCode="#\ ##0"/>
    <numFmt numFmtId="168" formatCode="_-* #,##0_-;\-* #,##0_-;_-* &quot;-&quot;??_-;_-@_-"/>
    <numFmt numFmtId="169" formatCode="#,##0;\-#,##0;0"/>
  </numFmts>
  <fonts count="23">
    <font>
      <sz val="11"/>
      <color theme="1"/>
      <name val="Calibri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u/>
      <sz val="11"/>
      <color theme="10"/>
      <name val="Calibri"/>
      <family val="2"/>
      <charset val="204"/>
    </font>
    <font>
      <sz val="11"/>
      <name val="Calibri"/>
      <family val="2"/>
      <charset val="204"/>
    </font>
    <font>
      <sz val="10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u/>
      <sz val="11"/>
      <color theme="10"/>
      <name val="Calibri"/>
      <family val="2"/>
      <charset val="204"/>
    </font>
    <font>
      <b/>
      <sz val="11"/>
      <name val="Calibri"/>
      <family val="2"/>
      <charset val="204"/>
    </font>
    <font>
      <b/>
      <sz val="11"/>
      <color rgb="FF000000"/>
      <name val="Calibri"/>
      <family val="2"/>
      <charset val="204"/>
    </font>
    <font>
      <sz val="11"/>
      <color rgb="FF000000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  <font>
      <sz val="9"/>
      <color rgb="FF333333"/>
      <name val="Inherit"/>
    </font>
    <font>
      <sz val="9"/>
      <color rgb="FF333333"/>
      <name val="Arial"/>
      <family val="2"/>
      <charset val="204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2"/>
      <color rgb="FF000000"/>
      <name val="Times New Roman"/>
    </font>
  </fonts>
  <fills count="12">
    <fill>
      <patternFill patternType="none"/>
    </fill>
    <fill>
      <patternFill patternType="gray125"/>
    </fill>
    <fill>
      <patternFill patternType="solid">
        <fgColor indexed="5"/>
        <bgColor indexed="5"/>
      </patternFill>
    </fill>
    <fill>
      <patternFill patternType="solid">
        <fgColor rgb="FF92D050"/>
        <bgColor rgb="FF92D050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CFDFD"/>
        <bgColor rgb="FFFFFFFF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CFCFCF"/>
      </left>
      <right style="thin">
        <color rgb="FFCFCFCF"/>
      </right>
      <top style="thin">
        <color rgb="FFCFCFCF"/>
      </top>
      <bottom style="thin">
        <color rgb="FFCFCFCF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/>
      <top/>
      <bottom style="medium">
        <color rgb="FFD7D7D7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7">
    <xf numFmtId="0" fontId="0" fillId="0" borderId="0"/>
    <xf numFmtId="0" fontId="3" fillId="0" borderId="0" applyNumberFormat="0" applyFill="0" applyBorder="0" applyProtection="0"/>
    <xf numFmtId="43" fontId="16" fillId="0" borderId="0" applyFont="0" applyFill="0" applyBorder="0" applyAlignment="0" applyProtection="0"/>
    <xf numFmtId="0" fontId="2" fillId="0" borderId="0"/>
    <xf numFmtId="0" fontId="13" fillId="0" borderId="0"/>
    <xf numFmtId="0" fontId="17" fillId="0" borderId="0" applyNumberFormat="0" applyFill="0" applyBorder="0" applyAlignment="0" applyProtection="0"/>
    <xf numFmtId="43" fontId="13" fillId="0" borderId="0" applyFont="0" applyFill="0" applyBorder="0" applyAlignment="0" applyProtection="0"/>
  </cellStyleXfs>
  <cellXfs count="75">
    <xf numFmtId="0" fontId="0" fillId="0" borderId="0" xfId="0"/>
    <xf numFmtId="0" fontId="0" fillId="0" borderId="1" xfId="0" applyBorder="1"/>
    <xf numFmtId="17" fontId="0" fillId="0" borderId="1" xfId="0" applyNumberFormat="1" applyBorder="1"/>
    <xf numFmtId="0" fontId="5" fillId="0" borderId="0" xfId="0" applyFont="1" applyAlignment="1">
      <alignment horizontal="left"/>
    </xf>
    <xf numFmtId="2" fontId="0" fillId="0" borderId="0" xfId="0" applyNumberFormat="1"/>
    <xf numFmtId="0" fontId="4" fillId="0" borderId="1" xfId="0" applyFont="1" applyBorder="1"/>
    <xf numFmtId="17" fontId="0" fillId="0" borderId="0" xfId="0" applyNumberFormat="1"/>
    <xf numFmtId="0" fontId="6" fillId="0" borderId="0" xfId="0" applyFont="1" applyAlignment="1">
      <alignment horizontal="right" vertical="top"/>
    </xf>
    <xf numFmtId="1" fontId="6" fillId="0" borderId="0" xfId="0" applyNumberFormat="1" applyFont="1" applyAlignment="1">
      <alignment horizontal="right" vertical="top"/>
    </xf>
    <xf numFmtId="165" fontId="6" fillId="0" borderId="0" xfId="0" applyNumberFormat="1" applyFont="1" applyAlignment="1">
      <alignment horizontal="right" vertical="top"/>
    </xf>
    <xf numFmtId="0" fontId="6" fillId="0" borderId="2" xfId="0" applyFont="1" applyBorder="1" applyAlignment="1">
      <alignment horizontal="right" vertical="top"/>
    </xf>
    <xf numFmtId="1" fontId="0" fillId="0" borderId="0" xfId="0" applyNumberFormat="1"/>
    <xf numFmtId="0" fontId="5" fillId="0" borderId="0" xfId="0" applyFont="1"/>
    <xf numFmtId="164" fontId="5" fillId="0" borderId="0" xfId="0" applyNumberFormat="1" applyFont="1" applyAlignment="1">
      <alignment horizontal="right"/>
    </xf>
    <xf numFmtId="1" fontId="0" fillId="0" borderId="0" xfId="0" applyNumberFormat="1" applyAlignment="1">
      <alignment horizontal="right"/>
    </xf>
    <xf numFmtId="0" fontId="5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5" borderId="1" xfId="0" applyFill="1" applyBorder="1"/>
    <xf numFmtId="0" fontId="0" fillId="6" borderId="1" xfId="0" applyFill="1" applyBorder="1"/>
    <xf numFmtId="0" fontId="5" fillId="0" borderId="1" xfId="0" applyFont="1" applyBorder="1" applyAlignment="1">
      <alignment horizontal="left"/>
    </xf>
    <xf numFmtId="0" fontId="0" fillId="3" borderId="1" xfId="0" applyFill="1" applyBorder="1"/>
    <xf numFmtId="0" fontId="0" fillId="4" borderId="1" xfId="0" applyFill="1" applyBorder="1"/>
    <xf numFmtId="14" fontId="0" fillId="0" borderId="1" xfId="0" applyNumberFormat="1" applyBorder="1"/>
    <xf numFmtId="0" fontId="0" fillId="2" borderId="1" xfId="0" applyFill="1" applyBorder="1"/>
    <xf numFmtId="0" fontId="0" fillId="4" borderId="1" xfId="0" applyFill="1" applyBorder="1" applyAlignment="1">
      <alignment horizontal="left"/>
    </xf>
    <xf numFmtId="0" fontId="0" fillId="0" borderId="1" xfId="0" applyBorder="1" applyAlignment="1">
      <alignment horizontal="left"/>
    </xf>
    <xf numFmtId="0" fontId="4" fillId="0" borderId="1" xfId="0" applyFont="1" applyBorder="1" applyAlignment="1">
      <alignment horizontal="left" wrapText="1"/>
    </xf>
    <xf numFmtId="0" fontId="0" fillId="0" borderId="1" xfId="0" applyBorder="1" applyAlignment="1">
      <alignment horizontal="right"/>
    </xf>
    <xf numFmtId="0" fontId="8" fillId="0" borderId="0" xfId="0" applyFont="1"/>
    <xf numFmtId="0" fontId="2" fillId="0" borderId="1" xfId="0" applyFont="1" applyBorder="1"/>
    <xf numFmtId="0" fontId="2" fillId="7" borderId="1" xfId="0" applyFont="1" applyFill="1" applyBorder="1"/>
    <xf numFmtId="0" fontId="0" fillId="8" borderId="1" xfId="0" applyFill="1" applyBorder="1"/>
    <xf numFmtId="0" fontId="11" fillId="10" borderId="0" xfId="0" applyFont="1" applyFill="1"/>
    <xf numFmtId="17" fontId="11" fillId="10" borderId="0" xfId="0" applyNumberFormat="1" applyFont="1" applyFill="1"/>
    <xf numFmtId="164" fontId="0" fillId="0" borderId="0" xfId="0" applyNumberFormat="1"/>
    <xf numFmtId="0" fontId="12" fillId="0" borderId="0" xfId="0" applyFont="1"/>
    <xf numFmtId="0" fontId="12" fillId="0" borderId="0" xfId="0" applyFont="1" applyAlignment="1">
      <alignment vertical="center" wrapText="1"/>
    </xf>
    <xf numFmtId="0" fontId="2" fillId="0" borderId="1" xfId="0" applyFont="1" applyBorder="1" applyAlignment="1">
      <alignment horizontal="left"/>
    </xf>
    <xf numFmtId="0" fontId="8" fillId="10" borderId="0" xfId="0" applyFont="1" applyFill="1"/>
    <xf numFmtId="0" fontId="9" fillId="10" borderId="0" xfId="0" applyFont="1" applyFill="1"/>
    <xf numFmtId="0" fontId="8" fillId="10" borderId="0" xfId="0" applyFont="1" applyFill="1" applyAlignment="1">
      <alignment wrapText="1"/>
    </xf>
    <xf numFmtId="17" fontId="8" fillId="10" borderId="0" xfId="0" applyNumberFormat="1" applyFont="1" applyFill="1"/>
    <xf numFmtId="0" fontId="10" fillId="10" borderId="0" xfId="0" applyFont="1" applyFill="1" applyAlignment="1">
      <alignment horizontal="left"/>
    </xf>
    <xf numFmtId="0" fontId="12" fillId="0" borderId="1" xfId="0" applyFont="1" applyBorder="1"/>
    <xf numFmtId="0" fontId="3" fillId="0" borderId="1" xfId="1" applyBorder="1"/>
    <xf numFmtId="17" fontId="12" fillId="0" borderId="1" xfId="0" applyNumberFormat="1" applyFont="1" applyBorder="1"/>
    <xf numFmtId="0" fontId="2" fillId="6" borderId="1" xfId="0" applyFont="1" applyFill="1" applyBorder="1"/>
    <xf numFmtId="0" fontId="7" fillId="9" borderId="0" xfId="0" applyFont="1" applyFill="1"/>
    <xf numFmtId="166" fontId="0" fillId="0" borderId="0" xfId="0" applyNumberFormat="1" applyAlignment="1">
      <alignment horizontal="right" vertical="top"/>
    </xf>
    <xf numFmtId="0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13" fillId="0" borderId="1" xfId="0" applyFont="1" applyBorder="1"/>
    <xf numFmtId="0" fontId="0" fillId="6" borderId="1" xfId="0" applyFill="1" applyBorder="1" applyAlignment="1">
      <alignment horizontal="left"/>
    </xf>
    <xf numFmtId="164" fontId="14" fillId="0" borderId="0" xfId="0" applyNumberFormat="1" applyFont="1" applyAlignment="1">
      <alignment horizontal="right"/>
    </xf>
    <xf numFmtId="166" fontId="6" fillId="0" borderId="0" xfId="0" applyNumberFormat="1" applyFont="1" applyAlignment="1">
      <alignment horizontal="right" vertical="top"/>
    </xf>
    <xf numFmtId="168" fontId="5" fillId="0" borderId="0" xfId="2" applyNumberFormat="1" applyFont="1"/>
    <xf numFmtId="168" fontId="5" fillId="0" borderId="0" xfId="2" applyNumberFormat="1" applyFont="1" applyAlignment="1">
      <alignment horizontal="right"/>
    </xf>
    <xf numFmtId="168" fontId="0" fillId="0" borderId="0" xfId="2" applyNumberFormat="1" applyFont="1" applyAlignment="1">
      <alignment horizontal="right" vertical="top"/>
    </xf>
    <xf numFmtId="168" fontId="0" fillId="0" borderId="0" xfId="2" applyNumberFormat="1" applyFont="1"/>
    <xf numFmtId="168" fontId="0" fillId="0" borderId="0" xfId="2" applyNumberFormat="1" applyFont="1" applyAlignment="1">
      <alignment horizontal="left"/>
    </xf>
    <xf numFmtId="1" fontId="14" fillId="0" borderId="0" xfId="0" applyNumberFormat="1" applyFont="1" applyAlignment="1">
      <alignment horizontal="right"/>
    </xf>
    <xf numFmtId="1" fontId="15" fillId="0" borderId="0" xfId="0" applyNumberFormat="1" applyFont="1" applyAlignment="1">
      <alignment horizontal="right"/>
    </xf>
    <xf numFmtId="164" fontId="2" fillId="0" borderId="0" xfId="3" applyNumberFormat="1"/>
    <xf numFmtId="168" fontId="0" fillId="0" borderId="3" xfId="2" applyNumberFormat="1" applyFont="1" applyBorder="1"/>
    <xf numFmtId="0" fontId="13" fillId="0" borderId="0" xfId="4"/>
    <xf numFmtId="17" fontId="12" fillId="0" borderId="0" xfId="4" applyNumberFormat="1" applyFont="1"/>
    <xf numFmtId="0" fontId="0" fillId="0" borderId="1" xfId="0" applyFill="1" applyBorder="1"/>
    <xf numFmtId="1" fontId="18" fillId="0" borderId="4" xfId="0" applyNumberFormat="1" applyFont="1" applyBorder="1" applyAlignment="1">
      <alignment horizontal="right" vertical="center" wrapText="1"/>
    </xf>
    <xf numFmtId="1" fontId="19" fillId="0" borderId="0" xfId="0" applyNumberFormat="1" applyFont="1" applyAlignment="1">
      <alignment horizontal="right"/>
    </xf>
    <xf numFmtId="0" fontId="13" fillId="0" borderId="1" xfId="0" applyFont="1" applyFill="1" applyBorder="1"/>
    <xf numFmtId="164" fontId="0" fillId="0" borderId="0" xfId="0" applyNumberFormat="1" applyAlignment="1">
      <alignment horizontal="right" vertical="top"/>
    </xf>
    <xf numFmtId="169" fontId="22" fillId="11" borderId="5" xfId="0" applyNumberFormat="1" applyFont="1" applyFill="1" applyBorder="1" applyAlignment="1">
      <alignment horizontal="right" vertical="center" wrapText="1"/>
    </xf>
    <xf numFmtId="0" fontId="1" fillId="0" borderId="1" xfId="0" applyFont="1" applyBorder="1"/>
    <xf numFmtId="169" fontId="22" fillId="11" borderId="5" xfId="0" applyNumberFormat="1" applyFont="1" applyFill="1" applyBorder="1" applyAlignment="1">
      <alignment vertical="center" wrapText="1"/>
    </xf>
  </cellXfs>
  <cellStyles count="7">
    <cellStyle name="Гиперссылка" xfId="1" builtinId="8"/>
    <cellStyle name="Гиперссылка 2" xfId="5" xr:uid="{AB020EAA-75F8-42F2-8D5C-9564461E3293}"/>
    <cellStyle name="Обычный" xfId="0" builtinId="0"/>
    <cellStyle name="Обычный 2" xfId="3" xr:uid="{522B13C2-93BE-47C1-A189-F0255E740F4C}"/>
    <cellStyle name="Обычный 3" xfId="4" xr:uid="{F07095D5-8A5E-4302-8C3A-FC16AC220C6B}"/>
    <cellStyle name="Финансовый" xfId="2" builtinId="3"/>
    <cellStyle name="Финансовый 2" xfId="6" xr:uid="{C62D990B-32F0-4C11-86A8-C8B6F31A3A2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Стандартная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cbr.ru/statistics/bank_sector/mortgage/" TargetMode="External"/><Relationship Id="rId18" Type="http://schemas.openxmlformats.org/officeDocument/2006/relationships/hyperlink" Target="https://index.tinkoff.ru/?start=07.2022&amp;end=11.2022&amp;region=%D0%9D%D0%B8%D0%B6%D0%B5%D0%B3%D0%BE%D1%80%D0%BE%D0%B4%D1%81%D0%BA%D0%B0%D1%8F+%D0%BE%D0%B1%D0%BB%D0%B0%D1%81%D1%82%D1%8C" TargetMode="External"/><Relationship Id="rId26" Type="http://schemas.openxmlformats.org/officeDocument/2006/relationships/hyperlink" Target="https://roskazna.gov.ru/ispolnenie-byudzhetov/konsolidirovannye-byudzhety-subektov/1019/" TargetMode="External"/><Relationship Id="rId39" Type="http://schemas.openxmlformats.org/officeDocument/2006/relationships/vmlDrawing" Target="../drawings/vmlDrawing1.vml"/><Relationship Id="rId21" Type="http://schemas.openxmlformats.org/officeDocument/2006/relationships/hyperlink" Target="https://index.tinkoff.ru/?start=07.2022&amp;end=11.2022&amp;region=%D0%9D%D0%B8%D0%B6%D0%B5%D0%B3%D0%BE%D1%80%D0%BE%D0%B4%D1%81%D0%BA%D0%B0%D1%8F+%D0%BE%D0%B1%D0%BB%D0%B0%D1%81%D1%82%D1%8C" TargetMode="External"/><Relationship Id="rId34" Type="http://schemas.openxmlformats.org/officeDocument/2006/relationships/hyperlink" Target="https://www.benzin-price.ru/price2.php?region_id=61" TargetMode="External"/><Relationship Id="rId7" Type="http://schemas.openxmlformats.org/officeDocument/2006/relationships/hyperlink" Target="https://www.gipernn.ru/" TargetMode="External"/><Relationship Id="rId12" Type="http://schemas.openxmlformats.org/officeDocument/2006/relationships/hyperlink" Target="https://fedstat.ru/indicator/43298" TargetMode="External"/><Relationship Id="rId17" Type="http://schemas.openxmlformats.org/officeDocument/2006/relationships/hyperlink" Target="https://www.fedstat.ru/indicator/57699" TargetMode="External"/><Relationship Id="rId25" Type="http://schemas.openxmlformats.org/officeDocument/2006/relationships/hyperlink" Target="https://roskazna.gov.ru/ispolnenie-byudzhetov/konsolidirovannye-byudzhety-subektov/1019/" TargetMode="External"/><Relationship Id="rId33" Type="http://schemas.openxmlformats.org/officeDocument/2006/relationships/hyperlink" Target="https://www.fedstat.ru/indicator/57699" TargetMode="External"/><Relationship Id="rId38" Type="http://schemas.openxmlformats.org/officeDocument/2006/relationships/printerSettings" Target="../printerSettings/printerSettings1.bin"/><Relationship Id="rId2" Type="http://schemas.openxmlformats.org/officeDocument/2006/relationships/hyperlink" Target="https://www.gipernn.ru/" TargetMode="External"/><Relationship Id="rId16" Type="http://schemas.openxmlformats.org/officeDocument/2006/relationships/hyperlink" Target="https://www.fedstat.ru/indicator/57699" TargetMode="External"/><Relationship Id="rId20" Type="http://schemas.openxmlformats.org/officeDocument/2006/relationships/hyperlink" Target="https://sberindex.ru/ru/dashboards/indeks-potrebitelskoi-aktivnosti" TargetMode="External"/><Relationship Id="rId29" Type="http://schemas.openxmlformats.org/officeDocument/2006/relationships/hyperlink" Target="http://www.cbr.ru/vfs/statistics/banksector/borrowings/02_28_escrow_accounts.xlsx" TargetMode="External"/><Relationship Id="rId1" Type="http://schemas.openxmlformats.org/officeDocument/2006/relationships/hyperlink" Target="https://edu.gov.ru/activity/statistics/secondary_prof_edu" TargetMode="External"/><Relationship Id="rId6" Type="http://schemas.openxmlformats.org/officeDocument/2006/relationships/hyperlink" Target="https://www.gipernn.ru/" TargetMode="External"/><Relationship Id="rId11" Type="http://schemas.openxmlformats.org/officeDocument/2006/relationships/hyperlink" Target="https://fedstat.ru/indicator/43298" TargetMode="External"/><Relationship Id="rId24" Type="http://schemas.openxmlformats.org/officeDocument/2006/relationships/hyperlink" Target="https://sberindex.ru/ru/dashboards/izmenenie-aktivnosti-msp-po-regionam" TargetMode="External"/><Relationship Id="rId32" Type="http://schemas.openxmlformats.org/officeDocument/2006/relationships/hyperlink" Target="http://www.cbr.ru/statistics/bank_sector/mortgage/" TargetMode="External"/><Relationship Id="rId37" Type="http://schemas.openxmlformats.org/officeDocument/2006/relationships/hyperlink" Target="https://index.tinkoff.ru/?start=07.2022&amp;end=11.2022&amp;region=%D0%A0%D0%BE%D1%81%D1%82%D0%BE%D0%B2%D1%81%D0%BA%D0%B0%D1%8F+%D0%BE%D0%B1%D0%BB%D0%B0%D1%81%D1%82%D1%8C" TargetMode="External"/><Relationship Id="rId40" Type="http://schemas.openxmlformats.org/officeDocument/2006/relationships/comments" Target="../comments1.xml"/><Relationship Id="rId5" Type="http://schemas.openxmlformats.org/officeDocument/2006/relationships/hyperlink" Target="https://www.gipernn.ru/" TargetMode="External"/><Relationship Id="rId15" Type="http://schemas.openxmlformats.org/officeDocument/2006/relationships/hyperlink" Target="https://www.fedstat.ru/indicator/57699" TargetMode="External"/><Relationship Id="rId23" Type="http://schemas.openxmlformats.org/officeDocument/2006/relationships/hyperlink" Target="https://index.tinkoff.ru/?start=07.2022&amp;end=11.2022&amp;region=%D0%9D%D0%B8%D0%B6%D0%B5%D0%B3%D0%BE%D1%80%D0%BE%D0%B4%D1%81%D0%BA%D0%B0%D1%8F+%D0%BE%D0%B1%D0%BB%D0%B0%D1%81%D1%82%D1%8C" TargetMode="External"/><Relationship Id="rId28" Type="http://schemas.openxmlformats.org/officeDocument/2006/relationships/hyperlink" Target="https://roskazna.gov.ru/ispolnenie-byudzhetov/konsolidirovannye-byudzhety-subektov/1019/" TargetMode="External"/><Relationship Id="rId36" Type="http://schemas.openxmlformats.org/officeDocument/2006/relationships/hyperlink" Target="https://www.benzin-price.ru/price2.php?region_id=61" TargetMode="External"/><Relationship Id="rId10" Type="http://schemas.openxmlformats.org/officeDocument/2006/relationships/hyperlink" Target="https://fedstat.ru/indicator/43298" TargetMode="External"/><Relationship Id="rId19" Type="http://schemas.openxmlformats.org/officeDocument/2006/relationships/hyperlink" Target="https://index.tinkoff.ru/?start=07.2022&amp;end=11.2022&amp;region=%D0%9D%D0%B8%D0%B6%D0%B5%D0%B3%D0%BE%D1%80%D0%BE%D0%B4%D1%81%D0%BA%D0%B0%D1%8F+%D0%BE%D0%B1%D0%BB%D0%B0%D1%81%D1%82%D1%8C" TargetMode="External"/><Relationship Id="rId31" Type="http://schemas.openxmlformats.org/officeDocument/2006/relationships/hyperlink" Target="http://www.cbr.ru/statistics/bank_sector/mortgage/" TargetMode="External"/><Relationship Id="rId4" Type="http://schemas.openxmlformats.org/officeDocument/2006/relationships/hyperlink" Target="https://www.gipernn.ru/" TargetMode="External"/><Relationship Id="rId9" Type="http://schemas.openxmlformats.org/officeDocument/2006/relationships/hyperlink" Target="https://fedstat.ru/indicator/43298" TargetMode="External"/><Relationship Id="rId14" Type="http://schemas.openxmlformats.org/officeDocument/2006/relationships/hyperlink" Target="https://www.atsenergo.ru/nreport?rname=trade_region_spub&amp;rdate=20191112" TargetMode="External"/><Relationship Id="rId22" Type="http://schemas.openxmlformats.org/officeDocument/2006/relationships/hyperlink" Target="https://index.tinkoff.ru/?start=07.2022&amp;end=11.2022&amp;region=%D0%9D%D0%B8%D0%B6%D0%B5%D0%B3%D0%BE%D1%80%D0%BE%D0%B4%D1%81%D0%BA%D0%B0%D1%8F+%D0%BE%D0%B1%D0%BB%D0%B0%D1%81%D1%82%D1%8C" TargetMode="External"/><Relationship Id="rId27" Type="http://schemas.openxmlformats.org/officeDocument/2006/relationships/hyperlink" Target="https://roskazna.gov.ru/ispolnenie-byudzhetov/konsolidirovannye-byudzhety-subektov/1019/" TargetMode="External"/><Relationship Id="rId30" Type="http://schemas.openxmlformats.org/officeDocument/2006/relationships/hyperlink" Target="http://www.cbr.ru/statistics/bank_sector/mortgage/" TargetMode="External"/><Relationship Id="rId35" Type="http://schemas.openxmlformats.org/officeDocument/2006/relationships/hyperlink" Target="https://www.benzin-price.ru/price2.php?region_id=61" TargetMode="External"/><Relationship Id="rId8" Type="http://schemas.openxmlformats.org/officeDocument/2006/relationships/hyperlink" Target="https://sberindex.ru/ru/dashboards/kolichestvo-predlozhenii-o-prodazhe-pervichki" TargetMode="External"/><Relationship Id="rId3" Type="http://schemas.openxmlformats.org/officeDocument/2006/relationships/hyperlink" Target="https://www.gipernn.r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5FF5B-8F8B-43DF-A716-84012883D06F}">
  <sheetPr>
    <outlinePr summaryBelow="0"/>
  </sheetPr>
  <dimension ref="A2:CR57"/>
  <sheetViews>
    <sheetView tabSelected="1" zoomScale="85" zoomScaleNormal="85" zoomScaleSheetLayoutView="70" workbookViewId="0">
      <pane xSplit="11" ySplit="2" topLeftCell="L8" activePane="bottomRight" state="frozen"/>
      <selection activeCell="P17" sqref="P17"/>
      <selection pane="topRight"/>
      <selection pane="bottomLeft"/>
      <selection pane="bottomRight" activeCell="B43" sqref="A43:XFD43"/>
    </sheetView>
  </sheetViews>
  <sheetFormatPr defaultColWidth="9.140625" defaultRowHeight="15" outlineLevelRow="1" outlineLevelCol="1"/>
  <cols>
    <col min="1" max="1" width="14.85546875" bestFit="1" customWidth="1"/>
    <col min="2" max="2" width="16.140625" customWidth="1"/>
    <col min="3" max="3" width="44.85546875" bestFit="1" customWidth="1"/>
    <col min="4" max="4" width="49.42578125" customWidth="1"/>
    <col min="5" max="5" width="24.85546875" hidden="1" customWidth="1" outlineLevel="1"/>
    <col min="6" max="6" width="44.42578125" hidden="1" customWidth="1" outlineLevel="1"/>
    <col min="7" max="7" width="11" customWidth="1" collapsed="1"/>
    <col min="8" max="8" width="11" customWidth="1"/>
    <col min="9" max="9" width="8.7109375" customWidth="1"/>
    <col min="10" max="10" width="12.42578125" customWidth="1"/>
    <col min="11" max="11" width="25" customWidth="1"/>
    <col min="12" max="12" width="12.28515625" bestFit="1" customWidth="1"/>
    <col min="13" max="14" width="10.140625" bestFit="1" customWidth="1"/>
    <col min="15" max="21" width="11.140625" bestFit="1" customWidth="1"/>
    <col min="22" max="22" width="12.28515625" bestFit="1" customWidth="1"/>
    <col min="23" max="23" width="12.42578125" bestFit="1" customWidth="1"/>
    <col min="24" max="28" width="14.28515625" bestFit="1" customWidth="1"/>
    <col min="29" max="29" width="12.42578125" bestFit="1" customWidth="1"/>
    <col min="30" max="31" width="10.28515625" bestFit="1" customWidth="1"/>
    <col min="32" max="36" width="11.28515625" bestFit="1" customWidth="1"/>
    <col min="37" max="39" width="13.85546875" bestFit="1" customWidth="1"/>
    <col min="40" max="40" width="13.140625" bestFit="1" customWidth="1"/>
    <col min="41" max="44" width="14.28515625" bestFit="1" customWidth="1"/>
    <col min="45" max="45" width="14.42578125" bestFit="1" customWidth="1"/>
    <col min="46" max="57" width="13.140625" bestFit="1" customWidth="1"/>
    <col min="58" max="58" width="14.28515625" bestFit="1" customWidth="1"/>
    <col min="59" max="59" width="13.140625" bestFit="1" customWidth="1"/>
    <col min="60" max="60" width="14.28515625" bestFit="1" customWidth="1"/>
    <col min="61" max="62" width="14.42578125" bestFit="1" customWidth="1"/>
    <col min="63" max="74" width="13.140625" bestFit="1" customWidth="1"/>
    <col min="75" max="76" width="14.28515625" bestFit="1" customWidth="1"/>
    <col min="77" max="79" width="14.42578125" bestFit="1" customWidth="1"/>
    <col min="80" max="80" width="13.28515625" bestFit="1" customWidth="1"/>
    <col min="81" max="82" width="13.85546875" bestFit="1" customWidth="1"/>
    <col min="83" max="88" width="13.28515625" bestFit="1" customWidth="1"/>
    <col min="89" max="89" width="13.85546875" bestFit="1" customWidth="1"/>
    <col min="90" max="90" width="8.28515625" customWidth="1"/>
    <col min="91" max="91" width="7.28515625" bestFit="1" customWidth="1"/>
    <col min="92" max="93" width="14.28515625" bestFit="1" customWidth="1"/>
    <col min="94" max="94" width="8.7109375" bestFit="1" customWidth="1"/>
    <col min="95" max="95" width="10.7109375" bestFit="1" customWidth="1"/>
    <col min="96" max="96" width="7.42578125" bestFit="1" customWidth="1"/>
  </cols>
  <sheetData>
    <row r="2" spans="1:96" ht="30">
      <c r="C2" s="38" t="s">
        <v>98</v>
      </c>
      <c r="D2" s="38" t="s">
        <v>99</v>
      </c>
      <c r="E2" s="39" t="s">
        <v>0</v>
      </c>
      <c r="F2" s="47" t="s">
        <v>115</v>
      </c>
      <c r="G2" s="38" t="s">
        <v>100</v>
      </c>
      <c r="H2" s="38" t="s">
        <v>101</v>
      </c>
      <c r="I2" s="40" t="s">
        <v>102</v>
      </c>
      <c r="J2" s="41" t="s">
        <v>103</v>
      </c>
      <c r="K2" s="42" t="s">
        <v>104</v>
      </c>
      <c r="L2" s="33">
        <v>43101</v>
      </c>
      <c r="M2" s="33">
        <v>43132</v>
      </c>
      <c r="N2" s="33">
        <v>43160</v>
      </c>
      <c r="O2" s="33">
        <v>43191</v>
      </c>
      <c r="P2" s="33">
        <v>43221</v>
      </c>
      <c r="Q2" s="33">
        <v>43252</v>
      </c>
      <c r="R2" s="33">
        <v>43282</v>
      </c>
      <c r="S2" s="33">
        <v>43313</v>
      </c>
      <c r="T2" s="33">
        <v>43344</v>
      </c>
      <c r="U2" s="33">
        <v>43374</v>
      </c>
      <c r="V2" s="33">
        <v>43405</v>
      </c>
      <c r="W2" s="33">
        <v>43435</v>
      </c>
      <c r="X2" s="32" t="s">
        <v>1</v>
      </c>
      <c r="Y2" s="32" t="s">
        <v>2</v>
      </c>
      <c r="Z2" s="32" t="s">
        <v>3</v>
      </c>
      <c r="AA2" s="32" t="s">
        <v>4</v>
      </c>
      <c r="AB2" s="32">
        <v>2018</v>
      </c>
      <c r="AC2" s="33">
        <v>43466</v>
      </c>
      <c r="AD2" s="33">
        <v>43497</v>
      </c>
      <c r="AE2" s="33">
        <v>43525</v>
      </c>
      <c r="AF2" s="33">
        <v>43556</v>
      </c>
      <c r="AG2" s="33">
        <v>43586</v>
      </c>
      <c r="AH2" s="33">
        <v>43617</v>
      </c>
      <c r="AI2" s="33">
        <v>43647</v>
      </c>
      <c r="AJ2" s="33">
        <v>43678</v>
      </c>
      <c r="AK2" s="33">
        <v>43709</v>
      </c>
      <c r="AL2" s="33">
        <v>43739</v>
      </c>
      <c r="AM2" s="33">
        <v>43770</v>
      </c>
      <c r="AN2" s="33">
        <v>43800</v>
      </c>
      <c r="AO2" s="32" t="s">
        <v>5</v>
      </c>
      <c r="AP2" s="32" t="s">
        <v>6</v>
      </c>
      <c r="AQ2" s="32" t="s">
        <v>7</v>
      </c>
      <c r="AR2" s="32" t="s">
        <v>8</v>
      </c>
      <c r="AS2" s="32">
        <v>2019</v>
      </c>
      <c r="AT2" s="33">
        <v>43831</v>
      </c>
      <c r="AU2" s="33">
        <v>43862</v>
      </c>
      <c r="AV2" s="33">
        <v>43891</v>
      </c>
      <c r="AW2" s="33">
        <v>43922</v>
      </c>
      <c r="AX2" s="33">
        <v>43952</v>
      </c>
      <c r="AY2" s="33">
        <v>43983</v>
      </c>
      <c r="AZ2" s="33">
        <v>44013</v>
      </c>
      <c r="BA2" s="33">
        <v>44044</v>
      </c>
      <c r="BB2" s="33">
        <v>44075</v>
      </c>
      <c r="BC2" s="33">
        <v>44105</v>
      </c>
      <c r="BD2" s="33">
        <v>44136</v>
      </c>
      <c r="BE2" s="33">
        <v>44166</v>
      </c>
      <c r="BF2" s="32" t="s">
        <v>9</v>
      </c>
      <c r="BG2" s="32" t="s">
        <v>10</v>
      </c>
      <c r="BH2" s="32" t="s">
        <v>11</v>
      </c>
      <c r="BI2" s="32" t="s">
        <v>12</v>
      </c>
      <c r="BJ2" s="32">
        <v>2020</v>
      </c>
      <c r="BK2" s="33">
        <v>44197</v>
      </c>
      <c r="BL2" s="33">
        <v>44228</v>
      </c>
      <c r="BM2" s="33">
        <v>44256</v>
      </c>
      <c r="BN2" s="33">
        <v>44287</v>
      </c>
      <c r="BO2" s="33">
        <v>44317</v>
      </c>
      <c r="BP2" s="33">
        <v>44348</v>
      </c>
      <c r="BQ2" s="33">
        <v>44378</v>
      </c>
      <c r="BR2" s="33">
        <v>44409</v>
      </c>
      <c r="BS2" s="33">
        <v>44440</v>
      </c>
      <c r="BT2" s="33">
        <v>44470</v>
      </c>
      <c r="BU2" s="33">
        <v>44501</v>
      </c>
      <c r="BV2" s="33">
        <v>44531</v>
      </c>
      <c r="BW2" s="32" t="s">
        <v>13</v>
      </c>
      <c r="BX2" s="32" t="s">
        <v>14</v>
      </c>
      <c r="BY2" s="32" t="s">
        <v>15</v>
      </c>
      <c r="BZ2" s="32" t="s">
        <v>16</v>
      </c>
      <c r="CA2" s="32">
        <v>2021</v>
      </c>
      <c r="CB2" s="33">
        <v>44562</v>
      </c>
      <c r="CC2" s="33">
        <v>44593</v>
      </c>
      <c r="CD2" s="33">
        <v>44621</v>
      </c>
      <c r="CE2" s="33">
        <v>44652</v>
      </c>
      <c r="CF2" s="33">
        <v>44682</v>
      </c>
      <c r="CG2" s="33">
        <v>44713</v>
      </c>
      <c r="CH2" s="33">
        <v>44743</v>
      </c>
      <c r="CI2" s="33">
        <v>44774</v>
      </c>
      <c r="CJ2" s="33">
        <v>44805</v>
      </c>
      <c r="CK2" s="33">
        <v>44835</v>
      </c>
      <c r="CL2" s="33">
        <v>44866</v>
      </c>
      <c r="CM2" s="33">
        <v>44896</v>
      </c>
      <c r="CN2" s="32" t="s">
        <v>17</v>
      </c>
      <c r="CO2" s="32" t="s">
        <v>18</v>
      </c>
      <c r="CP2" s="32" t="s">
        <v>19</v>
      </c>
      <c r="CQ2" s="32" t="s">
        <v>20</v>
      </c>
      <c r="CR2" s="32">
        <v>2022</v>
      </c>
    </row>
    <row r="3" spans="1:96">
      <c r="A3" s="28"/>
      <c r="B3" s="28" t="s">
        <v>89</v>
      </c>
      <c r="AB3" s="3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6"/>
      <c r="AP3" s="16"/>
      <c r="AQ3" s="16"/>
      <c r="AR3" s="16"/>
      <c r="AS3" s="16"/>
      <c r="AT3" s="15"/>
      <c r="AU3" s="15"/>
      <c r="AV3" s="15"/>
      <c r="AW3" s="15"/>
      <c r="AX3" s="15"/>
      <c r="AY3" s="15"/>
      <c r="AZ3" s="15"/>
      <c r="BA3" s="15"/>
      <c r="BB3" s="15"/>
      <c r="BC3" s="15"/>
      <c r="BD3" s="15"/>
      <c r="BE3" s="15"/>
      <c r="BF3" s="16"/>
      <c r="BG3" s="16"/>
      <c r="BH3" s="16"/>
      <c r="BI3" s="16"/>
      <c r="BJ3" s="16"/>
      <c r="BK3" s="15"/>
      <c r="BL3" s="15"/>
      <c r="BM3" s="15"/>
      <c r="BN3" s="15"/>
      <c r="BO3" s="15"/>
      <c r="BP3" s="15"/>
      <c r="BQ3" s="15"/>
      <c r="BR3" s="15"/>
      <c r="BS3" s="15"/>
      <c r="BT3" s="15"/>
      <c r="BU3" s="15"/>
      <c r="BV3" s="15"/>
      <c r="BW3" s="16"/>
      <c r="BX3" s="16"/>
      <c r="BY3" s="16"/>
      <c r="BZ3" s="16"/>
      <c r="CB3" s="15"/>
      <c r="CC3" s="15"/>
      <c r="CD3" s="15"/>
      <c r="CE3" s="15"/>
      <c r="CF3" s="15"/>
      <c r="CG3" s="15"/>
      <c r="CH3" s="15"/>
      <c r="CI3" s="15"/>
      <c r="CJ3" s="15"/>
      <c r="CK3" s="15"/>
    </row>
    <row r="4" spans="1:96">
      <c r="A4" s="31">
        <v>1</v>
      </c>
      <c r="B4" s="1"/>
      <c r="C4" s="1" t="s">
        <v>92</v>
      </c>
      <c r="D4" s="29" t="s">
        <v>114</v>
      </c>
      <c r="E4" s="5" t="s">
        <v>35</v>
      </c>
      <c r="F4" s="1" t="s">
        <v>117</v>
      </c>
      <c r="G4" s="1" t="s">
        <v>33</v>
      </c>
      <c r="H4" s="29" t="s">
        <v>109</v>
      </c>
      <c r="I4" s="18" t="s">
        <v>26</v>
      </c>
      <c r="J4" s="2">
        <v>43101</v>
      </c>
      <c r="K4" s="19" t="s">
        <v>121</v>
      </c>
      <c r="X4" s="7">
        <v>11.3</v>
      </c>
      <c r="Y4" s="7">
        <v>8.8000000000000007</v>
      </c>
      <c r="Z4" s="7">
        <v>3.5</v>
      </c>
      <c r="AA4" s="7">
        <v>90.2</v>
      </c>
      <c r="AB4" s="7">
        <f>SUM(X4:AA4)</f>
        <v>113.80000000000001</v>
      </c>
      <c r="AO4" s="7">
        <v>7.7</v>
      </c>
      <c r="AP4" s="7">
        <v>3.8</v>
      </c>
      <c r="AQ4" s="7">
        <v>8.5</v>
      </c>
      <c r="AR4" s="10">
        <v>15.2</v>
      </c>
      <c r="AS4" s="10">
        <f>SUM(AO4:AR4)</f>
        <v>35.200000000000003</v>
      </c>
      <c r="BF4" s="8">
        <v>7</v>
      </c>
      <c r="BG4" s="8">
        <v>7</v>
      </c>
      <c r="BH4" s="8">
        <v>5</v>
      </c>
      <c r="BI4" s="7">
        <v>29.3</v>
      </c>
      <c r="BJ4">
        <f>48.3</f>
        <v>48.3</v>
      </c>
      <c r="BW4" s="7">
        <v>7</v>
      </c>
      <c r="BX4" s="7">
        <v>10.5</v>
      </c>
      <c r="BY4" s="7">
        <v>6.5</v>
      </c>
      <c r="BZ4" s="7">
        <v>79.599999999999994</v>
      </c>
      <c r="CA4" s="7">
        <f>SUM(BW4:BZ4)</f>
        <v>103.6</v>
      </c>
      <c r="CN4" s="7">
        <v>22.7</v>
      </c>
      <c r="CO4" s="7">
        <v>14.4</v>
      </c>
      <c r="CP4" s="7">
        <v>6.8</v>
      </c>
    </row>
    <row r="5" spans="1:96" ht="18.75" customHeight="1">
      <c r="A5" s="31">
        <v>2</v>
      </c>
      <c r="B5" s="1"/>
      <c r="C5" s="1" t="s">
        <v>90</v>
      </c>
      <c r="D5" s="67" t="s">
        <v>43</v>
      </c>
      <c r="E5" s="5" t="s">
        <v>44</v>
      </c>
      <c r="F5" s="1" t="s">
        <v>123</v>
      </c>
      <c r="G5" s="1" t="s">
        <v>33</v>
      </c>
      <c r="H5" s="1" t="s">
        <v>45</v>
      </c>
      <c r="I5" s="21" t="s">
        <v>21</v>
      </c>
      <c r="J5" s="2">
        <v>43800</v>
      </c>
      <c r="K5" s="19" t="s">
        <v>121</v>
      </c>
      <c r="AN5" s="64">
        <v>1677775.5530000003</v>
      </c>
      <c r="AO5" s="59"/>
      <c r="AP5" s="59"/>
      <c r="AQ5" s="59"/>
      <c r="AR5" s="59"/>
      <c r="AS5" s="59"/>
      <c r="AT5" s="64">
        <v>1620820.8290000011</v>
      </c>
      <c r="AU5" s="64">
        <v>1511474.115999999</v>
      </c>
      <c r="AV5" s="64">
        <v>1475464.4049999989</v>
      </c>
      <c r="AW5" s="64">
        <v>1340293.9139999994</v>
      </c>
      <c r="AX5" s="64">
        <v>1250673.6689999998</v>
      </c>
      <c r="AY5" s="64">
        <v>1338419.7509999988</v>
      </c>
      <c r="AZ5" s="64">
        <v>1544755.1659999988</v>
      </c>
      <c r="BA5" s="64">
        <v>1458960.743</v>
      </c>
      <c r="BB5" s="64">
        <v>1351349.3750000007</v>
      </c>
      <c r="BC5" s="64">
        <v>1444349.5250000018</v>
      </c>
      <c r="BD5" s="64">
        <v>1570952.2800000005</v>
      </c>
      <c r="BE5" s="64">
        <v>1816452.7609999992</v>
      </c>
      <c r="BF5" s="59"/>
      <c r="BG5" s="59"/>
      <c r="BH5" s="59"/>
      <c r="BI5" s="59"/>
      <c r="BJ5" s="59"/>
      <c r="BK5" s="64">
        <v>1748302.2169999997</v>
      </c>
      <c r="BL5" s="64">
        <v>1587773.6359999997</v>
      </c>
      <c r="BM5" s="64">
        <v>1707464.1919999986</v>
      </c>
      <c r="BN5" s="64">
        <v>1511368.0679999969</v>
      </c>
      <c r="BO5" s="64">
        <v>1415808.156</v>
      </c>
      <c r="BP5" s="64">
        <v>1460885.7469999993</v>
      </c>
      <c r="BQ5" s="64">
        <v>1720656.1149999998</v>
      </c>
      <c r="BR5" s="64">
        <v>1652006.3089999985</v>
      </c>
      <c r="BS5" s="64">
        <v>1387656.5859999999</v>
      </c>
      <c r="BT5" s="64">
        <v>1584074.1660000002</v>
      </c>
      <c r="BU5" s="64">
        <v>1634935.5230000017</v>
      </c>
      <c r="BV5" s="64">
        <v>1796709.7680000018</v>
      </c>
      <c r="BW5" s="59"/>
      <c r="BX5" s="59"/>
      <c r="BY5" s="59"/>
      <c r="BZ5" s="59"/>
      <c r="CA5" s="59"/>
      <c r="CB5" s="64">
        <v>1830282.7700000005</v>
      </c>
      <c r="CC5" s="64">
        <v>1602099.7900000005</v>
      </c>
      <c r="CD5" s="64">
        <v>1740630.0870000003</v>
      </c>
      <c r="CE5" s="64">
        <v>1501815.6990000005</v>
      </c>
      <c r="CF5" s="64">
        <v>1424398.2519999978</v>
      </c>
      <c r="CG5" s="64">
        <v>1485308.8099999984</v>
      </c>
      <c r="CH5" s="64">
        <v>1588497.4460000002</v>
      </c>
      <c r="CI5" s="64">
        <v>1686911.4679999975</v>
      </c>
      <c r="CJ5" s="64">
        <v>1432092.0210000011</v>
      </c>
      <c r="CK5" s="64">
        <v>1567132.8299999991</v>
      </c>
    </row>
    <row r="6" spans="1:96">
      <c r="A6" s="31">
        <v>3</v>
      </c>
      <c r="B6" s="1"/>
      <c r="C6" s="1" t="s">
        <v>85</v>
      </c>
      <c r="D6" s="1" t="s">
        <v>80</v>
      </c>
      <c r="E6" s="5" t="s">
        <v>34</v>
      </c>
      <c r="F6" s="1"/>
      <c r="G6" s="1" t="s">
        <v>33</v>
      </c>
      <c r="H6" s="1" t="s">
        <v>81</v>
      </c>
      <c r="I6" s="21" t="s">
        <v>21</v>
      </c>
      <c r="J6" s="2">
        <v>43466</v>
      </c>
      <c r="K6" s="19" t="s">
        <v>121</v>
      </c>
      <c r="AC6" s="15">
        <v>13820</v>
      </c>
      <c r="AD6" s="15">
        <v>15759</v>
      </c>
      <c r="AE6" s="15">
        <v>13982</v>
      </c>
      <c r="AF6" s="15">
        <v>14490</v>
      </c>
      <c r="AG6" s="15">
        <v>15561</v>
      </c>
      <c r="AH6" s="15">
        <v>13706</v>
      </c>
      <c r="AI6" s="15">
        <v>13748</v>
      </c>
      <c r="AJ6" s="15">
        <v>12369</v>
      </c>
      <c r="AK6" s="15">
        <v>11319</v>
      </c>
      <c r="AL6" s="15">
        <v>14237</v>
      </c>
      <c r="AM6" s="15">
        <v>14478</v>
      </c>
      <c r="AN6" s="15">
        <v>13801</v>
      </c>
      <c r="AO6" s="16"/>
      <c r="AP6" s="16"/>
      <c r="AQ6" s="16"/>
      <c r="AR6" s="16"/>
      <c r="AS6" s="16">
        <f>SUM(AC6:AN6)</f>
        <v>167270</v>
      </c>
      <c r="AT6" s="15">
        <v>12785</v>
      </c>
      <c r="AU6" s="15">
        <v>15241</v>
      </c>
      <c r="AV6" s="15">
        <v>14270</v>
      </c>
      <c r="AW6" s="15">
        <v>13420</v>
      </c>
      <c r="AX6" s="15">
        <v>12902</v>
      </c>
      <c r="AY6" s="15">
        <v>12873</v>
      </c>
      <c r="AZ6" s="15">
        <v>12207</v>
      </c>
      <c r="BA6" s="15">
        <v>10805</v>
      </c>
      <c r="BB6" s="15">
        <v>10284</v>
      </c>
      <c r="BC6" s="15">
        <v>11027</v>
      </c>
      <c r="BD6" s="15">
        <v>10881</v>
      </c>
      <c r="BE6" s="15">
        <v>9924</v>
      </c>
      <c r="BJ6">
        <f>SUM(AT6:BE6)</f>
        <v>146619</v>
      </c>
      <c r="BK6">
        <v>10325</v>
      </c>
      <c r="BL6">
        <v>10822</v>
      </c>
      <c r="BM6">
        <v>11273</v>
      </c>
      <c r="BN6">
        <v>11661</v>
      </c>
      <c r="BO6">
        <v>12169</v>
      </c>
      <c r="BP6">
        <v>13215</v>
      </c>
      <c r="BQ6">
        <v>14250</v>
      </c>
      <c r="BR6">
        <v>13829</v>
      </c>
      <c r="BS6">
        <v>13828</v>
      </c>
      <c r="BT6">
        <v>15139</v>
      </c>
      <c r="BU6">
        <v>14962</v>
      </c>
      <c r="BV6">
        <v>13930</v>
      </c>
      <c r="CB6">
        <v>13736</v>
      </c>
      <c r="CC6">
        <v>12459</v>
      </c>
      <c r="CD6">
        <v>12886</v>
      </c>
      <c r="CE6">
        <v>14187</v>
      </c>
      <c r="CF6">
        <v>14965</v>
      </c>
      <c r="CG6">
        <v>18037</v>
      </c>
      <c r="CH6">
        <v>18620</v>
      </c>
      <c r="CI6">
        <v>20538</v>
      </c>
      <c r="CJ6">
        <v>20597</v>
      </c>
      <c r="CK6">
        <v>17860</v>
      </c>
    </row>
    <row r="7" spans="1:96">
      <c r="A7" s="31">
        <v>4</v>
      </c>
      <c r="B7" s="1"/>
      <c r="C7" s="1" t="s">
        <v>86</v>
      </c>
      <c r="D7" s="29" t="s">
        <v>110</v>
      </c>
      <c r="E7" s="5" t="s">
        <v>35</v>
      </c>
      <c r="F7" s="1" t="s">
        <v>117</v>
      </c>
      <c r="G7" s="1" t="s">
        <v>33</v>
      </c>
      <c r="H7" s="29" t="s">
        <v>109</v>
      </c>
      <c r="I7" s="18" t="s">
        <v>26</v>
      </c>
      <c r="J7" s="2">
        <v>43101</v>
      </c>
      <c r="K7" s="19" t="s">
        <v>121</v>
      </c>
      <c r="X7" s="48">
        <v>682.3</v>
      </c>
      <c r="Y7" s="9">
        <f>1600-X7</f>
        <v>917.7</v>
      </c>
      <c r="Z7" s="9">
        <f>2325.8-Y7-X7</f>
        <v>725.80000000000018</v>
      </c>
      <c r="AA7" s="9">
        <f>3628.8-X7-Y7-Z7</f>
        <v>1302.9999999999998</v>
      </c>
      <c r="AB7" s="9">
        <f>SUM(X7:AA7)</f>
        <v>3628.8</v>
      </c>
      <c r="AO7" s="48">
        <v>807.3</v>
      </c>
      <c r="AP7" s="9">
        <f>1739.7-AO7</f>
        <v>932.40000000000009</v>
      </c>
      <c r="AQ7" s="9">
        <f>2719-AP7-AO7</f>
        <v>979.3</v>
      </c>
      <c r="AR7" s="9">
        <f>3902.6-AQ7-AP7-AO7</f>
        <v>1183.6000000000001</v>
      </c>
      <c r="AS7" s="9">
        <f>SUM(AO7:AR7)</f>
        <v>3902.6000000000004</v>
      </c>
      <c r="BF7">
        <v>755</v>
      </c>
      <c r="BG7">
        <f>1410.3-BF7</f>
        <v>655.29999999999995</v>
      </c>
      <c r="BH7">
        <f>2455.5-BG7-BF7</f>
        <v>1045.2</v>
      </c>
      <c r="BI7">
        <f>3883.6-BH7-BG7-BF7</f>
        <v>1428.0999999999995</v>
      </c>
      <c r="BJ7">
        <f>SUM(BF7:BI7)</f>
        <v>3883.5999999999995</v>
      </c>
      <c r="BK7">
        <v>26935</v>
      </c>
      <c r="BL7">
        <v>25982</v>
      </c>
      <c r="BM7">
        <v>25282</v>
      </c>
      <c r="BN7">
        <v>29106</v>
      </c>
      <c r="BO7">
        <v>31176</v>
      </c>
      <c r="BP7">
        <v>33578</v>
      </c>
      <c r="BQ7">
        <v>37071</v>
      </c>
      <c r="BR7">
        <v>42016</v>
      </c>
      <c r="BS7">
        <v>37129</v>
      </c>
      <c r="BT7">
        <v>40662</v>
      </c>
      <c r="BU7">
        <v>40535</v>
      </c>
      <c r="BV7">
        <v>41342</v>
      </c>
      <c r="CA7">
        <f>SUM(BK7:BV7)</f>
        <v>410814</v>
      </c>
      <c r="CB7">
        <v>39025</v>
      </c>
      <c r="CC7">
        <v>38353</v>
      </c>
      <c r="CD7">
        <v>43798</v>
      </c>
      <c r="CE7">
        <v>42498</v>
      </c>
      <c r="CF7">
        <v>45119</v>
      </c>
      <c r="CG7">
        <v>49617</v>
      </c>
      <c r="CH7">
        <v>50548</v>
      </c>
      <c r="CI7">
        <v>51386</v>
      </c>
      <c r="CJ7">
        <v>62190</v>
      </c>
      <c r="CK7">
        <v>54743</v>
      </c>
    </row>
    <row r="8" spans="1:96">
      <c r="A8" s="31">
        <v>5</v>
      </c>
      <c r="B8" s="1"/>
      <c r="C8" s="1" t="s">
        <v>86</v>
      </c>
      <c r="D8" s="1" t="s">
        <v>82</v>
      </c>
      <c r="E8" s="5" t="s">
        <v>35</v>
      </c>
      <c r="F8" s="1" t="s">
        <v>117</v>
      </c>
      <c r="G8" s="1" t="s">
        <v>33</v>
      </c>
      <c r="H8" s="29" t="s">
        <v>109</v>
      </c>
      <c r="I8" s="18" t="s">
        <v>26</v>
      </c>
      <c r="J8" s="2">
        <v>43101</v>
      </c>
      <c r="K8" s="19" t="s">
        <v>121</v>
      </c>
      <c r="X8" s="48">
        <v>621.9</v>
      </c>
      <c r="Y8" s="48">
        <f>1438.8-X8</f>
        <v>816.9</v>
      </c>
      <c r="Z8" s="9">
        <f>2035.7-Y8-X8</f>
        <v>596.9000000000002</v>
      </c>
      <c r="AA8" s="9">
        <f>3164.5-Z8-Y8-X8</f>
        <v>1128.7999999999997</v>
      </c>
      <c r="AB8" s="34">
        <f>SUM(X8:AA8)</f>
        <v>3164.5</v>
      </c>
      <c r="AC8" s="34"/>
      <c r="AD8" s="34"/>
      <c r="AE8" s="34"/>
      <c r="AF8" s="34"/>
      <c r="AO8" s="48">
        <v>739.5</v>
      </c>
      <c r="AP8" s="48">
        <f>1576.7-AO8</f>
        <v>837.2</v>
      </c>
      <c r="AQ8" s="49">
        <f>2426.9-AP8-AO8</f>
        <v>850.2</v>
      </c>
      <c r="AR8" s="9">
        <f>3484.2-AQ8-AP8-AO8</f>
        <v>1057.3</v>
      </c>
      <c r="AS8" s="9">
        <f>SUM(AO8:AR8)</f>
        <v>3484.2</v>
      </c>
      <c r="AT8" s="35"/>
      <c r="AU8" s="35"/>
      <c r="AV8" s="35"/>
      <c r="AW8" s="35"/>
      <c r="AX8" s="35"/>
      <c r="AY8" s="35"/>
      <c r="AZ8" s="35"/>
      <c r="BA8" s="35"/>
      <c r="BB8" s="35"/>
      <c r="BC8" s="35"/>
      <c r="BD8" s="35"/>
      <c r="BF8">
        <v>691.4</v>
      </c>
      <c r="BG8">
        <f>1295.3-BF8</f>
        <v>603.9</v>
      </c>
      <c r="BH8">
        <f>2194.2-BG8-BF8</f>
        <v>898.89999999999975</v>
      </c>
      <c r="BI8">
        <f>3518.9-BH8-BG8-BF8</f>
        <v>1324.7000000000003</v>
      </c>
      <c r="BJ8">
        <f>SUM(BF8:BI8)</f>
        <v>3518.9</v>
      </c>
      <c r="BW8">
        <v>523.29999999999995</v>
      </c>
      <c r="BX8">
        <f>1271.8-BW8</f>
        <v>748.5</v>
      </c>
      <c r="BY8">
        <f>2239.5-BX8-BW8</f>
        <v>967.7</v>
      </c>
      <c r="BZ8">
        <f>3347.9-BW8-BX8-BY8</f>
        <v>1108.4000000000003</v>
      </c>
      <c r="CA8">
        <f>SUM(BW8:BZ8)</f>
        <v>3347.9000000000005</v>
      </c>
      <c r="CN8">
        <v>976.3</v>
      </c>
      <c r="CO8">
        <f>1740.3-CN8</f>
        <v>764</v>
      </c>
      <c r="CP8">
        <f>2614.8-CO8-CN8</f>
        <v>874.50000000000023</v>
      </c>
    </row>
    <row r="9" spans="1:96">
      <c r="A9" s="31">
        <v>6</v>
      </c>
      <c r="B9" s="1"/>
      <c r="C9" s="1" t="s">
        <v>85</v>
      </c>
      <c r="D9" s="67" t="s">
        <v>41</v>
      </c>
      <c r="E9" s="5" t="s">
        <v>39</v>
      </c>
      <c r="F9" s="29" t="s">
        <v>119</v>
      </c>
      <c r="G9" s="1" t="s">
        <v>37</v>
      </c>
      <c r="H9" s="1" t="s">
        <v>107</v>
      </c>
      <c r="I9" s="21" t="s">
        <v>21</v>
      </c>
      <c r="J9" s="2">
        <v>43101</v>
      </c>
      <c r="K9" s="19" t="s">
        <v>121</v>
      </c>
      <c r="L9" s="51">
        <v>3023</v>
      </c>
      <c r="M9" s="51">
        <v>3790</v>
      </c>
      <c r="N9" s="51">
        <v>4962</v>
      </c>
      <c r="O9" s="51">
        <v>5345</v>
      </c>
      <c r="P9" s="51">
        <v>4766</v>
      </c>
      <c r="Q9" s="51">
        <v>5396</v>
      </c>
      <c r="R9" s="51">
        <v>5203</v>
      </c>
      <c r="S9" s="51">
        <v>6038</v>
      </c>
      <c r="T9" s="51">
        <v>5706</v>
      </c>
      <c r="U9" s="51">
        <v>6181</v>
      </c>
      <c r="V9" s="51">
        <v>5691</v>
      </c>
      <c r="W9" s="51">
        <v>6678</v>
      </c>
      <c r="X9" s="35"/>
      <c r="Y9" s="35"/>
      <c r="Z9" s="35"/>
      <c r="AA9" s="35"/>
      <c r="AB9" s="14">
        <f>SUM(L9:W9)</f>
        <v>62779</v>
      </c>
      <c r="AC9" s="34">
        <v>3313</v>
      </c>
      <c r="AD9" s="34">
        <v>4621</v>
      </c>
      <c r="AE9" s="34">
        <v>4865</v>
      </c>
      <c r="AF9" s="34">
        <v>5033</v>
      </c>
      <c r="AG9" s="14">
        <v>3835</v>
      </c>
      <c r="AH9" s="14">
        <v>4417</v>
      </c>
      <c r="AI9" s="14">
        <v>4813</v>
      </c>
      <c r="AJ9" s="14">
        <v>5225</v>
      </c>
      <c r="AK9" s="14">
        <v>5362</v>
      </c>
      <c r="AL9" s="14">
        <v>5884</v>
      </c>
      <c r="AM9" s="14">
        <v>5696</v>
      </c>
      <c r="AN9" s="14">
        <v>7360</v>
      </c>
      <c r="AS9" s="34">
        <f>SUM(AC9:AN9)</f>
        <v>60424</v>
      </c>
      <c r="AT9" s="35">
        <v>4096</v>
      </c>
      <c r="AU9" s="35">
        <v>5518</v>
      </c>
      <c r="AV9" s="35">
        <v>6107</v>
      </c>
      <c r="AW9" s="35">
        <v>4040</v>
      </c>
      <c r="AX9" s="35">
        <v>4595</v>
      </c>
      <c r="AY9" s="35">
        <v>6560</v>
      </c>
      <c r="AZ9" s="35">
        <v>8257</v>
      </c>
      <c r="BA9" s="35">
        <v>8609</v>
      </c>
      <c r="BB9" s="35">
        <v>10357</v>
      </c>
      <c r="BC9" s="35">
        <v>10277</v>
      </c>
      <c r="BD9" s="35">
        <v>9237</v>
      </c>
      <c r="BE9">
        <v>10642</v>
      </c>
      <c r="BJ9">
        <f>SUM(AT9:BE9)</f>
        <v>88295</v>
      </c>
      <c r="BK9">
        <v>5305</v>
      </c>
      <c r="BL9">
        <v>7910</v>
      </c>
      <c r="BM9">
        <v>10178</v>
      </c>
      <c r="BN9">
        <v>10763</v>
      </c>
      <c r="BO9">
        <v>8448</v>
      </c>
      <c r="BP9">
        <v>10780</v>
      </c>
      <c r="BQ9">
        <v>9385</v>
      </c>
      <c r="BR9">
        <v>8798</v>
      </c>
      <c r="BS9">
        <v>9830</v>
      </c>
      <c r="BT9">
        <v>10753</v>
      </c>
      <c r="BU9">
        <v>10450</v>
      </c>
      <c r="BV9">
        <v>13954</v>
      </c>
      <c r="CA9">
        <f>SUM(BJ9:BV9)</f>
        <v>204849</v>
      </c>
      <c r="CB9">
        <v>7212</v>
      </c>
      <c r="CC9">
        <v>9404</v>
      </c>
      <c r="CD9">
        <v>11348</v>
      </c>
      <c r="CE9">
        <v>2979</v>
      </c>
      <c r="CF9">
        <v>2796</v>
      </c>
      <c r="CG9">
        <v>4994</v>
      </c>
      <c r="CH9">
        <v>7494</v>
      </c>
      <c r="CI9">
        <v>10078</v>
      </c>
      <c r="CJ9">
        <v>10812</v>
      </c>
    </row>
    <row r="10" spans="1:96">
      <c r="C10" s="1" t="s">
        <v>85</v>
      </c>
      <c r="D10" s="43" t="s">
        <v>132</v>
      </c>
      <c r="E10" s="44" t="s">
        <v>36</v>
      </c>
      <c r="F10" s="29" t="s">
        <v>118</v>
      </c>
      <c r="G10" s="43" t="s">
        <v>37</v>
      </c>
      <c r="H10" s="43" t="s">
        <v>107</v>
      </c>
      <c r="I10" s="21" t="s">
        <v>21</v>
      </c>
      <c r="J10" s="45">
        <v>43647</v>
      </c>
      <c r="K10" s="19" t="s">
        <v>121</v>
      </c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4"/>
      <c r="AC10" s="34"/>
      <c r="AD10" s="34"/>
      <c r="AE10" s="34"/>
      <c r="AF10" s="34"/>
      <c r="AG10" s="14"/>
      <c r="AH10" s="14"/>
      <c r="AI10" s="35">
        <v>129</v>
      </c>
      <c r="AJ10" s="35">
        <v>373</v>
      </c>
      <c r="AK10" s="35">
        <v>658</v>
      </c>
      <c r="AL10" s="35">
        <v>1174</v>
      </c>
      <c r="AM10" s="14">
        <v>1937</v>
      </c>
      <c r="AN10" s="14">
        <v>2662</v>
      </c>
      <c r="AO10" s="14"/>
      <c r="AP10" s="36"/>
      <c r="AQ10" s="36"/>
      <c r="AR10" s="36"/>
      <c r="AS10" s="34"/>
      <c r="AT10">
        <v>3471</v>
      </c>
      <c r="AU10">
        <v>4142</v>
      </c>
      <c r="AV10">
        <v>5060</v>
      </c>
      <c r="AW10">
        <v>6185</v>
      </c>
      <c r="AX10" s="35">
        <v>7706</v>
      </c>
      <c r="AY10" s="35">
        <v>8674</v>
      </c>
      <c r="AZ10" s="35">
        <v>10508</v>
      </c>
      <c r="BA10" s="35">
        <v>11771</v>
      </c>
      <c r="BB10" s="35">
        <v>11955</v>
      </c>
      <c r="BC10" s="35">
        <v>14326</v>
      </c>
      <c r="BD10" s="35">
        <v>16677</v>
      </c>
      <c r="BE10">
        <v>19517</v>
      </c>
      <c r="BK10">
        <v>24352</v>
      </c>
      <c r="BL10">
        <v>25356</v>
      </c>
      <c r="BM10">
        <v>27603</v>
      </c>
      <c r="BN10">
        <v>31150</v>
      </c>
      <c r="BO10">
        <v>34811</v>
      </c>
      <c r="BP10">
        <v>37490</v>
      </c>
      <c r="BQ10">
        <v>38750</v>
      </c>
      <c r="BR10">
        <v>41782</v>
      </c>
      <c r="BS10">
        <v>42569</v>
      </c>
      <c r="BT10">
        <v>45689</v>
      </c>
      <c r="BU10">
        <v>45008</v>
      </c>
      <c r="BV10">
        <v>48972</v>
      </c>
      <c r="CA10">
        <f>SUM(BK10:BV10)</f>
        <v>443532</v>
      </c>
      <c r="CB10">
        <v>47472</v>
      </c>
      <c r="CC10">
        <v>45635</v>
      </c>
      <c r="CD10">
        <v>48749</v>
      </c>
      <c r="CE10">
        <v>53679</v>
      </c>
      <c r="CF10">
        <v>55474</v>
      </c>
      <c r="CG10">
        <v>51696</v>
      </c>
      <c r="CH10">
        <v>53207</v>
      </c>
      <c r="CI10">
        <v>56254</v>
      </c>
      <c r="CJ10">
        <v>55547</v>
      </c>
      <c r="CK10">
        <v>57155</v>
      </c>
    </row>
    <row r="11" spans="1:96">
      <c r="C11" s="1" t="s">
        <v>85</v>
      </c>
      <c r="D11" s="43" t="s">
        <v>133</v>
      </c>
      <c r="E11" s="44"/>
      <c r="F11" s="73" t="s">
        <v>134</v>
      </c>
      <c r="G11" s="43" t="s">
        <v>37</v>
      </c>
      <c r="H11" s="43" t="s">
        <v>107</v>
      </c>
      <c r="I11" s="21" t="s">
        <v>21</v>
      </c>
      <c r="J11" s="45">
        <v>43647</v>
      </c>
      <c r="K11" s="19" t="s">
        <v>121</v>
      </c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4"/>
      <c r="AC11" s="34"/>
      <c r="AD11" s="34"/>
      <c r="AE11" s="34"/>
      <c r="AF11" s="34"/>
      <c r="AG11" s="14"/>
      <c r="AH11" s="14"/>
      <c r="AI11" s="35">
        <f>AI10</f>
        <v>129</v>
      </c>
      <c r="AJ11" s="35">
        <f>AJ10-AI10</f>
        <v>244</v>
      </c>
      <c r="AK11" s="35">
        <f>AK10-AJ10</f>
        <v>285</v>
      </c>
      <c r="AL11" s="35">
        <f>AL10-AK10</f>
        <v>516</v>
      </c>
      <c r="AM11" s="35">
        <f>AM10-AL10</f>
        <v>763</v>
      </c>
      <c r="AN11" s="35">
        <f>AN10-AM10</f>
        <v>725</v>
      </c>
      <c r="AO11" s="14"/>
      <c r="AP11" s="36"/>
      <c r="AQ11" s="36"/>
      <c r="AR11" s="36"/>
      <c r="AS11" s="34"/>
      <c r="AT11" s="11">
        <f>AT10-AN10</f>
        <v>809</v>
      </c>
      <c r="AU11" s="11">
        <f>AU10-AT10</f>
        <v>671</v>
      </c>
      <c r="AV11" s="11">
        <f t="shared" ref="AV11:BE11" si="0">AV10-AU10</f>
        <v>918</v>
      </c>
      <c r="AW11" s="11">
        <f t="shared" si="0"/>
        <v>1125</v>
      </c>
      <c r="AX11" s="11">
        <f t="shared" si="0"/>
        <v>1521</v>
      </c>
      <c r="AY11" s="11">
        <f t="shared" si="0"/>
        <v>968</v>
      </c>
      <c r="AZ11" s="11">
        <f t="shared" si="0"/>
        <v>1834</v>
      </c>
      <c r="BA11" s="11">
        <f t="shared" si="0"/>
        <v>1263</v>
      </c>
      <c r="BB11" s="11">
        <f t="shared" si="0"/>
        <v>184</v>
      </c>
      <c r="BC11" s="11">
        <f t="shared" si="0"/>
        <v>2371</v>
      </c>
      <c r="BD11" s="11">
        <f t="shared" si="0"/>
        <v>2351</v>
      </c>
      <c r="BE11" s="11">
        <f t="shared" si="0"/>
        <v>2840</v>
      </c>
      <c r="BK11">
        <f>BK10-BE10</f>
        <v>4835</v>
      </c>
      <c r="BL11">
        <f>BL10-BK10</f>
        <v>1004</v>
      </c>
      <c r="BM11">
        <f t="shared" ref="BM11:BV11" si="1">BM10-BL10</f>
        <v>2247</v>
      </c>
      <c r="BN11">
        <f t="shared" si="1"/>
        <v>3547</v>
      </c>
      <c r="BO11">
        <f t="shared" si="1"/>
        <v>3661</v>
      </c>
      <c r="BP11">
        <f t="shared" si="1"/>
        <v>2679</v>
      </c>
      <c r="BQ11">
        <f t="shared" si="1"/>
        <v>1260</v>
      </c>
      <c r="BR11">
        <f t="shared" si="1"/>
        <v>3032</v>
      </c>
      <c r="BS11">
        <f t="shared" si="1"/>
        <v>787</v>
      </c>
      <c r="BT11">
        <f t="shared" si="1"/>
        <v>3120</v>
      </c>
      <c r="BU11">
        <f t="shared" si="1"/>
        <v>-681</v>
      </c>
      <c r="BV11">
        <f t="shared" si="1"/>
        <v>3964</v>
      </c>
      <c r="CB11">
        <f>CB10-BV10</f>
        <v>-1500</v>
      </c>
      <c r="CC11">
        <f>CC10-CB10</f>
        <v>-1837</v>
      </c>
      <c r="CD11">
        <f>CD10-CC10</f>
        <v>3114</v>
      </c>
      <c r="CE11">
        <f>CE10-CD10</f>
        <v>4930</v>
      </c>
      <c r="CF11">
        <f>CF10-CE10</f>
        <v>1795</v>
      </c>
      <c r="CG11">
        <f t="shared" ref="CG11:CK11" si="2">CG10-CF10</f>
        <v>-3778</v>
      </c>
      <c r="CH11">
        <f t="shared" si="2"/>
        <v>1511</v>
      </c>
      <c r="CI11">
        <f t="shared" si="2"/>
        <v>3047</v>
      </c>
      <c r="CJ11">
        <f t="shared" si="2"/>
        <v>-707</v>
      </c>
      <c r="CK11">
        <f t="shared" si="2"/>
        <v>1608</v>
      </c>
    </row>
    <row r="12" spans="1:96" ht="15.75">
      <c r="C12" s="1" t="s">
        <v>85</v>
      </c>
      <c r="D12" s="43" t="s">
        <v>38</v>
      </c>
      <c r="E12" s="44" t="s">
        <v>39</v>
      </c>
      <c r="F12" s="29" t="s">
        <v>119</v>
      </c>
      <c r="G12" s="43" t="s">
        <v>37</v>
      </c>
      <c r="H12" s="43" t="s">
        <v>107</v>
      </c>
      <c r="I12" s="21" t="s">
        <v>21</v>
      </c>
      <c r="J12" s="45">
        <v>43101</v>
      </c>
      <c r="K12" s="19" t="s">
        <v>121</v>
      </c>
      <c r="L12">
        <v>1074</v>
      </c>
      <c r="M12">
        <v>1276</v>
      </c>
      <c r="N12">
        <v>1666</v>
      </c>
      <c r="O12">
        <v>1676</v>
      </c>
      <c r="P12">
        <v>1446</v>
      </c>
      <c r="Q12">
        <v>1592</v>
      </c>
      <c r="R12">
        <v>1562</v>
      </c>
      <c r="S12">
        <v>2025</v>
      </c>
      <c r="T12">
        <v>1927</v>
      </c>
      <c r="U12">
        <v>1977</v>
      </c>
      <c r="V12">
        <v>1595</v>
      </c>
      <c r="W12">
        <v>1699</v>
      </c>
      <c r="X12" s="14"/>
      <c r="Y12" s="14"/>
      <c r="Z12" s="14"/>
      <c r="AA12" s="14"/>
      <c r="AB12" s="14"/>
      <c r="AC12" s="72">
        <v>1066</v>
      </c>
      <c r="AD12" s="72">
        <v>1525</v>
      </c>
      <c r="AE12" s="72">
        <v>1774</v>
      </c>
      <c r="AF12" s="72">
        <v>1771</v>
      </c>
      <c r="AG12" s="72">
        <v>1413</v>
      </c>
      <c r="AH12" s="72">
        <v>1486</v>
      </c>
      <c r="AI12" s="72">
        <v>1443</v>
      </c>
      <c r="AJ12" s="74">
        <v>1812</v>
      </c>
      <c r="AK12" s="72">
        <v>1832</v>
      </c>
      <c r="AL12" s="72">
        <v>1858</v>
      </c>
      <c r="AM12" s="72">
        <v>1859</v>
      </c>
      <c r="AN12" s="72">
        <v>1987</v>
      </c>
      <c r="AP12" s="72"/>
      <c r="AT12" s="72">
        <v>1444</v>
      </c>
      <c r="AU12" s="72">
        <v>1874</v>
      </c>
      <c r="AV12" s="72">
        <v>2087</v>
      </c>
      <c r="AW12" s="72">
        <v>1033</v>
      </c>
      <c r="AX12" s="72">
        <v>2030</v>
      </c>
      <c r="AY12" s="72">
        <v>2764</v>
      </c>
      <c r="AZ12" s="72">
        <v>3413</v>
      </c>
      <c r="BA12" s="72">
        <v>3259</v>
      </c>
      <c r="BB12" s="72">
        <v>3586</v>
      </c>
      <c r="BC12" s="72">
        <v>3848</v>
      </c>
      <c r="BD12" s="72">
        <v>2961</v>
      </c>
      <c r="BE12" s="72">
        <v>3182</v>
      </c>
      <c r="BG12" s="16"/>
      <c r="BH12" s="16"/>
      <c r="BK12" s="72">
        <v>1859</v>
      </c>
      <c r="BL12" s="72">
        <v>2783</v>
      </c>
      <c r="BM12" s="72">
        <v>3272</v>
      </c>
      <c r="BN12" s="72">
        <v>3458</v>
      </c>
      <c r="BO12" s="72">
        <v>2696</v>
      </c>
      <c r="BP12" s="72">
        <v>3958</v>
      </c>
      <c r="BQ12" s="72">
        <v>2282</v>
      </c>
      <c r="BR12" s="72">
        <v>2559</v>
      </c>
      <c r="BS12" s="72">
        <v>2975</v>
      </c>
      <c r="BT12" s="72">
        <v>3506</v>
      </c>
      <c r="BU12" s="72">
        <v>3672</v>
      </c>
      <c r="BV12" s="72">
        <v>4691</v>
      </c>
      <c r="CB12" s="72">
        <v>2801</v>
      </c>
      <c r="CC12" s="72">
        <v>3734</v>
      </c>
      <c r="CD12" s="72">
        <v>4992</v>
      </c>
      <c r="CE12" s="72">
        <v>1478</v>
      </c>
      <c r="CF12" s="72">
        <v>1578</v>
      </c>
      <c r="CG12" s="72">
        <v>2605</v>
      </c>
      <c r="CH12" s="72">
        <v>3435</v>
      </c>
      <c r="CI12" s="72">
        <v>3981</v>
      </c>
      <c r="CJ12" s="72">
        <v>3698</v>
      </c>
    </row>
    <row r="13" spans="1:96" ht="15.75">
      <c r="C13" s="1" t="s">
        <v>85</v>
      </c>
      <c r="D13" s="43" t="s">
        <v>108</v>
      </c>
      <c r="E13" s="44" t="s">
        <v>39</v>
      </c>
      <c r="F13" s="29" t="s">
        <v>119</v>
      </c>
      <c r="G13" s="43" t="s">
        <v>33</v>
      </c>
      <c r="H13" s="43" t="s">
        <v>40</v>
      </c>
      <c r="I13" s="21" t="s">
        <v>21</v>
      </c>
      <c r="J13" s="45">
        <v>43101</v>
      </c>
      <c r="K13" s="19" t="s">
        <v>121</v>
      </c>
      <c r="L13">
        <v>518</v>
      </c>
      <c r="M13">
        <v>687</v>
      </c>
      <c r="N13">
        <v>909</v>
      </c>
      <c r="O13">
        <v>870</v>
      </c>
      <c r="P13">
        <v>765</v>
      </c>
      <c r="Q13">
        <v>829</v>
      </c>
      <c r="R13">
        <v>840</v>
      </c>
      <c r="S13">
        <v>1044</v>
      </c>
      <c r="T13">
        <v>1005</v>
      </c>
      <c r="U13">
        <v>1013</v>
      </c>
      <c r="V13">
        <v>874</v>
      </c>
      <c r="W13">
        <v>926</v>
      </c>
      <c r="X13" s="14"/>
      <c r="Y13" s="14"/>
      <c r="Z13" s="14"/>
      <c r="AA13" s="14"/>
      <c r="AB13" s="14"/>
      <c r="AC13" s="72">
        <v>576</v>
      </c>
      <c r="AD13" s="72">
        <v>811</v>
      </c>
      <c r="AE13" s="72">
        <v>899</v>
      </c>
      <c r="AF13" s="72">
        <v>932</v>
      </c>
      <c r="AG13" s="72">
        <v>704</v>
      </c>
      <c r="AH13" s="72">
        <v>750</v>
      </c>
      <c r="AI13" s="72">
        <v>717</v>
      </c>
      <c r="AJ13" s="74">
        <v>935</v>
      </c>
      <c r="AK13" s="72">
        <v>909</v>
      </c>
      <c r="AL13" s="72">
        <v>941</v>
      </c>
      <c r="AM13" s="72">
        <v>941</v>
      </c>
      <c r="AN13" s="72">
        <v>977</v>
      </c>
      <c r="AT13" s="72">
        <v>701</v>
      </c>
      <c r="AU13" s="72">
        <v>873</v>
      </c>
      <c r="AV13" s="72">
        <v>1001</v>
      </c>
      <c r="AW13" s="72">
        <v>532</v>
      </c>
      <c r="AX13" s="72">
        <v>1022</v>
      </c>
      <c r="AY13" s="72">
        <v>1370</v>
      </c>
      <c r="AZ13" s="72">
        <v>1585</v>
      </c>
      <c r="BA13" s="72">
        <v>1523</v>
      </c>
      <c r="BB13" s="72">
        <v>1615</v>
      </c>
      <c r="BC13" s="72">
        <v>1718</v>
      </c>
      <c r="BD13" s="72">
        <v>1222</v>
      </c>
      <c r="BE13" s="72">
        <v>1345</v>
      </c>
      <c r="BK13" s="72">
        <v>783</v>
      </c>
      <c r="BL13" s="72">
        <v>1077</v>
      </c>
      <c r="BM13" s="72">
        <v>1275</v>
      </c>
      <c r="BN13" s="72">
        <v>1270</v>
      </c>
      <c r="BO13" s="72">
        <v>998</v>
      </c>
      <c r="BP13" s="72">
        <v>1321</v>
      </c>
      <c r="BQ13" s="72">
        <v>818</v>
      </c>
      <c r="BR13" s="72">
        <v>943</v>
      </c>
      <c r="BS13" s="72">
        <v>1014</v>
      </c>
      <c r="BT13" s="72">
        <v>1155</v>
      </c>
      <c r="BU13" s="72">
        <v>1156</v>
      </c>
      <c r="BV13" s="72">
        <v>1444</v>
      </c>
      <c r="CA13">
        <f>SUM(BK13:BV13)</f>
        <v>13254</v>
      </c>
      <c r="CB13" s="72">
        <v>856</v>
      </c>
      <c r="CC13" s="72">
        <v>1099</v>
      </c>
      <c r="CD13" s="72">
        <v>1501</v>
      </c>
      <c r="CE13" s="72">
        <v>397</v>
      </c>
      <c r="CF13" s="72">
        <v>329</v>
      </c>
      <c r="CG13" s="72">
        <v>544</v>
      </c>
      <c r="CH13" s="72">
        <v>692</v>
      </c>
      <c r="CI13" s="72">
        <v>811</v>
      </c>
      <c r="CJ13" s="72">
        <v>811</v>
      </c>
      <c r="CL13" s="16"/>
    </row>
    <row r="14" spans="1:96">
      <c r="C14" s="1" t="s">
        <v>85</v>
      </c>
      <c r="D14" s="43" t="s">
        <v>42</v>
      </c>
      <c r="E14" s="44" t="s">
        <v>39</v>
      </c>
      <c r="F14" s="29" t="s">
        <v>119</v>
      </c>
      <c r="G14" s="43" t="s">
        <v>33</v>
      </c>
      <c r="H14" s="43" t="s">
        <v>40</v>
      </c>
      <c r="I14" s="21" t="s">
        <v>21</v>
      </c>
      <c r="J14" s="45">
        <v>43101</v>
      </c>
      <c r="K14" s="19" t="s">
        <v>121</v>
      </c>
      <c r="L14">
        <v>1647</v>
      </c>
      <c r="M14">
        <v>2223</v>
      </c>
      <c r="N14">
        <v>2823</v>
      </c>
      <c r="O14">
        <v>2924</v>
      </c>
      <c r="P14">
        <v>2644</v>
      </c>
      <c r="Q14">
        <v>2999</v>
      </c>
      <c r="R14">
        <v>2905</v>
      </c>
      <c r="S14">
        <v>3335</v>
      </c>
      <c r="T14">
        <v>3133</v>
      </c>
      <c r="U14">
        <v>3424</v>
      </c>
      <c r="V14">
        <v>3135</v>
      </c>
      <c r="W14">
        <v>3558</v>
      </c>
      <c r="Y14" s="36"/>
      <c r="Z14" s="36"/>
      <c r="AA14" s="36"/>
      <c r="AB14" s="11"/>
      <c r="AC14">
        <v>1861</v>
      </c>
      <c r="AD14">
        <v>2508</v>
      </c>
      <c r="AE14">
        <v>2569</v>
      </c>
      <c r="AF14">
        <v>2739</v>
      </c>
      <c r="AG14">
        <v>2073</v>
      </c>
      <c r="AH14">
        <v>2322</v>
      </c>
      <c r="AI14">
        <v>2508</v>
      </c>
      <c r="AJ14">
        <v>2793</v>
      </c>
      <c r="AK14">
        <v>2836</v>
      </c>
      <c r="AL14">
        <v>3105</v>
      </c>
      <c r="AM14">
        <v>3023</v>
      </c>
      <c r="AN14">
        <v>3782</v>
      </c>
      <c r="AT14">
        <v>2116</v>
      </c>
      <c r="AU14">
        <v>2743</v>
      </c>
      <c r="AV14">
        <v>3111</v>
      </c>
      <c r="AW14">
        <v>2141</v>
      </c>
      <c r="AX14">
        <v>2393</v>
      </c>
      <c r="AY14">
        <v>3382</v>
      </c>
      <c r="AZ14">
        <v>4102</v>
      </c>
      <c r="BA14">
        <v>4260</v>
      </c>
      <c r="BB14">
        <v>5065</v>
      </c>
      <c r="BC14">
        <v>5012</v>
      </c>
      <c r="BD14">
        <v>4353</v>
      </c>
      <c r="BE14">
        <v>4907</v>
      </c>
      <c r="BK14">
        <v>2396</v>
      </c>
      <c r="BL14">
        <v>3515</v>
      </c>
      <c r="BM14">
        <v>4384</v>
      </c>
      <c r="BN14">
        <v>4659</v>
      </c>
      <c r="BO14">
        <v>3563</v>
      </c>
      <c r="BP14">
        <v>4412</v>
      </c>
      <c r="BQ14">
        <v>3892</v>
      </c>
      <c r="BR14">
        <v>3786</v>
      </c>
      <c r="BS14">
        <v>3930</v>
      </c>
      <c r="BT14">
        <v>4211</v>
      </c>
      <c r="BU14">
        <v>4016</v>
      </c>
      <c r="BV14">
        <v>5041</v>
      </c>
      <c r="CA14">
        <f>SUM(BK14:BV14)</f>
        <v>47805</v>
      </c>
      <c r="CB14">
        <v>2462</v>
      </c>
      <c r="CC14">
        <v>3285</v>
      </c>
      <c r="CD14">
        <v>3909</v>
      </c>
      <c r="CE14">
        <v>1046</v>
      </c>
      <c r="CF14">
        <v>834</v>
      </c>
      <c r="CG14">
        <v>1511</v>
      </c>
      <c r="CH14">
        <v>2273</v>
      </c>
      <c r="CI14">
        <v>3004</v>
      </c>
      <c r="CJ14">
        <v>3407</v>
      </c>
      <c r="CL14" s="16"/>
    </row>
    <row r="15" spans="1:96" outlineLevel="1">
      <c r="A15" s="31">
        <v>7</v>
      </c>
      <c r="B15" s="1"/>
      <c r="C15" s="29" t="s">
        <v>95</v>
      </c>
      <c r="D15" s="43" t="s">
        <v>111</v>
      </c>
      <c r="E15" s="5" t="s">
        <v>64</v>
      </c>
      <c r="F15" s="52" t="s">
        <v>65</v>
      </c>
      <c r="G15" s="1" t="s">
        <v>37</v>
      </c>
      <c r="H15" s="1" t="s">
        <v>32</v>
      </c>
      <c r="I15" s="21" t="s">
        <v>21</v>
      </c>
      <c r="J15" s="22">
        <v>43101</v>
      </c>
      <c r="K15" s="19" t="s">
        <v>121</v>
      </c>
      <c r="L15" s="14">
        <v>31337510.530000001</v>
      </c>
      <c r="M15" s="14">
        <v>399092221.33000004</v>
      </c>
      <c r="N15" s="14">
        <v>178921840.05999994</v>
      </c>
      <c r="O15" s="14">
        <v>363507532.7700001</v>
      </c>
      <c r="P15" s="14">
        <v>198629703.73000002</v>
      </c>
      <c r="Q15" s="14">
        <v>310749393.30999994</v>
      </c>
      <c r="R15" s="14">
        <v>710286266.28000021</v>
      </c>
      <c r="S15" s="14">
        <v>444734156</v>
      </c>
      <c r="T15" s="14">
        <v>709503332.02999973</v>
      </c>
      <c r="U15" s="14">
        <v>740840590.21000004</v>
      </c>
      <c r="V15" s="14">
        <v>791061000.38000011</v>
      </c>
      <c r="W15" s="14">
        <v>3778302556.1500006</v>
      </c>
      <c r="X15" s="14"/>
      <c r="Y15" s="14"/>
      <c r="Z15" s="14"/>
      <c r="AA15" s="14"/>
      <c r="AB15" s="34"/>
      <c r="AC15" s="34">
        <v>5072604.22</v>
      </c>
      <c r="AD15" s="34">
        <v>16732874.150000002</v>
      </c>
      <c r="AE15" s="34">
        <v>298610329.44</v>
      </c>
      <c r="AF15" s="34">
        <v>727439131.77999997</v>
      </c>
      <c r="AG15" s="14">
        <v>292770796.90999997</v>
      </c>
      <c r="AH15" s="14">
        <v>648756876.28999996</v>
      </c>
      <c r="AI15" s="14">
        <v>502614815.38000011</v>
      </c>
      <c r="AJ15" s="14">
        <v>664498962.79999971</v>
      </c>
      <c r="AK15" s="14">
        <v>736755027.26000023</v>
      </c>
      <c r="AL15" s="14">
        <v>735989340.24000025</v>
      </c>
      <c r="AM15" s="14">
        <v>1136487628</v>
      </c>
      <c r="AN15" s="14">
        <v>2708315749.6399994</v>
      </c>
      <c r="AO15" s="14"/>
      <c r="AT15">
        <v>3530911.86</v>
      </c>
      <c r="AU15">
        <v>51406059.240000002</v>
      </c>
      <c r="AV15">
        <v>480189840.38999999</v>
      </c>
      <c r="AW15">
        <v>495117548.71000004</v>
      </c>
      <c r="AX15">
        <v>725727345.00999999</v>
      </c>
      <c r="AY15">
        <v>279191840.00999999</v>
      </c>
      <c r="AZ15">
        <v>555471474.6099999</v>
      </c>
      <c r="BA15">
        <v>570307150.65999985</v>
      </c>
      <c r="BB15">
        <v>713938583</v>
      </c>
      <c r="BC15">
        <v>579312592.75</v>
      </c>
      <c r="BD15">
        <v>277474436.31000042</v>
      </c>
      <c r="BE15">
        <v>2884442099.6499996</v>
      </c>
      <c r="BK15">
        <v>19717674.940000001</v>
      </c>
      <c r="BL15">
        <v>48202483.549999997</v>
      </c>
      <c r="BM15">
        <v>574169760.30999994</v>
      </c>
      <c r="BN15">
        <v>521908496.54999995</v>
      </c>
      <c r="BO15">
        <v>419339685.84000015</v>
      </c>
      <c r="BP15">
        <v>453350906.61999989</v>
      </c>
      <c r="BQ15">
        <v>1478915566.8899999</v>
      </c>
      <c r="BR15">
        <v>545432668.56000042</v>
      </c>
      <c r="BS15">
        <v>475770630.17999935</v>
      </c>
      <c r="BT15">
        <v>764917337.53999996</v>
      </c>
      <c r="BU15">
        <v>1660303980.9700003</v>
      </c>
      <c r="BV15">
        <v>5079629033.3300009</v>
      </c>
      <c r="CB15">
        <v>3117798.46</v>
      </c>
      <c r="CC15">
        <v>122918945.2</v>
      </c>
    </row>
    <row r="16" spans="1:96" outlineLevel="1">
      <c r="A16" s="31">
        <v>8</v>
      </c>
      <c r="B16" s="1"/>
      <c r="C16" s="29" t="s">
        <v>95</v>
      </c>
      <c r="D16" s="43" t="s">
        <v>66</v>
      </c>
      <c r="E16" s="5" t="s">
        <v>64</v>
      </c>
      <c r="F16" s="1" t="s">
        <v>67</v>
      </c>
      <c r="G16" s="1" t="s">
        <v>37</v>
      </c>
      <c r="H16" s="1" t="s">
        <v>32</v>
      </c>
      <c r="I16" s="21" t="s">
        <v>21</v>
      </c>
      <c r="J16" s="22">
        <v>43101</v>
      </c>
      <c r="K16" s="19" t="s">
        <v>121</v>
      </c>
      <c r="L16" s="14">
        <v>2184482.2599999998</v>
      </c>
      <c r="M16" s="14">
        <v>6087349.25</v>
      </c>
      <c r="N16" s="14">
        <v>17679983.840000004</v>
      </c>
      <c r="O16" s="14">
        <v>31218587.899999999</v>
      </c>
      <c r="P16" s="14">
        <v>32174686.150000006</v>
      </c>
      <c r="Q16" s="14">
        <v>47749370.210000008</v>
      </c>
      <c r="R16" s="14">
        <v>75344446.799999982</v>
      </c>
      <c r="S16" s="14">
        <v>140007351.92999998</v>
      </c>
      <c r="T16" s="14">
        <v>109301863.86000001</v>
      </c>
      <c r="U16" s="14">
        <v>169398256.02000004</v>
      </c>
      <c r="V16" s="14">
        <v>167232853.02999997</v>
      </c>
      <c r="W16" s="14">
        <v>653236062.13000011</v>
      </c>
      <c r="X16" s="14"/>
      <c r="Y16" s="14"/>
      <c r="Z16" s="14"/>
      <c r="AA16" s="14"/>
      <c r="AB16" s="34"/>
      <c r="AC16" s="34">
        <v>1416623</v>
      </c>
      <c r="AD16" s="34">
        <v>4909788.96</v>
      </c>
      <c r="AE16" s="34">
        <v>12533362.149999999</v>
      </c>
      <c r="AF16" s="34">
        <v>43473363.43</v>
      </c>
      <c r="AG16" s="14">
        <v>8439925.4299999997</v>
      </c>
      <c r="AH16" s="14">
        <v>25171998.150000006</v>
      </c>
      <c r="AI16" s="14">
        <v>326444527.19999999</v>
      </c>
      <c r="AJ16" s="14">
        <v>50544341.139999986</v>
      </c>
      <c r="AK16" s="14">
        <v>141081415.70999998</v>
      </c>
      <c r="AL16" s="14">
        <v>206993793.83000004</v>
      </c>
      <c r="AM16" s="14">
        <v>450951686.13000011</v>
      </c>
      <c r="AN16" s="14">
        <v>498505400.83999991</v>
      </c>
      <c r="AO16" s="14"/>
      <c r="AT16">
        <v>1940250.62</v>
      </c>
      <c r="AU16">
        <v>13288775.050000001</v>
      </c>
      <c r="AV16">
        <v>57097832.200000003</v>
      </c>
      <c r="AW16">
        <v>44666782</v>
      </c>
      <c r="AX16">
        <v>75167603.799999982</v>
      </c>
      <c r="AY16">
        <v>77862632.580000013</v>
      </c>
      <c r="AZ16">
        <v>94681081.329999983</v>
      </c>
      <c r="BA16">
        <v>32341069.360000014</v>
      </c>
      <c r="BB16">
        <v>25037013.149999976</v>
      </c>
      <c r="BC16">
        <v>29980120.26000005</v>
      </c>
      <c r="BD16">
        <v>76070959.519999981</v>
      </c>
      <c r="BE16">
        <v>231353197.47000003</v>
      </c>
      <c r="BK16">
        <v>17583779.59</v>
      </c>
      <c r="BL16">
        <v>18631817.91</v>
      </c>
      <c r="BM16">
        <v>133260909.72</v>
      </c>
      <c r="BN16">
        <v>12312781.780000001</v>
      </c>
      <c r="BO16">
        <v>35196651.50999999</v>
      </c>
      <c r="BP16">
        <v>29665963.5</v>
      </c>
      <c r="BQ16">
        <v>28254015.079999983</v>
      </c>
      <c r="BR16">
        <v>46612779.189999998</v>
      </c>
      <c r="BS16">
        <v>36825353.410000026</v>
      </c>
      <c r="BT16">
        <v>90202319.430000007</v>
      </c>
      <c r="BU16">
        <v>493050488.36000001</v>
      </c>
      <c r="BV16">
        <v>231685725.05999994</v>
      </c>
      <c r="CB16">
        <v>1116606.8899999999</v>
      </c>
      <c r="CC16">
        <v>4730382.7</v>
      </c>
    </row>
    <row r="17" spans="1:96" outlineLevel="1">
      <c r="A17" s="31">
        <v>9</v>
      </c>
      <c r="B17" s="1"/>
      <c r="C17" s="29" t="s">
        <v>95</v>
      </c>
      <c r="D17" s="43" t="s">
        <v>68</v>
      </c>
      <c r="E17" s="5" t="s">
        <v>64</v>
      </c>
      <c r="F17" s="1" t="s">
        <v>69</v>
      </c>
      <c r="G17" s="1" t="s">
        <v>37</v>
      </c>
      <c r="H17" s="1" t="s">
        <v>32</v>
      </c>
      <c r="I17" s="21" t="s">
        <v>21</v>
      </c>
      <c r="J17" s="22">
        <v>43101</v>
      </c>
      <c r="K17" s="19" t="s">
        <v>121</v>
      </c>
      <c r="L17" s="14">
        <v>22659326.52</v>
      </c>
      <c r="M17" s="14">
        <v>377612400.24000001</v>
      </c>
      <c r="N17" s="14">
        <v>145406797.06000006</v>
      </c>
      <c r="O17" s="14">
        <v>282806507.90999997</v>
      </c>
      <c r="P17" s="14">
        <v>123488431.00999999</v>
      </c>
      <c r="Q17" s="14">
        <v>196772472.69000006</v>
      </c>
      <c r="R17" s="14">
        <v>496317443.98000002</v>
      </c>
      <c r="S17" s="14">
        <v>183827130.6099999</v>
      </c>
      <c r="T17" s="14">
        <v>529858165.48000002</v>
      </c>
      <c r="U17" s="14">
        <v>518585345.63000011</v>
      </c>
      <c r="V17" s="14">
        <v>563492919.44999981</v>
      </c>
      <c r="W17" s="14">
        <v>2244616785.4099998</v>
      </c>
      <c r="X17" s="14"/>
      <c r="Y17" s="14"/>
      <c r="Z17" s="14"/>
      <c r="AA17" s="14"/>
      <c r="AB17" s="34"/>
      <c r="AC17" s="34">
        <v>1897316.02</v>
      </c>
      <c r="AD17" s="34">
        <v>9914744.8200000003</v>
      </c>
      <c r="AE17" s="34">
        <v>258939472.59999999</v>
      </c>
      <c r="AF17" s="34">
        <v>607090831.46000004</v>
      </c>
      <c r="AG17" s="14">
        <v>239071521.55000007</v>
      </c>
      <c r="AH17" s="14">
        <v>465637946.43000007</v>
      </c>
      <c r="AI17" s="14">
        <v>23254446.46999979</v>
      </c>
      <c r="AJ17" s="14">
        <v>235853795.08000016</v>
      </c>
      <c r="AK17" s="14">
        <v>476726032.87999988</v>
      </c>
      <c r="AL17" s="14">
        <v>458951842.28000021</v>
      </c>
      <c r="AM17" s="14">
        <v>389370335.75999975</v>
      </c>
      <c r="AN17" s="14">
        <v>1325900325.1399999</v>
      </c>
      <c r="AO17" s="14"/>
      <c r="AT17">
        <v>54052.06</v>
      </c>
      <c r="AU17">
        <v>30466956.84</v>
      </c>
      <c r="AV17">
        <v>279050692.94</v>
      </c>
      <c r="AW17">
        <v>364116573.81999999</v>
      </c>
      <c r="AX17">
        <v>592122572.58000004</v>
      </c>
      <c r="AY17">
        <v>131963309.32999992</v>
      </c>
      <c r="AZ17">
        <v>376659573.50999999</v>
      </c>
      <c r="BA17">
        <v>392589768.11999989</v>
      </c>
      <c r="BB17">
        <v>365553733.10000038</v>
      </c>
      <c r="BC17">
        <v>428806616.06999969</v>
      </c>
      <c r="BD17">
        <v>110241081.57999992</v>
      </c>
      <c r="BE17">
        <v>1133465957.7200003</v>
      </c>
      <c r="BK17">
        <v>74060.12</v>
      </c>
      <c r="BL17">
        <v>26023900.739999998</v>
      </c>
      <c r="BM17">
        <v>428415449.50999999</v>
      </c>
      <c r="BN17">
        <v>226216391.38</v>
      </c>
      <c r="BO17">
        <v>333805487.85000002</v>
      </c>
      <c r="BP17">
        <v>371426464.76999986</v>
      </c>
      <c r="BQ17">
        <v>961229871.63000011</v>
      </c>
      <c r="BR17">
        <v>413793432.40999985</v>
      </c>
      <c r="BS17">
        <v>362697610.47000027</v>
      </c>
      <c r="BT17">
        <v>556244518.80999994</v>
      </c>
      <c r="BU17">
        <v>929866091.38999987</v>
      </c>
      <c r="BV17">
        <v>2290621441.9300003</v>
      </c>
      <c r="CB17">
        <v>2280804.4700000002</v>
      </c>
      <c r="CC17">
        <v>88195059.070000008</v>
      </c>
    </row>
    <row r="18" spans="1:96" outlineLevel="1">
      <c r="A18" s="31">
        <v>10</v>
      </c>
      <c r="B18" s="1"/>
      <c r="C18" s="29" t="s">
        <v>95</v>
      </c>
      <c r="D18" s="43" t="s">
        <v>70</v>
      </c>
      <c r="E18" s="5" t="s">
        <v>64</v>
      </c>
      <c r="F18" s="1" t="s">
        <v>71</v>
      </c>
      <c r="G18" s="1" t="s">
        <v>37</v>
      </c>
      <c r="H18" s="1" t="s">
        <v>32</v>
      </c>
      <c r="I18" s="21" t="s">
        <v>21</v>
      </c>
      <c r="J18" s="22">
        <v>43101</v>
      </c>
      <c r="K18" s="19" t="s">
        <v>121</v>
      </c>
      <c r="L18" s="14">
        <v>5965564.1799999997</v>
      </c>
      <c r="M18" s="14">
        <v>15328871.609999999</v>
      </c>
      <c r="N18" s="14">
        <v>15725348.160000004</v>
      </c>
      <c r="O18" s="14">
        <v>49246037.959999993</v>
      </c>
      <c r="P18" s="14">
        <v>42845664.570000008</v>
      </c>
      <c r="Q18" s="14">
        <v>65392160.63000001</v>
      </c>
      <c r="R18" s="14">
        <v>135190299.22999996</v>
      </c>
      <c r="S18" s="14">
        <v>120423683.59000003</v>
      </c>
      <c r="T18" s="14">
        <v>66402438.639999986</v>
      </c>
      <c r="U18" s="14">
        <v>48932563.729999959</v>
      </c>
      <c r="V18" s="14">
        <v>26382425.120000005</v>
      </c>
      <c r="W18" s="14">
        <v>886595240.18999994</v>
      </c>
      <c r="X18" s="14"/>
      <c r="Y18" s="14"/>
      <c r="Z18" s="14"/>
      <c r="AA18" s="14"/>
      <c r="AB18" s="34"/>
      <c r="AC18" s="34">
        <v>1701807.2</v>
      </c>
      <c r="AD18" s="34">
        <v>1899226.3699999999</v>
      </c>
      <c r="AE18" s="34">
        <v>27014362.449999999</v>
      </c>
      <c r="AF18" s="34">
        <v>75459597.930000007</v>
      </c>
      <c r="AG18" s="14">
        <v>44666292.920000002</v>
      </c>
      <c r="AH18" s="14">
        <v>154034525.92000002</v>
      </c>
      <c r="AI18" s="14">
        <v>150117429.62</v>
      </c>
      <c r="AJ18" s="14">
        <v>380003566.37999994</v>
      </c>
      <c r="AK18" s="14">
        <v>117829355.08000004</v>
      </c>
      <c r="AL18" s="14">
        <v>67166560.529999971</v>
      </c>
      <c r="AM18" s="14">
        <v>290781500.68999994</v>
      </c>
      <c r="AN18" s="14">
        <v>871011306.56999993</v>
      </c>
      <c r="AO18" s="14"/>
      <c r="AT18">
        <v>1536609.18</v>
      </c>
      <c r="AU18">
        <v>7643770.7599999998</v>
      </c>
      <c r="AV18">
        <v>144034805.25</v>
      </c>
      <c r="AW18">
        <v>86347259.479999989</v>
      </c>
      <c r="AX18">
        <v>58162357.51000002</v>
      </c>
      <c r="AY18">
        <v>65976561</v>
      </c>
      <c r="AZ18">
        <v>80600315.230000019</v>
      </c>
      <c r="BA18">
        <v>144156335.96999997</v>
      </c>
      <c r="BB18">
        <v>319602312.95000005</v>
      </c>
      <c r="BC18">
        <v>120363553.7299999</v>
      </c>
      <c r="BD18">
        <v>88476811.25999999</v>
      </c>
      <c r="BE18">
        <v>1512688541.5200002</v>
      </c>
      <c r="BK18">
        <v>2059835.23</v>
      </c>
      <c r="BL18">
        <v>3546764.9</v>
      </c>
      <c r="BM18">
        <v>12493401.080000002</v>
      </c>
      <c r="BN18">
        <v>283332923.39000005</v>
      </c>
      <c r="BO18">
        <v>49781095.120000005</v>
      </c>
      <c r="BP18">
        <v>52113478.349999964</v>
      </c>
      <c r="BQ18">
        <v>489140641.07999998</v>
      </c>
      <c r="BR18">
        <v>85032906.060000062</v>
      </c>
      <c r="BS18">
        <v>76247666.299999952</v>
      </c>
      <c r="BT18">
        <v>118467449.04999995</v>
      </c>
      <c r="BU18">
        <v>237390451.47000003</v>
      </c>
      <c r="BV18">
        <v>2557321866.3400002</v>
      </c>
      <c r="CB18">
        <v>-279612.90000000002</v>
      </c>
      <c r="CC18">
        <v>29993503.43</v>
      </c>
    </row>
    <row r="19" spans="1:96">
      <c r="A19" s="17">
        <v>11</v>
      </c>
      <c r="B19" s="1"/>
      <c r="C19" s="1"/>
      <c r="D19" s="23" t="s">
        <v>54</v>
      </c>
      <c r="E19" s="1"/>
      <c r="F19" s="46"/>
      <c r="G19" s="1" t="s">
        <v>23</v>
      </c>
      <c r="H19" s="1"/>
      <c r="I19" s="24" t="s">
        <v>21</v>
      </c>
      <c r="J19" s="1"/>
      <c r="K19" s="19" t="s">
        <v>121</v>
      </c>
    </row>
    <row r="20" spans="1:96">
      <c r="A20" s="31">
        <v>12</v>
      </c>
      <c r="B20" s="1"/>
      <c r="C20" s="1"/>
      <c r="D20" s="20" t="s">
        <v>52</v>
      </c>
      <c r="E20" s="29" t="s">
        <v>106</v>
      </c>
      <c r="F20" s="1"/>
      <c r="G20" s="1" t="s">
        <v>33</v>
      </c>
      <c r="H20" s="29" t="s">
        <v>105</v>
      </c>
      <c r="I20" s="18" t="s">
        <v>26</v>
      </c>
      <c r="J20" s="1"/>
      <c r="K20" s="19" t="s">
        <v>121</v>
      </c>
      <c r="X20" s="34">
        <f>X25/AVERAGE(X22:X23)/1000</f>
        <v>402.10795878214799</v>
      </c>
      <c r="Y20" s="34">
        <f t="shared" ref="Y20:AA20" si="3">Y25/AVERAGE(Y22:Y23)/1000</f>
        <v>349.07547315461181</v>
      </c>
      <c r="Z20" s="34">
        <f t="shared" si="3"/>
        <v>471.36593154690087</v>
      </c>
      <c r="AA20" s="34">
        <f t="shared" si="3"/>
        <v>413.13210967447509</v>
      </c>
      <c r="AB20" s="34"/>
      <c r="AC20" s="34"/>
      <c r="AD20" s="34"/>
      <c r="AE20" s="34"/>
      <c r="AF20" s="34"/>
      <c r="AG20" s="34"/>
      <c r="AH20" s="34"/>
      <c r="AI20" s="34"/>
      <c r="AJ20" s="34"/>
      <c r="AK20" s="34"/>
      <c r="AL20" s="34"/>
      <c r="AM20" s="34"/>
      <c r="AN20" s="34"/>
      <c r="AO20" s="34">
        <f>AO25/AVERAGE(AO22:AO23)/1000</f>
        <v>400.75899111860866</v>
      </c>
      <c r="AP20" s="34">
        <f t="shared" ref="AP20:AR20" si="4">AP25/AVERAGE(AP22:AP23)/1000</f>
        <v>338.73561927854257</v>
      </c>
      <c r="AQ20" s="34">
        <f t="shared" si="4"/>
        <v>481.45512469179147</v>
      </c>
      <c r="AR20" s="34">
        <f t="shared" si="4"/>
        <v>398.70377740957099</v>
      </c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34"/>
      <c r="BD20" s="34"/>
      <c r="BE20" s="34"/>
      <c r="BF20" s="34">
        <f>BF25/AVERAGE(BF22:BF23)/1000</f>
        <v>388.99869973778942</v>
      </c>
      <c r="BG20" s="34">
        <f t="shared" ref="BG20:BI20" si="5">BG25/AVERAGE(BG22:BG23)/1000</f>
        <v>205.83671295875175</v>
      </c>
      <c r="BH20" s="34">
        <f t="shared" si="5"/>
        <v>487.88135864617686</v>
      </c>
      <c r="BI20" s="34">
        <f t="shared" si="5"/>
        <v>357.08258810237584</v>
      </c>
      <c r="BJ20" s="34"/>
      <c r="BK20" s="34"/>
      <c r="BL20" s="34"/>
      <c r="BM20" s="34"/>
      <c r="BN20" s="34"/>
      <c r="BO20" s="34"/>
      <c r="BP20" s="34"/>
      <c r="BQ20" s="34"/>
      <c r="BR20" s="34"/>
      <c r="BS20" s="34"/>
      <c r="BT20" s="34"/>
      <c r="BU20" s="34"/>
      <c r="BV20" s="34"/>
      <c r="BW20" s="34">
        <f>BW25/AVERAGE(BW22:BW23)/1000</f>
        <v>392.89228069331875</v>
      </c>
      <c r="BX20" s="34">
        <f t="shared" ref="BX20:BZ20" si="6">BX25/AVERAGE(BX22:BX23)/1000</f>
        <v>264.36183439856416</v>
      </c>
      <c r="BY20" s="34">
        <f t="shared" si="6"/>
        <v>436.97270960454608</v>
      </c>
      <c r="BZ20" s="34">
        <f t="shared" si="6"/>
        <v>396.82576449107114</v>
      </c>
      <c r="CA20" s="34"/>
      <c r="CB20" s="34"/>
      <c r="CC20" s="34"/>
      <c r="CD20" s="34"/>
      <c r="CE20" s="34"/>
      <c r="CF20" s="34"/>
      <c r="CG20" s="34"/>
      <c r="CH20" s="34"/>
      <c r="CI20" s="34"/>
      <c r="CJ20" s="34"/>
      <c r="CK20" s="34"/>
      <c r="CL20" s="34"/>
      <c r="CM20" s="34"/>
      <c r="CN20" s="34">
        <f>CN25/AVERAGE(CN22:CN23)/1000</f>
        <v>397.2613125076993</v>
      </c>
      <c r="CO20" s="34">
        <f t="shared" ref="CO20" si="7">CO25/AVERAGE(CO22:CO23)/1000</f>
        <v>263.65619418789453</v>
      </c>
      <c r="CP20" s="34"/>
      <c r="CQ20" s="34"/>
    </row>
    <row r="21" spans="1:96">
      <c r="A21" s="31">
        <v>13</v>
      </c>
      <c r="B21" s="1"/>
      <c r="C21" s="1"/>
      <c r="D21" s="20" t="s">
        <v>53</v>
      </c>
      <c r="E21" s="29" t="s">
        <v>106</v>
      </c>
      <c r="F21" s="1"/>
      <c r="G21" s="1" t="s">
        <v>33</v>
      </c>
      <c r="H21" s="29" t="s">
        <v>105</v>
      </c>
      <c r="I21" s="18" t="s">
        <v>26</v>
      </c>
      <c r="J21" s="1"/>
      <c r="K21" s="19" t="s">
        <v>121</v>
      </c>
      <c r="V21" s="12"/>
      <c r="W21" s="12"/>
      <c r="X21" s="34">
        <f>X26/X24/1000</f>
        <v>148.93217476560142</v>
      </c>
      <c r="Y21" s="34">
        <f t="shared" ref="Y21:AA21" si="8">Y26/Y24/1000</f>
        <v>128.70493789823337</v>
      </c>
      <c r="Z21" s="34">
        <f t="shared" si="8"/>
        <v>157.27182919960265</v>
      </c>
      <c r="AA21" s="34">
        <f t="shared" si="8"/>
        <v>159.38234001654777</v>
      </c>
      <c r="AB21" s="12"/>
      <c r="AC21" s="12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4"/>
      <c r="AO21" s="34">
        <f>AO26/AO24/1000</f>
        <v>144.65855322818791</v>
      </c>
      <c r="AP21" s="34">
        <f t="shared" ref="AP21:AR21" si="9">AP26/AP24/1000</f>
        <v>116.78587475080214</v>
      </c>
      <c r="AQ21" s="34">
        <f t="shared" si="9"/>
        <v>169.71464525385508</v>
      </c>
      <c r="AR21" s="34">
        <f t="shared" si="9"/>
        <v>144.44654837424039</v>
      </c>
      <c r="AS21" s="34"/>
      <c r="AT21" s="34"/>
      <c r="AU21" s="34"/>
      <c r="AV21" s="34"/>
      <c r="AW21" s="34"/>
      <c r="AX21" s="34"/>
      <c r="AY21" s="34"/>
      <c r="AZ21" s="34"/>
      <c r="BA21" s="34"/>
      <c r="BB21" s="34"/>
      <c r="BC21" s="34"/>
      <c r="BD21" s="34"/>
      <c r="BE21" s="34"/>
      <c r="BF21" s="34">
        <f>BF26/BF24/1000</f>
        <v>146.9789456136134</v>
      </c>
      <c r="BG21" s="34">
        <f t="shared" ref="BG21:BI21" si="10">BG26/BG24/1000</f>
        <v>94.209533215807809</v>
      </c>
      <c r="BH21" s="34">
        <f t="shared" si="10"/>
        <v>159.02144071228716</v>
      </c>
      <c r="BI21" s="34">
        <f t="shared" si="10"/>
        <v>138.89093658526741</v>
      </c>
      <c r="BJ21" s="34"/>
      <c r="BK21" s="34"/>
      <c r="BL21" s="34"/>
      <c r="BM21" s="34"/>
      <c r="BN21" s="34"/>
      <c r="BO21" s="34"/>
      <c r="BP21" s="34"/>
      <c r="BQ21" s="34"/>
      <c r="BR21" s="34"/>
      <c r="BS21" s="34"/>
      <c r="BT21" s="34"/>
      <c r="BU21" s="34"/>
      <c r="BV21" s="34"/>
      <c r="BW21" s="34">
        <f>BW26/BW24/1000</f>
        <v>149.72107100769847</v>
      </c>
      <c r="BX21" s="34">
        <f t="shared" ref="BX21:BZ21" si="11">BX26/BX24/1000</f>
        <v>112.2291929739724</v>
      </c>
      <c r="BY21" s="34">
        <f t="shared" si="11"/>
        <v>140.84406260832012</v>
      </c>
      <c r="BZ21" s="34">
        <f t="shared" si="11"/>
        <v>167.03187637813295</v>
      </c>
      <c r="CA21" s="34"/>
      <c r="CB21" s="34"/>
      <c r="CC21" s="34"/>
      <c r="CD21" s="34"/>
      <c r="CE21" s="34"/>
      <c r="CF21" s="34"/>
      <c r="CG21" s="34"/>
      <c r="CH21" s="34"/>
      <c r="CI21" s="34"/>
      <c r="CJ21" s="34"/>
      <c r="CK21" s="34"/>
      <c r="CL21" s="34"/>
      <c r="CM21" s="34"/>
      <c r="CN21" s="34">
        <f>CN26/CN24/1000</f>
        <v>178.09274129624521</v>
      </c>
      <c r="CO21" s="34">
        <f t="shared" ref="CO21" si="12">CO26/CO24/1000</f>
        <v>132.99895098577423</v>
      </c>
      <c r="CP21" s="34"/>
      <c r="CQ21" s="34"/>
    </row>
    <row r="22" spans="1:96" ht="21.6" customHeight="1" outlineLevel="1">
      <c r="A22" s="1"/>
      <c r="B22" s="1"/>
      <c r="C22" s="1"/>
      <c r="D22" s="25" t="s">
        <v>46</v>
      </c>
      <c r="E22" s="44" t="s">
        <v>122</v>
      </c>
      <c r="F22" s="1"/>
      <c r="G22" s="1" t="s">
        <v>30</v>
      </c>
      <c r="H22" s="1" t="s">
        <v>32</v>
      </c>
      <c r="I22" s="24" t="s">
        <v>21</v>
      </c>
      <c r="J22" s="2">
        <v>43101</v>
      </c>
      <c r="K22" s="1" t="s">
        <v>121</v>
      </c>
      <c r="L22" s="4">
        <v>39.150988142292618</v>
      </c>
      <c r="M22" s="4">
        <v>39.290286144578673</v>
      </c>
      <c r="N22" s="4">
        <v>39.306838905775408</v>
      </c>
      <c r="O22" s="4">
        <v>39.590469644902633</v>
      </c>
      <c r="P22" s="4">
        <v>41.212388743455307</v>
      </c>
      <c r="Q22" s="4">
        <v>42.673526970954534</v>
      </c>
      <c r="R22" s="4">
        <v>43.025062611807179</v>
      </c>
      <c r="S22" s="4">
        <v>42.575787476280773</v>
      </c>
      <c r="T22" s="4">
        <v>42.489523809523938</v>
      </c>
      <c r="U22" s="4">
        <v>42.495289855072812</v>
      </c>
      <c r="V22" s="4">
        <v>42.518201754386077</v>
      </c>
      <c r="W22" s="4">
        <v>42.560292504570818</v>
      </c>
      <c r="X22" s="4">
        <f>AVERAGE(L22:N22)</f>
        <v>39.249371064215566</v>
      </c>
      <c r="Y22" s="4">
        <f>AVERAGE(O22:Q22)</f>
        <v>41.158795119770822</v>
      </c>
      <c r="Z22" s="4">
        <f>AVERAGE(R22:T22)</f>
        <v>42.696791299203966</v>
      </c>
      <c r="AA22" s="4">
        <f>AVERAGE(U22:W22)</f>
        <v>42.524594704676566</v>
      </c>
      <c r="AB22" s="4"/>
      <c r="AC22" s="4">
        <v>42.928374384236967</v>
      </c>
      <c r="AD22" s="4">
        <v>43.070109289617349</v>
      </c>
      <c r="AE22" s="4">
        <v>42.987517241379336</v>
      </c>
      <c r="AF22" s="4">
        <v>43.026671159030137</v>
      </c>
      <c r="AG22" s="4">
        <v>43.138450184501949</v>
      </c>
      <c r="AH22" s="4">
        <v>43.264262948207488</v>
      </c>
      <c r="AI22" s="4">
        <v>43.312129783694473</v>
      </c>
      <c r="AJ22" s="4">
        <v>43.373199233716242</v>
      </c>
      <c r="AK22" s="4">
        <v>43.438888888888513</v>
      </c>
      <c r="AL22" s="4">
        <v>43.44787200000053</v>
      </c>
      <c r="AM22" s="4">
        <v>43.466844106464173</v>
      </c>
      <c r="AN22" s="4">
        <v>43.446097222222612</v>
      </c>
      <c r="AO22" s="4">
        <f>AVERAGE(AC22:AE22)</f>
        <v>42.995333638411218</v>
      </c>
      <c r="AP22" s="4">
        <f>AVERAGE(AF22:AH22)</f>
        <v>43.143128097246525</v>
      </c>
      <c r="AQ22" s="4">
        <f>AVERAGE(AI22:AK22)</f>
        <v>43.374739302099748</v>
      </c>
      <c r="AR22" s="4">
        <f>AVERAGE(AL22:AN22)</f>
        <v>43.453604442895774</v>
      </c>
      <c r="AS22" s="4"/>
      <c r="AT22" s="4">
        <v>43.501345454545771</v>
      </c>
      <c r="AU22" s="4">
        <v>43.578703703703823</v>
      </c>
      <c r="AV22" s="4">
        <v>43.562786885246013</v>
      </c>
      <c r="AW22" s="4">
        <v>43.256281645569914</v>
      </c>
      <c r="AX22" s="4">
        <v>43.189999999999991</v>
      </c>
      <c r="AY22" s="4">
        <v>43.122444933920853</v>
      </c>
      <c r="AZ22" s="4">
        <v>43.507473684209813</v>
      </c>
      <c r="BA22" s="4">
        <v>43.813913595933947</v>
      </c>
      <c r="BB22" s="4">
        <v>43.847355491329672</v>
      </c>
      <c r="BC22" s="4">
        <v>44.017004680187142</v>
      </c>
      <c r="BD22" s="4">
        <v>44.158676691729752</v>
      </c>
      <c r="BE22" s="4">
        <v>44.228387096774043</v>
      </c>
      <c r="BF22" s="4">
        <f>AVERAGE(AT22:AV22)</f>
        <v>43.547612014498533</v>
      </c>
      <c r="BG22" s="4">
        <f>AVERAGE(AW22:AY22)</f>
        <v>43.189575526496924</v>
      </c>
      <c r="BH22" s="4">
        <f>AVERAGE(AZ22:BB22)</f>
        <v>43.722914257157811</v>
      </c>
      <c r="BI22" s="4">
        <f>AVERAGE(BC22:BE22)</f>
        <v>44.134689489563641</v>
      </c>
      <c r="BJ22" s="4"/>
      <c r="BK22" s="4">
        <v>44.407516666666403</v>
      </c>
      <c r="BL22" s="4">
        <v>44.60227386934686</v>
      </c>
      <c r="BM22" s="4">
        <v>45.088330097087869</v>
      </c>
      <c r="BN22" s="4">
        <v>45.632690909091536</v>
      </c>
      <c r="BO22" s="4">
        <v>45.952808219178337</v>
      </c>
      <c r="BP22" s="4">
        <v>46.165794270833231</v>
      </c>
      <c r="BQ22" s="4">
        <v>46.578906250000443</v>
      </c>
      <c r="BR22" s="4">
        <v>46.852056737588008</v>
      </c>
      <c r="BS22" s="4">
        <v>46.429384615384592</v>
      </c>
      <c r="BT22" s="4">
        <v>46.712425373135353</v>
      </c>
      <c r="BU22" s="4">
        <v>47.208827160493989</v>
      </c>
      <c r="BV22" s="4">
        <v>47.916803874091407</v>
      </c>
      <c r="BW22" s="4">
        <f>AVERAGE(BK22:BM22)</f>
        <v>44.699373544367042</v>
      </c>
      <c r="BX22" s="4">
        <f>AVERAGE(BN22:BP22)</f>
        <v>45.917097799701033</v>
      </c>
      <c r="BY22" s="4">
        <f>AVERAGE(BQ22:BS22)</f>
        <v>46.620115867657681</v>
      </c>
      <c r="BZ22" s="4">
        <f>AVERAGE(BT22:BV22)</f>
        <v>47.279352135906919</v>
      </c>
      <c r="CA22" s="4"/>
      <c r="CB22" s="4">
        <v>48.510804597701537</v>
      </c>
      <c r="CC22" s="4">
        <v>48.398244274809663</v>
      </c>
      <c r="CD22" s="4">
        <v>48.35355871886172</v>
      </c>
      <c r="CE22" s="4">
        <v>48.033131548312447</v>
      </c>
      <c r="CF22" s="4">
        <v>48.003343195266901</v>
      </c>
      <c r="CG22" s="4">
        <v>47.898755490483772</v>
      </c>
      <c r="CH22" s="4">
        <v>47.956575342466323</v>
      </c>
      <c r="CI22" s="4">
        <v>47.957248677249197</v>
      </c>
      <c r="CJ22" s="4">
        <v>47.875387453874673</v>
      </c>
      <c r="CK22" s="4">
        <v>47.926009244992862</v>
      </c>
      <c r="CL22" s="4">
        <v>47.956052631579169</v>
      </c>
      <c r="CM22" s="4"/>
      <c r="CN22" s="4">
        <f>AVERAGE(CB22:CD22)</f>
        <v>48.420869197124297</v>
      </c>
      <c r="CO22" s="4">
        <f>AVERAGE(CE22:CG22)</f>
        <v>47.978410078021035</v>
      </c>
      <c r="CP22" s="4">
        <f>AVERAGE(CH22:CJ22)</f>
        <v>47.9297371578634</v>
      </c>
      <c r="CQ22" s="4">
        <f t="shared" ref="CQ22" si="13">AVERAGE(CK22:CM22)</f>
        <v>47.941030938286019</v>
      </c>
      <c r="CR22" s="16"/>
    </row>
    <row r="23" spans="1:96" ht="17.25" customHeight="1" outlineLevel="1">
      <c r="A23" s="1"/>
      <c r="B23" s="1"/>
      <c r="C23" s="1"/>
      <c r="D23" s="25" t="s">
        <v>47</v>
      </c>
      <c r="E23" s="44" t="s">
        <v>122</v>
      </c>
      <c r="F23" s="1"/>
      <c r="G23" s="1" t="s">
        <v>30</v>
      </c>
      <c r="H23" s="1" t="s">
        <v>32</v>
      </c>
      <c r="I23" s="24" t="s">
        <v>21</v>
      </c>
      <c r="J23" s="2">
        <v>43101</v>
      </c>
      <c r="K23" s="1" t="s">
        <v>121</v>
      </c>
      <c r="L23" s="4">
        <v>42.356616052060637</v>
      </c>
      <c r="M23" s="4">
        <v>42.516581196581242</v>
      </c>
      <c r="N23" s="4">
        <v>42.541126279863583</v>
      </c>
      <c r="O23" s="4">
        <v>42.614245973645808</v>
      </c>
      <c r="P23" s="4">
        <v>44.388671222475701</v>
      </c>
      <c r="Q23" s="4">
        <v>45.946439393939663</v>
      </c>
      <c r="R23" s="4">
        <v>46.156086956521953</v>
      </c>
      <c r="S23" s="4">
        <v>45.916659142212588</v>
      </c>
      <c r="T23" s="4">
        <v>45.759269406392981</v>
      </c>
      <c r="U23" s="4">
        <v>45.678747474747773</v>
      </c>
      <c r="V23" s="4">
        <v>45.751061007957773</v>
      </c>
      <c r="W23" s="4">
        <v>45.895824411135109</v>
      </c>
      <c r="X23" s="4">
        <f t="shared" ref="X23:X24" si="14">AVERAGE(L23:N23)</f>
        <v>42.47144117616849</v>
      </c>
      <c r="Y23" s="4">
        <f t="shared" ref="Y23:Y24" si="15">AVERAGE(O23:Q23)</f>
        <v>44.316452196687059</v>
      </c>
      <c r="Z23" s="4">
        <f t="shared" ref="Z23:Z24" si="16">AVERAGE(R23:T23)</f>
        <v>45.944005168375838</v>
      </c>
      <c r="AA23" s="4">
        <f t="shared" ref="AA23:AA24" si="17">AVERAGE(U23:W23)</f>
        <v>45.775210964613542</v>
      </c>
      <c r="AB23" s="4"/>
      <c r="AC23" s="4">
        <v>45.589868204283682</v>
      </c>
      <c r="AD23" s="4">
        <v>45.67131652661061</v>
      </c>
      <c r="AE23" s="4">
        <v>44.403482587064993</v>
      </c>
      <c r="AF23" s="4">
        <v>44.314074074074327</v>
      </c>
      <c r="AG23" s="4">
        <v>44.382897822445713</v>
      </c>
      <c r="AH23" s="4">
        <v>44.676714801443893</v>
      </c>
      <c r="AI23" s="4">
        <v>44.648646209385959</v>
      </c>
      <c r="AJ23" s="4">
        <v>44.902783505154488</v>
      </c>
      <c r="AK23" s="4">
        <v>44.966222961729933</v>
      </c>
      <c r="AL23" s="4">
        <v>45.313996889580032</v>
      </c>
      <c r="AM23" s="4">
        <v>45.825000000000031</v>
      </c>
      <c r="AN23" s="4">
        <v>46.565725288832091</v>
      </c>
      <c r="AO23" s="4">
        <f t="shared" ref="AO23:AO24" si="18">AVERAGE(AC23:AE23)</f>
        <v>45.22155577265309</v>
      </c>
      <c r="AP23" s="4">
        <f t="shared" ref="AP23:AP24" si="19">AVERAGE(AF23:AH23)</f>
        <v>44.457895565987975</v>
      </c>
      <c r="AQ23" s="4">
        <f t="shared" ref="AQ23:AQ24" si="20">AVERAGE(AI23:AK23)</f>
        <v>44.839217558756793</v>
      </c>
      <c r="AR23" s="4">
        <f t="shared" ref="AR23:AR24" si="21">AVERAGE(AL23:AN23)</f>
        <v>45.901574059470711</v>
      </c>
      <c r="AS23" s="4"/>
      <c r="AT23" s="4">
        <v>47.287268041236942</v>
      </c>
      <c r="AU23" s="4">
        <v>47.318710462286887</v>
      </c>
      <c r="AV23" s="4">
        <v>47.286621359223133</v>
      </c>
      <c r="AW23" s="4">
        <v>47.108888888888771</v>
      </c>
      <c r="AX23" s="4">
        <v>47.111142061281392</v>
      </c>
      <c r="AY23" s="4">
        <v>47.444815905744179</v>
      </c>
      <c r="AZ23" s="4">
        <v>47.563038167939197</v>
      </c>
      <c r="BA23" s="4">
        <v>47.861505546751467</v>
      </c>
      <c r="BB23" s="4">
        <v>48.225140624999781</v>
      </c>
      <c r="BC23" s="4">
        <v>48.526690909090661</v>
      </c>
      <c r="BD23" s="4">
        <v>48.636000000000557</v>
      </c>
      <c r="BE23" s="4">
        <v>48.73199197860967</v>
      </c>
      <c r="BF23" s="4">
        <f t="shared" ref="BF23:BF24" si="22">AVERAGE(AT23:AV23)</f>
        <v>47.297533287582326</v>
      </c>
      <c r="BG23" s="4">
        <f t="shared" ref="BG23:BG24" si="23">AVERAGE(AW23:AY23)</f>
        <v>47.221615618638111</v>
      </c>
      <c r="BH23" s="4">
        <f t="shared" ref="BH23:BH24" si="24">AVERAGE(AZ23:BB23)</f>
        <v>47.883228113230153</v>
      </c>
      <c r="BI23" s="4">
        <f t="shared" ref="BI23:BI24" si="25">AVERAGE(BC23:BE23)</f>
        <v>48.631560962566965</v>
      </c>
      <c r="BJ23" s="4"/>
      <c r="BK23" s="4">
        <v>48.872243713732963</v>
      </c>
      <c r="BL23" s="4">
        <v>49.13022727272741</v>
      </c>
      <c r="BM23" s="4">
        <v>49.548577981651761</v>
      </c>
      <c r="BN23" s="4">
        <v>49.973292517007032</v>
      </c>
      <c r="BO23" s="4">
        <v>50.305176282051697</v>
      </c>
      <c r="BP23" s="4">
        <v>50.61278097982742</v>
      </c>
      <c r="BQ23" s="4">
        <v>50.781486676017039</v>
      </c>
      <c r="BR23" s="4">
        <v>51.268593073593067</v>
      </c>
      <c r="BS23" s="4">
        <v>51.374163614162867</v>
      </c>
      <c r="BT23" s="4">
        <v>51.496574468084262</v>
      </c>
      <c r="BU23" s="4">
        <v>51.908926441352541</v>
      </c>
      <c r="BV23" s="4">
        <v>52.463587155963559</v>
      </c>
      <c r="BW23" s="4">
        <f t="shared" ref="BW23:BW24" si="26">AVERAGE(BK23:BM23)</f>
        <v>49.183682989370709</v>
      </c>
      <c r="BX23" s="4">
        <f t="shared" ref="BX23:BX24" si="27">AVERAGE(BN23:BP23)</f>
        <v>50.297083259628721</v>
      </c>
      <c r="BY23" s="4">
        <f t="shared" ref="BY23:BY24" si="28">AVERAGE(BQ23:BS23)</f>
        <v>51.141414454590993</v>
      </c>
      <c r="BZ23" s="4">
        <f t="shared" ref="BZ23:BZ24" si="29">AVERAGE(BT23:BV23)</f>
        <v>51.956362688466783</v>
      </c>
      <c r="CA23" s="4"/>
      <c r="CB23" s="4">
        <v>53.013619718309528</v>
      </c>
      <c r="CC23" s="4">
        <v>52.8865242165244</v>
      </c>
      <c r="CD23" s="4">
        <v>52.928042609853733</v>
      </c>
      <c r="CE23" s="4">
        <v>52.915605633802542</v>
      </c>
      <c r="CF23" s="4">
        <v>52.694808652245968</v>
      </c>
      <c r="CG23" s="4">
        <v>52.757261146496617</v>
      </c>
      <c r="CH23" s="4">
        <v>52.70417457305475</v>
      </c>
      <c r="CI23" s="4">
        <v>52.663079922027038</v>
      </c>
      <c r="CJ23" s="4">
        <v>52.866435124508669</v>
      </c>
      <c r="CK23" s="4">
        <v>52.774309484192827</v>
      </c>
      <c r="CL23" s="4">
        <v>52.67532808398942</v>
      </c>
      <c r="CM23" s="4"/>
      <c r="CN23" s="4">
        <f t="shared" ref="CN23:CN24" si="30">AVERAGE(CB23:CD23)</f>
        <v>52.942728848229216</v>
      </c>
      <c r="CO23" s="4">
        <f t="shared" ref="CO23:CO24" si="31">AVERAGE(CE23:CG23)</f>
        <v>52.789225144181707</v>
      </c>
      <c r="CP23" s="4">
        <f t="shared" ref="CP23:CP24" si="32">AVERAGE(CH23:CJ23)</f>
        <v>52.744563206530152</v>
      </c>
      <c r="CQ23" s="4">
        <f t="shared" ref="CQ23:CQ24" si="33">AVERAGE(CK23:CM23)</f>
        <v>52.724818784091127</v>
      </c>
      <c r="CR23" s="16"/>
    </row>
    <row r="24" spans="1:96" ht="17.25" customHeight="1" outlineLevel="1">
      <c r="A24" s="1"/>
      <c r="B24" s="1"/>
      <c r="C24" s="1"/>
      <c r="D24" s="25" t="s">
        <v>48</v>
      </c>
      <c r="E24" s="44" t="s">
        <v>122</v>
      </c>
      <c r="F24" s="1"/>
      <c r="G24" s="1" t="s">
        <v>30</v>
      </c>
      <c r="H24" s="1" t="s">
        <v>32</v>
      </c>
      <c r="I24" s="24" t="s">
        <v>21</v>
      </c>
      <c r="J24" s="2">
        <v>43101</v>
      </c>
      <c r="K24" s="1" t="s">
        <v>121</v>
      </c>
      <c r="L24" s="4">
        <v>40.07005347593546</v>
      </c>
      <c r="M24" s="4">
        <v>40.136080332409733</v>
      </c>
      <c r="N24" s="4">
        <v>39.5871951219507</v>
      </c>
      <c r="O24" s="4">
        <v>40.010333692142233</v>
      </c>
      <c r="P24" s="4">
        <v>42.150231629392223</v>
      </c>
      <c r="Q24" s="4">
        <v>43.506997742664133</v>
      </c>
      <c r="R24" s="4">
        <v>43.898317580340731</v>
      </c>
      <c r="S24" s="4">
        <v>43.738533604888552</v>
      </c>
      <c r="T24" s="4">
        <v>43.414170506912861</v>
      </c>
      <c r="U24" s="4">
        <v>43.288377896613753</v>
      </c>
      <c r="V24" s="4">
        <v>43.456923076923488</v>
      </c>
      <c r="W24" s="4">
        <v>44.359036544851008</v>
      </c>
      <c r="X24" s="4">
        <f t="shared" si="14"/>
        <v>39.931109643431959</v>
      </c>
      <c r="Y24" s="4">
        <f t="shared" si="15"/>
        <v>41.889187688066194</v>
      </c>
      <c r="Z24" s="4">
        <f t="shared" si="16"/>
        <v>43.683673897380714</v>
      </c>
      <c r="AA24" s="4">
        <f t="shared" si="17"/>
        <v>43.701445839462757</v>
      </c>
      <c r="AB24" s="4"/>
      <c r="AC24" s="4">
        <v>46.311094339622869</v>
      </c>
      <c r="AD24" s="4">
        <v>46.265298013245172</v>
      </c>
      <c r="AE24" s="4">
        <v>46.2561263736265</v>
      </c>
      <c r="AF24" s="4">
        <v>46.441310452417738</v>
      </c>
      <c r="AG24" s="4">
        <v>46.630815217391209</v>
      </c>
      <c r="AH24" s="4">
        <v>46.845783365570959</v>
      </c>
      <c r="AI24" s="4">
        <v>46.924470588235572</v>
      </c>
      <c r="AJ24" s="4">
        <v>47.06158986175133</v>
      </c>
      <c r="AK24" s="4">
        <v>47.090744466801112</v>
      </c>
      <c r="AL24" s="4">
        <v>47.078648111332271</v>
      </c>
      <c r="AM24" s="4">
        <v>47.128259911894361</v>
      </c>
      <c r="AN24" s="4">
        <v>47.215007072135847</v>
      </c>
      <c r="AO24" s="4">
        <f t="shared" si="18"/>
        <v>46.27750624216484</v>
      </c>
      <c r="AP24" s="4">
        <f t="shared" si="19"/>
        <v>46.639303011793295</v>
      </c>
      <c r="AQ24" s="4">
        <f t="shared" si="20"/>
        <v>47.025601638929338</v>
      </c>
      <c r="AR24" s="4">
        <f t="shared" si="21"/>
        <v>47.140638365120822</v>
      </c>
      <c r="AS24" s="4"/>
      <c r="AT24" s="4">
        <v>47.186249999999838</v>
      </c>
      <c r="AU24" s="4">
        <v>47.199809523809137</v>
      </c>
      <c r="AV24" s="4">
        <v>46.508571428571081</v>
      </c>
      <c r="AW24" s="4">
        <v>46.294630541871548</v>
      </c>
      <c r="AX24" s="4">
        <v>46.349708737864091</v>
      </c>
      <c r="AY24" s="4">
        <v>46.31787773933047</v>
      </c>
      <c r="AZ24" s="4">
        <v>46.530917941585287</v>
      </c>
      <c r="BA24" s="4">
        <v>46.626651982378498</v>
      </c>
      <c r="BB24" s="4">
        <v>46.603012048192468</v>
      </c>
      <c r="BC24" s="4">
        <v>46.640564202334417</v>
      </c>
      <c r="BD24" s="4">
        <v>46.650756457564327</v>
      </c>
      <c r="BE24" s="4">
        <v>46.995198237884999</v>
      </c>
      <c r="BF24" s="4">
        <f t="shared" si="22"/>
        <v>46.964876984126683</v>
      </c>
      <c r="BG24" s="4">
        <f t="shared" si="23"/>
        <v>46.320739006355375</v>
      </c>
      <c r="BH24" s="4">
        <f t="shared" si="24"/>
        <v>46.586860657385422</v>
      </c>
      <c r="BI24" s="4">
        <f t="shared" si="25"/>
        <v>46.76217296592791</v>
      </c>
      <c r="BJ24" s="4"/>
      <c r="BK24" s="4">
        <v>47.902462235649587</v>
      </c>
      <c r="BL24" s="4">
        <v>47.772095639943643</v>
      </c>
      <c r="BM24" s="4">
        <v>47.541458117890109</v>
      </c>
      <c r="BN24" s="4">
        <v>47.916286072772813</v>
      </c>
      <c r="BO24" s="4">
        <v>48.123802008608607</v>
      </c>
      <c r="BP24" s="4">
        <v>48.28341430499318</v>
      </c>
      <c r="BQ24" s="4">
        <v>48.489573820395272</v>
      </c>
      <c r="BR24" s="4">
        <v>48.782401392111638</v>
      </c>
      <c r="BS24" s="4">
        <v>48.58031788079451</v>
      </c>
      <c r="BT24" s="4">
        <v>48.969655831740148</v>
      </c>
      <c r="BU24" s="4">
        <v>49.533215284250197</v>
      </c>
      <c r="BV24" s="4">
        <v>51.318572806172021</v>
      </c>
      <c r="BW24" s="4">
        <f t="shared" si="26"/>
        <v>47.738671997827772</v>
      </c>
      <c r="BX24" s="4">
        <f t="shared" si="27"/>
        <v>48.107834128791531</v>
      </c>
      <c r="BY24" s="4">
        <f t="shared" si="28"/>
        <v>48.617431031100466</v>
      </c>
      <c r="BZ24" s="4">
        <f t="shared" si="29"/>
        <v>49.940481307387451</v>
      </c>
      <c r="CA24" s="4"/>
      <c r="CB24" s="4">
        <v>52.230329835082912</v>
      </c>
      <c r="CC24" s="4">
        <v>52.433152709359312</v>
      </c>
      <c r="CD24" s="4">
        <v>52.162921478060483</v>
      </c>
      <c r="CE24" s="4">
        <v>51.948616187989941</v>
      </c>
      <c r="CF24" s="4">
        <v>51.823183925811207</v>
      </c>
      <c r="CG24" s="4">
        <v>51.806314199395338</v>
      </c>
      <c r="CH24" s="4">
        <v>51.824338624338388</v>
      </c>
      <c r="CI24" s="4">
        <v>52.07305936073044</v>
      </c>
      <c r="CJ24" s="4">
        <v>52.621899371068693</v>
      </c>
      <c r="CK24" s="4">
        <v>53.395630885122891</v>
      </c>
      <c r="CL24" s="4">
        <v>53.756455696202217</v>
      </c>
      <c r="CM24" s="4"/>
      <c r="CN24" s="4">
        <f t="shared" si="30"/>
        <v>52.275468007500898</v>
      </c>
      <c r="CO24" s="4">
        <f t="shared" si="31"/>
        <v>51.859371437732165</v>
      </c>
      <c r="CP24" s="4">
        <f t="shared" si="32"/>
        <v>52.173099118712514</v>
      </c>
      <c r="CQ24" s="4">
        <f t="shared" si="33"/>
        <v>53.576043290662554</v>
      </c>
      <c r="CR24" s="16"/>
    </row>
    <row r="25" spans="1:96" ht="17.25" customHeight="1" outlineLevel="1">
      <c r="A25" s="1"/>
      <c r="B25" s="1"/>
      <c r="C25" s="1"/>
      <c r="D25" s="25" t="s">
        <v>49</v>
      </c>
      <c r="E25" s="26" t="s">
        <v>50</v>
      </c>
      <c r="F25" s="29" t="s">
        <v>120</v>
      </c>
      <c r="G25" s="1" t="s">
        <v>37</v>
      </c>
      <c r="H25" s="37" t="s">
        <v>112</v>
      </c>
      <c r="I25" s="53" t="s">
        <v>26</v>
      </c>
      <c r="J25" s="2">
        <v>43101</v>
      </c>
      <c r="K25" s="19" t="s">
        <v>121</v>
      </c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2"/>
      <c r="W25" s="12"/>
      <c r="X25" s="56">
        <v>16430294.5</v>
      </c>
      <c r="Y25" s="56">
        <f>31348950.7-X25</f>
        <v>14918656.199999999</v>
      </c>
      <c r="Z25" s="56">
        <f>52240076.5-Y25-X25</f>
        <v>20891125.799999997</v>
      </c>
      <c r="AA25" s="56">
        <f>70479819-Z25-Y25-X25</f>
        <v>18239742.5</v>
      </c>
      <c r="AB25" s="56">
        <v>70479819</v>
      </c>
      <c r="AC25" s="56"/>
      <c r="AD25" s="57"/>
      <c r="AE25" s="57"/>
      <c r="AF25" s="57"/>
      <c r="AG25" s="57"/>
      <c r="AH25" s="57"/>
      <c r="AI25" s="57"/>
      <c r="AJ25" s="57"/>
      <c r="AK25" s="57"/>
      <c r="AL25" s="57"/>
      <c r="AM25" s="57"/>
      <c r="AN25" s="57"/>
      <c r="AO25" s="58">
        <v>17676855.800000001</v>
      </c>
      <c r="AP25" s="58">
        <f>32513649.3-AO25</f>
        <v>14836793.5</v>
      </c>
      <c r="AQ25" s="58">
        <f>53749180.1-AP25-AO25</f>
        <v>21235530.800000001</v>
      </c>
      <c r="AR25" s="58">
        <f>71562303.7-AQ25-AP25-AO25</f>
        <v>17813123.600000005</v>
      </c>
      <c r="AS25" s="58">
        <v>71562303.700000003</v>
      </c>
      <c r="AT25" s="57"/>
      <c r="AU25" s="57"/>
      <c r="AV25" s="57"/>
      <c r="AW25" s="57"/>
      <c r="AX25" s="57"/>
      <c r="AY25" s="57"/>
      <c r="AZ25" s="57"/>
      <c r="BA25" s="57"/>
      <c r="BB25" s="57"/>
      <c r="BC25" s="57"/>
      <c r="BD25" s="57"/>
      <c r="BE25" s="57"/>
      <c r="BF25" s="58">
        <v>17669321.699999999</v>
      </c>
      <c r="BG25" s="58">
        <f>26974292.9-BF25</f>
        <v>9304971.1999999993</v>
      </c>
      <c r="BH25" s="58">
        <f>49320757.5-BG25-BF25</f>
        <v>22346464.599999998</v>
      </c>
      <c r="BI25" s="58">
        <f>65883363.9-BH25-BG25-BF25</f>
        <v>16562606.399999995</v>
      </c>
      <c r="BJ25" s="58">
        <v>65883363.899999999</v>
      </c>
      <c r="BK25" s="57"/>
      <c r="BL25" s="57"/>
      <c r="BM25" s="57"/>
      <c r="BN25" s="57"/>
      <c r="BO25" s="57"/>
      <c r="BP25" s="57"/>
      <c r="BQ25" s="57"/>
      <c r="BR25" s="57"/>
      <c r="BS25" s="57"/>
      <c r="BT25" s="57"/>
      <c r="BU25" s="57"/>
      <c r="BV25" s="59"/>
      <c r="BW25" s="59">
        <v>18442964.100000001</v>
      </c>
      <c r="BX25" s="59">
        <f>31160642.8-BW25</f>
        <v>12717678.699999999</v>
      </c>
      <c r="BY25" s="59">
        <f>52520203.2-BX25-BW25</f>
        <v>21359560.399999999</v>
      </c>
      <c r="BZ25" s="59">
        <f>72209847.4-BY25-BX25-BW25</f>
        <v>19689644.20000001</v>
      </c>
      <c r="CA25" s="59">
        <v>72209847.400000006</v>
      </c>
      <c r="CB25" s="59"/>
      <c r="CC25" s="57"/>
      <c r="CD25" s="57"/>
      <c r="CE25" s="57"/>
      <c r="CF25" s="57"/>
      <c r="CG25" s="57"/>
      <c r="CH25" s="57"/>
      <c r="CI25" s="57"/>
      <c r="CJ25" s="57"/>
      <c r="CK25" s="57"/>
      <c r="CL25" s="57"/>
      <c r="CM25" s="60"/>
      <c r="CN25" s="59">
        <v>20133918</v>
      </c>
      <c r="CO25" s="59">
        <f>33417923.6-CN25</f>
        <v>13284005.600000001</v>
      </c>
      <c r="CP25" s="16"/>
      <c r="CQ25" s="16"/>
      <c r="CR25" s="16"/>
    </row>
    <row r="26" spans="1:96" ht="17.25" customHeight="1" outlineLevel="1">
      <c r="A26" s="1"/>
      <c r="B26" s="1"/>
      <c r="C26" s="1"/>
      <c r="D26" s="1" t="s">
        <v>51</v>
      </c>
      <c r="E26" s="5" t="s">
        <v>50</v>
      </c>
      <c r="F26" s="29" t="s">
        <v>120</v>
      </c>
      <c r="G26" s="1" t="s">
        <v>37</v>
      </c>
      <c r="H26" s="29" t="s">
        <v>112</v>
      </c>
      <c r="I26" s="18" t="s">
        <v>26</v>
      </c>
      <c r="J26" s="2">
        <v>43101</v>
      </c>
      <c r="K26" s="19" t="s">
        <v>121</v>
      </c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2"/>
      <c r="W26" s="12"/>
      <c r="X26" s="56">
        <v>5947027</v>
      </c>
      <c r="Y26" s="56">
        <f>11338372.3-X26</f>
        <v>5391345.3000000007</v>
      </c>
      <c r="Z26" s="56">
        <f>18208583.6-Y26-X26</f>
        <v>6870211.3000000007</v>
      </c>
      <c r="AA26" s="56">
        <f>25173822.3-Z26-Y26-X26</f>
        <v>6965238.6999999993</v>
      </c>
      <c r="AB26" s="56">
        <v>25173822.300000001</v>
      </c>
      <c r="AC26" s="56"/>
      <c r="AD26" s="57"/>
      <c r="AE26" s="57"/>
      <c r="AF26" s="57"/>
      <c r="AG26" s="57"/>
      <c r="AH26" s="57"/>
      <c r="AI26" s="57"/>
      <c r="AJ26" s="57"/>
      <c r="AK26" s="57"/>
      <c r="AL26" s="57"/>
      <c r="AM26" s="57"/>
      <c r="AN26" s="57"/>
      <c r="AO26" s="58">
        <v>6694437.0999999996</v>
      </c>
      <c r="AP26" s="58">
        <f>12141248.9-AO26</f>
        <v>5446811.8000000007</v>
      </c>
      <c r="AQ26" s="58">
        <f>20122182.2-AP26-AO26</f>
        <v>7980933.2999999989</v>
      </c>
      <c r="AR26" s="58">
        <f>26931484.7-AQ26-AP26-AO26</f>
        <v>6809302.4999999981</v>
      </c>
      <c r="AS26" s="58">
        <v>26931484.699999999</v>
      </c>
      <c r="AT26" s="57"/>
      <c r="AU26" s="57"/>
      <c r="AV26" s="57"/>
      <c r="AW26" s="57"/>
      <c r="AX26" s="57"/>
      <c r="AY26" s="57"/>
      <c r="AZ26" s="57"/>
      <c r="BA26" s="57"/>
      <c r="BB26" s="57"/>
      <c r="BC26" s="57"/>
      <c r="BD26" s="57"/>
      <c r="BE26" s="57"/>
      <c r="BF26" s="57">
        <v>6902848.0999999996</v>
      </c>
      <c r="BG26" s="57">
        <f>11266703.3-BF26</f>
        <v>4363855.2000000011</v>
      </c>
      <c r="BH26" s="57">
        <f>18675013-BG26-BF26</f>
        <v>7408309.6999999993</v>
      </c>
      <c r="BI26" s="57">
        <f>25169855-BH26-BG26-BF26</f>
        <v>6494842</v>
      </c>
      <c r="BJ26" s="57">
        <v>25169855</v>
      </c>
      <c r="BK26" s="57"/>
      <c r="BL26" s="57"/>
      <c r="BM26" s="57"/>
      <c r="BN26" s="57"/>
      <c r="BO26" s="57"/>
      <c r="BP26" s="57"/>
      <c r="BQ26" s="57"/>
      <c r="BR26" s="57"/>
      <c r="BS26" s="57"/>
      <c r="BT26" s="57"/>
      <c r="BU26" s="57"/>
      <c r="BV26" s="59"/>
      <c r="BW26" s="59">
        <v>7147485.0999999996</v>
      </c>
      <c r="BX26" s="59">
        <f>12546588.5-BW26</f>
        <v>5399103.4000000004</v>
      </c>
      <c r="BY26" s="59">
        <f>19394065-BX26-BW26</f>
        <v>6847476.5</v>
      </c>
      <c r="BZ26" s="59">
        <f>27735717.3-BY26-BX26-BW26</f>
        <v>8341652.3000000007</v>
      </c>
      <c r="CA26" s="59">
        <v>27735717.300000001</v>
      </c>
      <c r="CB26" s="59"/>
      <c r="CC26" s="57"/>
      <c r="CD26" s="57"/>
      <c r="CE26" s="57"/>
      <c r="CF26" s="57"/>
      <c r="CG26" s="57"/>
      <c r="CH26" s="57"/>
      <c r="CI26" s="57"/>
      <c r="CJ26" s="57"/>
      <c r="CK26" s="57"/>
      <c r="CL26" s="57"/>
      <c r="CM26" s="60"/>
      <c r="CN26" s="59">
        <v>9309881.4000000004</v>
      </c>
      <c r="CO26" s="59">
        <f>16207123.4-CN26</f>
        <v>6897242</v>
      </c>
      <c r="CP26" s="16"/>
      <c r="CQ26" s="16"/>
      <c r="CR26" s="16"/>
    </row>
    <row r="27" spans="1:96">
      <c r="A27" s="31">
        <v>14</v>
      </c>
      <c r="B27" s="1"/>
      <c r="C27" s="1"/>
      <c r="D27" s="29" t="s">
        <v>55</v>
      </c>
      <c r="E27" s="5" t="s">
        <v>56</v>
      </c>
      <c r="F27" s="29" t="s">
        <v>124</v>
      </c>
      <c r="G27" s="1" t="s">
        <v>23</v>
      </c>
      <c r="H27" s="1" t="s">
        <v>40</v>
      </c>
      <c r="I27" s="21" t="s">
        <v>21</v>
      </c>
      <c r="J27" s="6">
        <v>43497</v>
      </c>
      <c r="K27" t="s">
        <v>121</v>
      </c>
      <c r="AD27" s="34">
        <v>87.535714285714292</v>
      </c>
      <c r="AE27" s="34">
        <v>107.54838709677419</v>
      </c>
      <c r="AF27" s="34">
        <v>119.46666666666667</v>
      </c>
      <c r="AG27" s="34">
        <v>94.677419354838705</v>
      </c>
      <c r="AH27" s="34">
        <v>99.266666666666666</v>
      </c>
      <c r="AI27" s="34">
        <v>109.16666666666667</v>
      </c>
      <c r="AJ27" s="34">
        <v>99.354838709677423</v>
      </c>
      <c r="AK27" s="34">
        <v>99.766666666666666</v>
      </c>
      <c r="AL27" s="34">
        <v>111.64516129032258</v>
      </c>
      <c r="AM27" s="34">
        <v>108.7</v>
      </c>
      <c r="AN27" s="34">
        <v>99.225806451612897</v>
      </c>
      <c r="AO27" s="34"/>
      <c r="AP27" s="34"/>
      <c r="AQ27" s="34"/>
      <c r="AR27" s="34"/>
      <c r="AS27" s="34"/>
      <c r="AT27" s="34">
        <v>82.064516129032256</v>
      </c>
      <c r="AU27" s="34">
        <v>83.142857142857139</v>
      </c>
      <c r="AV27" s="34">
        <v>120</v>
      </c>
      <c r="AW27" s="34">
        <v>38.266666666666666</v>
      </c>
      <c r="AX27" s="34">
        <v>70.645161290322577</v>
      </c>
      <c r="AY27" s="34">
        <v>116.23333333333333</v>
      </c>
      <c r="AZ27" s="34">
        <v>116.6</v>
      </c>
      <c r="BA27" s="34">
        <v>119.93548387096774</v>
      </c>
      <c r="BB27" s="34">
        <v>108.96666666666667</v>
      </c>
      <c r="BC27" s="34">
        <v>116.61290322580645</v>
      </c>
      <c r="BD27" s="34">
        <v>153.93333333333334</v>
      </c>
      <c r="BE27" s="34">
        <v>117.16129032258064</v>
      </c>
      <c r="BF27" s="34"/>
      <c r="BG27" s="34"/>
      <c r="BH27" s="34"/>
      <c r="BI27" s="34"/>
      <c r="BJ27" s="34"/>
      <c r="BK27" s="34">
        <v>100.45161290322581</v>
      </c>
      <c r="BL27" s="34">
        <v>128.92857142857142</v>
      </c>
      <c r="BM27" s="34">
        <v>165.32258064516128</v>
      </c>
      <c r="BN27" s="34">
        <v>179.03333333333333</v>
      </c>
      <c r="BO27" s="34">
        <v>165.16129032258064</v>
      </c>
      <c r="BP27" s="34">
        <v>181.23333333333332</v>
      </c>
      <c r="BQ27" s="34">
        <v>176.6</v>
      </c>
      <c r="BR27" s="34">
        <v>161.19354838709677</v>
      </c>
      <c r="BS27" s="34">
        <v>184.4</v>
      </c>
      <c r="BT27" s="34">
        <v>175.45161290322579</v>
      </c>
      <c r="BU27" s="34">
        <v>195.7</v>
      </c>
      <c r="BV27" s="34">
        <v>173.64516129032259</v>
      </c>
      <c r="BW27" s="34"/>
      <c r="BX27" s="34"/>
      <c r="BY27" s="34"/>
      <c r="BZ27" s="34"/>
      <c r="CA27" s="34"/>
      <c r="CB27" s="34">
        <v>145.74193548387098</v>
      </c>
      <c r="CC27" s="34">
        <v>196.14285714285714</v>
      </c>
      <c r="CD27" s="34">
        <v>194</v>
      </c>
      <c r="CE27" s="34">
        <v>150.4</v>
      </c>
      <c r="CF27" s="34">
        <v>137.61290322580646</v>
      </c>
      <c r="CG27" s="34">
        <v>168.86666666666667</v>
      </c>
      <c r="CH27" s="34">
        <v>142.13333333333333</v>
      </c>
      <c r="CI27" s="34">
        <v>193.54838709677421</v>
      </c>
      <c r="CJ27" s="34">
        <v>163.26666666666668</v>
      </c>
      <c r="CK27" s="34">
        <v>144.38709677419354</v>
      </c>
      <c r="CL27" s="34">
        <v>171.42105263157896</v>
      </c>
    </row>
    <row r="28" spans="1:96">
      <c r="A28" s="31">
        <v>15</v>
      </c>
      <c r="B28" s="1"/>
      <c r="C28" s="1"/>
      <c r="D28" s="25" t="s">
        <v>57</v>
      </c>
      <c r="E28" s="5" t="s">
        <v>56</v>
      </c>
      <c r="F28" s="29" t="s">
        <v>124</v>
      </c>
      <c r="G28" s="1" t="s">
        <v>23</v>
      </c>
      <c r="H28" s="1" t="s">
        <v>40</v>
      </c>
      <c r="I28" s="21" t="s">
        <v>21</v>
      </c>
      <c r="J28" s="6">
        <v>43497</v>
      </c>
      <c r="K28" t="s">
        <v>121</v>
      </c>
      <c r="AD28" s="34">
        <v>91.285714285714292</v>
      </c>
      <c r="AE28" s="34">
        <v>96.709677419354833</v>
      </c>
      <c r="AF28" s="34">
        <v>99.13333333333334</v>
      </c>
      <c r="AG28" s="34">
        <v>100.16129032258064</v>
      </c>
      <c r="AH28" s="34">
        <v>105.8</v>
      </c>
      <c r="AI28" s="34">
        <v>101.8</v>
      </c>
      <c r="AJ28" s="34">
        <v>106.19354838709677</v>
      </c>
      <c r="AK28" s="34">
        <v>101.26666666666667</v>
      </c>
      <c r="AL28" s="34">
        <v>102.2258064516129</v>
      </c>
      <c r="AM28" s="34">
        <v>105.16666666666667</v>
      </c>
      <c r="AN28" s="34">
        <v>98.41935483870968</v>
      </c>
      <c r="AO28" s="34"/>
      <c r="AP28" s="34"/>
      <c r="AQ28" s="34"/>
      <c r="AR28" s="34"/>
      <c r="AS28" s="34"/>
      <c r="AT28" s="34">
        <v>89.935483870967744</v>
      </c>
      <c r="AU28" s="34">
        <v>94.285714285714292</v>
      </c>
      <c r="AV28" s="34">
        <v>98.516129032258064</v>
      </c>
      <c r="AW28" s="34">
        <v>55.93333333333333</v>
      </c>
      <c r="AX28" s="34">
        <v>72.451612903225808</v>
      </c>
      <c r="AY28" s="34">
        <v>101.5</v>
      </c>
      <c r="AZ28" s="34">
        <v>99.533333333333331</v>
      </c>
      <c r="BA28" s="34">
        <v>117.51612903225806</v>
      </c>
      <c r="BB28" s="34">
        <v>106.8</v>
      </c>
      <c r="BC28" s="34">
        <v>99.935483870967744</v>
      </c>
      <c r="BD28" s="34">
        <v>108.86666666666666</v>
      </c>
      <c r="BE28" s="34">
        <v>110.06451612903226</v>
      </c>
      <c r="BF28" s="34"/>
      <c r="BG28" s="34"/>
      <c r="BH28" s="34"/>
      <c r="BI28" s="34"/>
      <c r="BJ28" s="34"/>
      <c r="BK28" s="34">
        <v>99.032258064516128</v>
      </c>
      <c r="BL28" s="34">
        <v>106.92857142857143</v>
      </c>
      <c r="BM28" s="34">
        <v>111.45161290322581</v>
      </c>
      <c r="BN28" s="34">
        <v>116.7</v>
      </c>
      <c r="BO28" s="34">
        <v>118.48387096774194</v>
      </c>
      <c r="BP28" s="34">
        <v>124.23333333333333</v>
      </c>
      <c r="BQ28" s="34">
        <v>119.9</v>
      </c>
      <c r="BR28" s="34">
        <v>128.64516129032259</v>
      </c>
      <c r="BS28" s="34">
        <v>122.26666666666667</v>
      </c>
      <c r="BT28" s="34">
        <v>119.90322580645162</v>
      </c>
      <c r="BU28" s="34">
        <v>118.66666666666667</v>
      </c>
      <c r="BV28" s="34">
        <v>123.45161290322581</v>
      </c>
      <c r="BW28" s="34"/>
      <c r="BX28" s="34"/>
      <c r="BY28" s="34"/>
      <c r="BZ28" s="34"/>
      <c r="CA28" s="34"/>
      <c r="CB28" s="34">
        <v>111.06451612903226</v>
      </c>
      <c r="CC28" s="34">
        <v>116.17857142857143</v>
      </c>
      <c r="CD28" s="34">
        <v>105.54838709677419</v>
      </c>
      <c r="CE28" s="34">
        <v>111.2</v>
      </c>
      <c r="CF28" s="34">
        <v>107.25806451612904</v>
      </c>
      <c r="CG28" s="34">
        <v>115.26666666666667</v>
      </c>
      <c r="CH28" s="34">
        <v>101.43333333333334</v>
      </c>
      <c r="CI28" s="34">
        <v>118.3225806451613</v>
      </c>
      <c r="CJ28" s="34">
        <v>106.7</v>
      </c>
      <c r="CK28" s="34">
        <v>101.54838709677419</v>
      </c>
      <c r="CL28" s="34">
        <v>107.31578947368421</v>
      </c>
    </row>
    <row r="29" spans="1:96" ht="15.75" thickBot="1">
      <c r="A29" s="31">
        <v>16</v>
      </c>
      <c r="B29" s="27" t="s">
        <v>84</v>
      </c>
      <c r="C29" s="1" t="s">
        <v>72</v>
      </c>
      <c r="D29" s="1" t="s">
        <v>73</v>
      </c>
      <c r="E29" s="5" t="s">
        <v>29</v>
      </c>
      <c r="F29" s="1" t="s">
        <v>116</v>
      </c>
      <c r="G29" s="1" t="s">
        <v>30</v>
      </c>
      <c r="H29" s="1" t="s">
        <v>31</v>
      </c>
      <c r="I29" s="21" t="s">
        <v>21</v>
      </c>
      <c r="J29" s="2">
        <v>43374</v>
      </c>
      <c r="K29" s="29" t="s">
        <v>121</v>
      </c>
      <c r="U29" s="61">
        <v>233.9</v>
      </c>
      <c r="V29" s="61">
        <v>242.25</v>
      </c>
      <c r="W29" s="61">
        <v>243.05</v>
      </c>
      <c r="X29" s="16"/>
      <c r="Y29" s="16"/>
      <c r="Z29" s="16"/>
      <c r="AA29" s="16"/>
      <c r="AB29" s="16"/>
      <c r="AC29" s="61">
        <v>246.4</v>
      </c>
      <c r="AD29" s="61">
        <v>247.9</v>
      </c>
      <c r="AE29" s="61">
        <v>249.75</v>
      </c>
      <c r="AF29" s="61">
        <v>250.25</v>
      </c>
      <c r="AG29" s="61">
        <v>247.8</v>
      </c>
      <c r="AH29" s="61">
        <v>251.8</v>
      </c>
      <c r="AI29" s="61">
        <v>252.55</v>
      </c>
      <c r="AJ29" s="61">
        <v>251.75</v>
      </c>
      <c r="AK29" s="61">
        <v>251.785</v>
      </c>
      <c r="AL29" s="61">
        <v>253.0667</v>
      </c>
      <c r="AM29" s="61">
        <v>244.9</v>
      </c>
      <c r="AN29" s="61">
        <v>251.3</v>
      </c>
      <c r="AO29" s="11"/>
      <c r="AP29" s="11"/>
      <c r="AQ29" s="11"/>
      <c r="AR29" s="11"/>
      <c r="AS29" s="11"/>
      <c r="AT29" s="61">
        <v>252.25</v>
      </c>
      <c r="AU29" s="61">
        <v>244.15</v>
      </c>
      <c r="AV29" s="61">
        <v>239.45</v>
      </c>
      <c r="AW29" s="61">
        <v>242.65</v>
      </c>
      <c r="AX29" s="61">
        <v>237.55</v>
      </c>
      <c r="AY29" s="61">
        <v>231.5</v>
      </c>
      <c r="AZ29" s="61">
        <v>242.9</v>
      </c>
      <c r="BA29" s="61">
        <v>246.45</v>
      </c>
      <c r="BB29" s="61">
        <v>238</v>
      </c>
      <c r="BC29" s="61">
        <v>241.9</v>
      </c>
      <c r="BD29" s="61">
        <v>243.65</v>
      </c>
      <c r="BE29" s="61">
        <v>236.9667</v>
      </c>
      <c r="BF29" s="11"/>
      <c r="BG29" s="11"/>
      <c r="BH29" s="11"/>
      <c r="BI29" s="11"/>
      <c r="BJ29" s="11"/>
      <c r="BK29" s="61">
        <v>241.25</v>
      </c>
      <c r="BL29" s="61">
        <v>245.58500000000001</v>
      </c>
      <c r="BM29" s="61">
        <v>253.6</v>
      </c>
      <c r="BN29" s="61">
        <v>249.51499999999999</v>
      </c>
      <c r="BO29" s="61">
        <v>248.56</v>
      </c>
      <c r="BP29" s="61">
        <v>254.72499999999999</v>
      </c>
      <c r="BQ29" s="61">
        <v>252.30330000000001</v>
      </c>
      <c r="BR29" s="61">
        <v>251.5</v>
      </c>
      <c r="BS29" s="61">
        <v>251.18</v>
      </c>
      <c r="BT29" s="61">
        <v>248.77</v>
      </c>
      <c r="BU29" s="61">
        <v>249.88499999999999</v>
      </c>
      <c r="BV29" s="61">
        <v>254.76669999999999</v>
      </c>
      <c r="BW29" s="11"/>
      <c r="BX29" s="11"/>
      <c r="BY29" s="11"/>
      <c r="BZ29" s="11"/>
      <c r="CA29" s="11"/>
      <c r="CB29" s="68">
        <v>2599</v>
      </c>
      <c r="CC29" s="68">
        <v>25897</v>
      </c>
      <c r="CD29" s="69">
        <v>2537</v>
      </c>
      <c r="CE29" s="68">
        <v>254</v>
      </c>
      <c r="CF29" s="68">
        <v>2553</v>
      </c>
      <c r="CG29" s="68">
        <v>2566</v>
      </c>
      <c r="CH29" s="68">
        <v>2507</v>
      </c>
      <c r="CI29" s="68">
        <v>255</v>
      </c>
      <c r="CJ29" s="68">
        <v>2564</v>
      </c>
      <c r="CK29" s="68">
        <v>25433</v>
      </c>
      <c r="CL29" s="68">
        <v>2538</v>
      </c>
    </row>
    <row r="30" spans="1:96" ht="15.75" thickBot="1">
      <c r="A30" s="31">
        <v>17</v>
      </c>
      <c r="B30" s="27" t="s">
        <v>84</v>
      </c>
      <c r="C30" s="1" t="s">
        <v>72</v>
      </c>
      <c r="D30" s="1" t="s">
        <v>74</v>
      </c>
      <c r="E30" s="5" t="s">
        <v>29</v>
      </c>
      <c r="F30" s="1" t="s">
        <v>116</v>
      </c>
      <c r="G30" s="1" t="s">
        <v>30</v>
      </c>
      <c r="H30" s="1" t="s">
        <v>31</v>
      </c>
      <c r="I30" s="21" t="s">
        <v>21</v>
      </c>
      <c r="J30" s="2">
        <v>43374</v>
      </c>
      <c r="K30" s="29" t="s">
        <v>121</v>
      </c>
      <c r="U30" s="61">
        <v>5158.3500000000004</v>
      </c>
      <c r="V30" s="61">
        <v>1093.45</v>
      </c>
      <c r="W30" s="61">
        <v>883.2</v>
      </c>
      <c r="AC30" s="61">
        <v>3906.4</v>
      </c>
      <c r="AD30" s="61">
        <v>4142.3</v>
      </c>
      <c r="AE30" s="61">
        <v>3996.7</v>
      </c>
      <c r="AF30" s="61">
        <v>4162.3999999999996</v>
      </c>
      <c r="AG30" s="61">
        <v>718.13329999999996</v>
      </c>
      <c r="AH30" s="61">
        <v>716.35</v>
      </c>
      <c r="AI30" s="61">
        <v>735.1</v>
      </c>
      <c r="AJ30" s="61">
        <v>722.75</v>
      </c>
      <c r="AK30" s="61">
        <v>717.2</v>
      </c>
      <c r="AL30" s="61">
        <v>733.43330000000003</v>
      </c>
      <c r="AM30" s="61">
        <v>801.15</v>
      </c>
      <c r="AN30" s="61">
        <v>760.5</v>
      </c>
      <c r="AO30" s="11"/>
      <c r="AP30" s="11"/>
      <c r="AQ30" s="11"/>
      <c r="AR30" s="11"/>
      <c r="AS30" s="11"/>
      <c r="AT30" s="61">
        <v>78347.199999999997</v>
      </c>
      <c r="AU30" s="61">
        <v>80549.55</v>
      </c>
      <c r="AV30" s="61">
        <v>78631.850000000006</v>
      </c>
      <c r="AW30" s="61">
        <v>79311.25</v>
      </c>
      <c r="AX30" s="61">
        <v>75633</v>
      </c>
      <c r="AY30" s="61">
        <v>75260.7</v>
      </c>
      <c r="AZ30" s="61">
        <v>75126.37</v>
      </c>
      <c r="BA30" s="61">
        <v>76924.600000000006</v>
      </c>
      <c r="BB30" s="61">
        <v>78462.55</v>
      </c>
      <c r="BC30" s="61">
        <v>79319.75</v>
      </c>
      <c r="BD30" s="61">
        <v>79574.100000000006</v>
      </c>
      <c r="BE30" s="61">
        <v>76617.37</v>
      </c>
      <c r="BF30" s="11"/>
      <c r="BG30" s="11"/>
      <c r="BH30" s="11"/>
      <c r="BI30" s="11"/>
      <c r="BJ30" s="11"/>
      <c r="BK30" s="61">
        <v>805.57500000000005</v>
      </c>
      <c r="BL30" s="61">
        <v>856.56</v>
      </c>
      <c r="BM30" s="61">
        <v>883.31500000000005</v>
      </c>
      <c r="BN30" s="61">
        <v>880.96</v>
      </c>
      <c r="BO30" s="61">
        <v>850.03499999999997</v>
      </c>
      <c r="BP30" s="61">
        <v>876.1</v>
      </c>
      <c r="BQ30" s="61">
        <v>888.88</v>
      </c>
      <c r="BR30" s="61">
        <v>833.05</v>
      </c>
      <c r="BS30" s="61">
        <v>850.70500000000004</v>
      </c>
      <c r="BT30" s="61">
        <v>928.21500000000003</v>
      </c>
      <c r="BU30" s="61">
        <v>882.4</v>
      </c>
      <c r="BV30" s="61">
        <v>883.33669999999995</v>
      </c>
      <c r="BW30" s="11"/>
      <c r="BX30" s="11"/>
      <c r="BY30" s="11"/>
      <c r="BZ30" s="11"/>
      <c r="CA30" s="11"/>
      <c r="CB30" s="68">
        <v>99528</v>
      </c>
      <c r="CC30" s="69">
        <v>1060</v>
      </c>
      <c r="CD30" s="68">
        <v>98314</v>
      </c>
      <c r="CE30" s="68">
        <v>12416</v>
      </c>
      <c r="CF30" s="69">
        <v>9244</v>
      </c>
      <c r="CG30" s="68">
        <v>9196</v>
      </c>
      <c r="CH30" s="68">
        <v>94718</v>
      </c>
      <c r="CI30" s="69">
        <v>9709</v>
      </c>
      <c r="CJ30" s="69">
        <v>9687</v>
      </c>
      <c r="CK30" s="69">
        <v>1011</v>
      </c>
      <c r="CL30" s="69">
        <v>10487</v>
      </c>
    </row>
    <row r="31" spans="1:96" ht="15.75" thickBot="1">
      <c r="A31" s="31">
        <v>18</v>
      </c>
      <c r="B31" s="27"/>
      <c r="C31" s="1" t="s">
        <v>72</v>
      </c>
      <c r="D31" s="1" t="s">
        <v>75</v>
      </c>
      <c r="E31" s="5" t="s">
        <v>29</v>
      </c>
      <c r="F31" s="1" t="s">
        <v>116</v>
      </c>
      <c r="G31" s="1" t="s">
        <v>30</v>
      </c>
      <c r="H31" s="1" t="s">
        <v>31</v>
      </c>
      <c r="I31" s="21" t="s">
        <v>21</v>
      </c>
      <c r="J31" s="2">
        <v>43374</v>
      </c>
      <c r="K31" s="29" t="s">
        <v>121</v>
      </c>
      <c r="U31" s="61">
        <v>3370.95</v>
      </c>
      <c r="V31" s="61">
        <v>646.20000000000005</v>
      </c>
      <c r="W31" s="61">
        <v>594.25</v>
      </c>
      <c r="AC31" s="61">
        <v>4519.05</v>
      </c>
      <c r="AD31" s="61">
        <v>4582.3</v>
      </c>
      <c r="AE31" s="61">
        <v>4585.6499999999996</v>
      </c>
      <c r="AF31" s="61">
        <v>3809.95</v>
      </c>
      <c r="AG31" s="61">
        <v>630.46669999999995</v>
      </c>
      <c r="AH31" s="61">
        <v>659</v>
      </c>
      <c r="AI31" s="61">
        <v>649</v>
      </c>
      <c r="AJ31" s="61">
        <v>641</v>
      </c>
      <c r="AK31" s="61">
        <v>643.35</v>
      </c>
      <c r="AL31" s="61">
        <v>638.93330000000003</v>
      </c>
      <c r="AM31" s="61">
        <v>633.75</v>
      </c>
      <c r="AN31" s="61">
        <v>626.29999999999995</v>
      </c>
      <c r="AO31" s="11"/>
      <c r="AP31" s="11"/>
      <c r="AQ31" s="11"/>
      <c r="AR31" s="11"/>
      <c r="AS31" s="11"/>
      <c r="AT31" s="61">
        <v>623.75</v>
      </c>
      <c r="AU31" s="61">
        <v>619.35</v>
      </c>
      <c r="AV31" s="61">
        <v>598.85</v>
      </c>
      <c r="AW31" s="61">
        <v>610.57500000000005</v>
      </c>
      <c r="AX31" s="61">
        <v>613.5</v>
      </c>
      <c r="AY31" s="61">
        <v>610.5</v>
      </c>
      <c r="AZ31" s="61">
        <v>641.29999999999995</v>
      </c>
      <c r="BA31" s="61">
        <v>646.70000000000005</v>
      </c>
      <c r="BB31" s="61">
        <v>626.79999999999995</v>
      </c>
      <c r="BC31" s="61">
        <v>629</v>
      </c>
      <c r="BD31" s="61">
        <v>639.35</v>
      </c>
      <c r="BE31" s="61">
        <v>631.96669999999995</v>
      </c>
      <c r="BF31" s="11"/>
      <c r="BG31" s="11"/>
      <c r="BH31" s="11"/>
      <c r="BI31" s="11"/>
      <c r="BJ31" s="11"/>
      <c r="BK31" s="61">
        <v>1182.5250000000001</v>
      </c>
      <c r="BL31" s="61">
        <v>1381.85</v>
      </c>
      <c r="BM31" s="61">
        <v>1437.71</v>
      </c>
      <c r="BN31" s="61">
        <v>1664.635</v>
      </c>
      <c r="BO31" s="61">
        <v>1632.94</v>
      </c>
      <c r="BP31" s="61">
        <v>1473.56</v>
      </c>
      <c r="BQ31" s="61">
        <v>1262.58</v>
      </c>
      <c r="BR31" s="61">
        <v>1170.2149999999999</v>
      </c>
      <c r="BS31" s="61">
        <v>1257.885</v>
      </c>
      <c r="BT31" s="61">
        <v>1348.2550000000001</v>
      </c>
      <c r="BU31" s="61">
        <v>1304.81</v>
      </c>
      <c r="BV31" s="61">
        <v>1165.0999999999999</v>
      </c>
      <c r="BW31" s="11"/>
      <c r="BX31" s="11"/>
      <c r="BY31" s="11"/>
      <c r="BZ31" s="11"/>
      <c r="CA31" s="11"/>
      <c r="CB31" s="68">
        <v>100768</v>
      </c>
      <c r="CC31" s="69">
        <v>103563</v>
      </c>
      <c r="CD31" s="69">
        <v>776</v>
      </c>
      <c r="CE31" s="68">
        <v>6727</v>
      </c>
      <c r="CF31" s="69">
        <v>6613</v>
      </c>
      <c r="CG31" s="68">
        <v>9978</v>
      </c>
      <c r="CH31" s="69">
        <v>104338</v>
      </c>
      <c r="CI31" s="69">
        <v>10677</v>
      </c>
      <c r="CJ31" s="68">
        <v>10884</v>
      </c>
      <c r="CK31" s="69">
        <v>9325</v>
      </c>
      <c r="CL31" s="69">
        <v>10618</v>
      </c>
    </row>
    <row r="32" spans="1:96" ht="15.75" thickBot="1">
      <c r="A32" s="31">
        <v>19</v>
      </c>
      <c r="B32" s="27" t="s">
        <v>84</v>
      </c>
      <c r="C32" s="1" t="s">
        <v>77</v>
      </c>
      <c r="D32" s="1" t="s">
        <v>76</v>
      </c>
      <c r="E32" s="5" t="s">
        <v>29</v>
      </c>
      <c r="F32" s="1" t="s">
        <v>116</v>
      </c>
      <c r="G32" s="1" t="s">
        <v>30</v>
      </c>
      <c r="H32" s="1" t="s">
        <v>31</v>
      </c>
      <c r="I32" s="21" t="s">
        <v>21</v>
      </c>
      <c r="J32" s="2">
        <v>43374</v>
      </c>
      <c r="K32" s="29" t="s">
        <v>121</v>
      </c>
      <c r="U32" s="61">
        <v>19377.400000000001</v>
      </c>
      <c r="V32" s="61">
        <v>15512.15</v>
      </c>
      <c r="W32" s="61">
        <v>35145.5</v>
      </c>
      <c r="AC32" s="61">
        <v>45383.75</v>
      </c>
      <c r="AD32" s="61">
        <v>48415.7</v>
      </c>
      <c r="AE32" s="61">
        <v>49367.199999999997</v>
      </c>
      <c r="AF32" s="61">
        <v>47708.65</v>
      </c>
      <c r="AG32" s="61">
        <v>31329.77</v>
      </c>
      <c r="AH32" s="61">
        <v>30753.05</v>
      </c>
      <c r="AI32" s="61">
        <v>31396.7</v>
      </c>
      <c r="AJ32" s="61">
        <v>34545.5</v>
      </c>
      <c r="AK32" s="61">
        <v>35805.29</v>
      </c>
      <c r="AL32" s="61">
        <v>37457.53</v>
      </c>
      <c r="AM32" s="61">
        <v>31865.4</v>
      </c>
      <c r="AN32" s="61">
        <v>25368</v>
      </c>
      <c r="AO32" s="11"/>
      <c r="AP32" s="11"/>
      <c r="AQ32" s="11"/>
      <c r="AR32" s="11"/>
      <c r="AS32" s="11"/>
      <c r="AT32" s="61">
        <v>22819.25</v>
      </c>
      <c r="AU32" s="61">
        <v>21638.400000000001</v>
      </c>
      <c r="AV32" s="61">
        <v>20511.05</v>
      </c>
      <c r="AW32" s="61">
        <v>19719.400000000001</v>
      </c>
      <c r="AX32" s="61">
        <v>21261.5</v>
      </c>
      <c r="AY32" s="61">
        <v>20812.55</v>
      </c>
      <c r="AZ32" s="61">
        <v>457472.8</v>
      </c>
      <c r="BA32" s="61">
        <v>743592.8</v>
      </c>
      <c r="BB32" s="61">
        <v>740061.4</v>
      </c>
      <c r="BC32" s="61">
        <v>22483.7</v>
      </c>
      <c r="BD32" s="61">
        <v>19055.599999999999</v>
      </c>
      <c r="BE32" s="61">
        <v>1417949</v>
      </c>
      <c r="BF32" s="11"/>
      <c r="BG32" s="11"/>
      <c r="BH32" s="11"/>
      <c r="BI32" s="11"/>
      <c r="BJ32" s="11"/>
      <c r="BK32" s="61">
        <v>17650</v>
      </c>
      <c r="BL32" s="61">
        <v>20179.150000000001</v>
      </c>
      <c r="BM32" s="61">
        <v>25173.200000000001</v>
      </c>
      <c r="BN32" s="61">
        <v>19415.900000000001</v>
      </c>
      <c r="BO32" s="61">
        <v>15534.22</v>
      </c>
      <c r="BP32" s="61">
        <v>17713.439999999999</v>
      </c>
      <c r="BQ32" s="61">
        <v>16496.04</v>
      </c>
      <c r="BR32" s="61">
        <v>15347.2</v>
      </c>
      <c r="BS32" s="61">
        <v>14543</v>
      </c>
      <c r="BT32" s="61">
        <v>14395.27</v>
      </c>
      <c r="BU32" s="61">
        <v>16967.2</v>
      </c>
      <c r="BV32" s="61">
        <v>20347.849999999999</v>
      </c>
      <c r="BW32" s="11"/>
      <c r="BX32" s="11"/>
      <c r="BY32" s="11"/>
      <c r="BZ32" s="11"/>
      <c r="CA32" s="11"/>
      <c r="CB32" s="68">
        <v>47207</v>
      </c>
      <c r="CC32" s="14"/>
      <c r="CD32" s="14"/>
      <c r="CE32" s="14"/>
      <c r="CF32" s="14"/>
      <c r="CG32" s="14"/>
      <c r="CH32" s="14"/>
      <c r="CI32" s="14"/>
      <c r="CJ32" s="14"/>
      <c r="CK32" s="14"/>
      <c r="CL32" s="14"/>
    </row>
    <row r="33" spans="1:96" ht="15.75" thickBot="1">
      <c r="A33" s="31">
        <v>20</v>
      </c>
      <c r="B33" s="27" t="s">
        <v>84</v>
      </c>
      <c r="C33" s="1" t="s">
        <v>77</v>
      </c>
      <c r="D33" s="1" t="s">
        <v>78</v>
      </c>
      <c r="E33" s="5" t="s">
        <v>29</v>
      </c>
      <c r="F33" s="1" t="s">
        <v>116</v>
      </c>
      <c r="G33" s="1" t="s">
        <v>30</v>
      </c>
      <c r="H33" s="1" t="s">
        <v>31</v>
      </c>
      <c r="I33" s="21" t="s">
        <v>21</v>
      </c>
      <c r="J33" s="2">
        <v>43374</v>
      </c>
      <c r="K33" s="29" t="s">
        <v>121</v>
      </c>
      <c r="U33" s="61">
        <v>60718.3</v>
      </c>
      <c r="V33" s="61">
        <v>82605.8</v>
      </c>
      <c r="W33" s="61">
        <v>80028.45</v>
      </c>
      <c r="AC33" s="61">
        <v>75770.7</v>
      </c>
      <c r="AD33" s="61">
        <v>70154.5</v>
      </c>
      <c r="AE33" s="61">
        <v>72476.3</v>
      </c>
      <c r="AF33" s="61">
        <v>73131.850000000006</v>
      </c>
      <c r="AG33" s="61">
        <v>70188.7</v>
      </c>
      <c r="AH33" s="61">
        <v>68644.55</v>
      </c>
      <c r="AI33" s="61">
        <v>71996.850000000006</v>
      </c>
      <c r="AJ33" s="61">
        <v>75850</v>
      </c>
      <c r="AK33" s="61">
        <v>54528.9</v>
      </c>
      <c r="AL33" s="61">
        <v>78717.5</v>
      </c>
      <c r="AM33" s="61">
        <v>80162.350000000006</v>
      </c>
      <c r="AN33" s="61">
        <v>77917.5</v>
      </c>
      <c r="AO33" s="11"/>
      <c r="AP33" s="11"/>
      <c r="AQ33" s="11"/>
      <c r="AR33" s="11"/>
      <c r="AS33" s="11"/>
      <c r="AT33" s="61">
        <v>78347.199999999997</v>
      </c>
      <c r="AU33" s="61">
        <v>80549.55</v>
      </c>
      <c r="AV33" s="61">
        <v>78631.850000000006</v>
      </c>
      <c r="AW33" s="61">
        <v>79311.25</v>
      </c>
      <c r="AX33" s="61">
        <v>75633</v>
      </c>
      <c r="AY33" s="61">
        <v>75260.7</v>
      </c>
      <c r="AZ33" s="61">
        <v>75126.37</v>
      </c>
      <c r="BA33" s="61">
        <v>76924.600000000006</v>
      </c>
      <c r="BB33" s="61">
        <v>78462.55</v>
      </c>
      <c r="BC33" s="61">
        <v>79319.75</v>
      </c>
      <c r="BD33" s="61">
        <v>79574.100000000006</v>
      </c>
      <c r="BE33" s="61">
        <v>76617.37</v>
      </c>
      <c r="BF33" s="11"/>
      <c r="BG33" s="11"/>
      <c r="BH33" s="11"/>
      <c r="BI33" s="11"/>
      <c r="BJ33" s="11"/>
      <c r="BK33" s="61">
        <v>74618.25</v>
      </c>
      <c r="BL33" s="61">
        <v>70525.399999999994</v>
      </c>
      <c r="BM33" s="61">
        <v>71929.850000000006</v>
      </c>
      <c r="BN33" s="61">
        <v>73688.59</v>
      </c>
      <c r="BO33" s="61">
        <v>72897.98</v>
      </c>
      <c r="BP33" s="61">
        <v>78850.31</v>
      </c>
      <c r="BQ33" s="61">
        <v>80398.09</v>
      </c>
      <c r="BR33" s="61">
        <v>80115.66</v>
      </c>
      <c r="BS33" s="61">
        <v>86532.9</v>
      </c>
      <c r="BT33" s="61">
        <v>86202.99</v>
      </c>
      <c r="BU33" s="61">
        <v>79778.009999999995</v>
      </c>
      <c r="BV33" s="61">
        <v>84860.97</v>
      </c>
      <c r="BW33" s="11"/>
      <c r="BX33" s="11"/>
      <c r="BY33" s="11"/>
      <c r="BZ33" s="11"/>
      <c r="CA33" s="11"/>
      <c r="CB33" s="69">
        <v>925488</v>
      </c>
      <c r="CC33" s="69">
        <v>11804688</v>
      </c>
      <c r="CD33" s="68">
        <v>12571855</v>
      </c>
      <c r="CE33" s="69">
        <v>1038086</v>
      </c>
      <c r="CF33" s="69">
        <v>1036663</v>
      </c>
      <c r="CG33" s="69">
        <v>1160685</v>
      </c>
      <c r="CH33" s="69">
        <v>1326149</v>
      </c>
      <c r="CI33" s="69">
        <v>1314247</v>
      </c>
      <c r="CJ33" s="69">
        <v>127871</v>
      </c>
      <c r="CK33" s="69">
        <v>13782725</v>
      </c>
      <c r="CL33" s="68">
        <v>129228</v>
      </c>
    </row>
    <row r="34" spans="1:96" ht="15.75" thickBot="1">
      <c r="A34" s="31">
        <v>21</v>
      </c>
      <c r="B34" s="27"/>
      <c r="C34" s="1" t="s">
        <v>77</v>
      </c>
      <c r="D34" s="1" t="s">
        <v>79</v>
      </c>
      <c r="E34" s="5" t="s">
        <v>29</v>
      </c>
      <c r="F34" s="1" t="s">
        <v>116</v>
      </c>
      <c r="G34" s="1" t="s">
        <v>30</v>
      </c>
      <c r="H34" s="1" t="s">
        <v>31</v>
      </c>
      <c r="I34" s="21" t="s">
        <v>21</v>
      </c>
      <c r="J34" s="2">
        <v>43374</v>
      </c>
      <c r="K34" s="29" t="s">
        <v>121</v>
      </c>
      <c r="U34" s="61">
        <v>62500.65</v>
      </c>
      <c r="V34" s="61">
        <v>57693.9</v>
      </c>
      <c r="W34" s="61">
        <v>60155.6</v>
      </c>
      <c r="AC34" s="61">
        <v>58752.6</v>
      </c>
      <c r="AD34" s="61">
        <v>55500.85</v>
      </c>
      <c r="AE34" s="61">
        <v>55244.6</v>
      </c>
      <c r="AF34" s="61">
        <v>54995.25</v>
      </c>
      <c r="AG34" s="61">
        <v>60933.5</v>
      </c>
      <c r="AH34" s="61">
        <v>63893.8</v>
      </c>
      <c r="AI34" s="61">
        <v>64739.65</v>
      </c>
      <c r="AJ34" s="61">
        <v>65272.4</v>
      </c>
      <c r="AK34" s="61">
        <v>65839.850000000006</v>
      </c>
      <c r="AL34" s="61">
        <v>64801.73</v>
      </c>
      <c r="AM34" s="61">
        <v>63363.15</v>
      </c>
      <c r="AN34" s="61">
        <v>62698.1</v>
      </c>
      <c r="AO34" s="11"/>
      <c r="AP34" s="11"/>
      <c r="AQ34" s="11"/>
      <c r="AR34" s="11"/>
      <c r="AS34" s="11"/>
      <c r="AT34" s="62">
        <v>58752.6</v>
      </c>
      <c r="AU34" s="62">
        <v>55500.85</v>
      </c>
      <c r="AV34" s="62">
        <v>55244.6</v>
      </c>
      <c r="AW34" s="62">
        <v>54995.25</v>
      </c>
      <c r="AX34" s="62">
        <v>60933.5</v>
      </c>
      <c r="AY34" s="62">
        <v>63893.8</v>
      </c>
      <c r="AZ34" s="62">
        <v>64739.65</v>
      </c>
      <c r="BA34" s="62">
        <v>65272.4</v>
      </c>
      <c r="BB34" s="62">
        <v>65839.850000000006</v>
      </c>
      <c r="BC34" s="62">
        <v>64801.73</v>
      </c>
      <c r="BD34" s="62">
        <v>63363.15</v>
      </c>
      <c r="BE34" s="62">
        <v>62698.1</v>
      </c>
      <c r="BF34" s="11"/>
      <c r="BG34" s="11"/>
      <c r="BH34" s="11"/>
      <c r="BI34" s="11"/>
      <c r="BJ34" s="11"/>
      <c r="BK34" s="61">
        <v>68024.25</v>
      </c>
      <c r="BL34" s="61">
        <v>74173.820000000007</v>
      </c>
      <c r="BM34" s="61">
        <v>74543.7</v>
      </c>
      <c r="BN34" s="61">
        <v>68370.44</v>
      </c>
      <c r="BO34" s="61">
        <v>64234.99</v>
      </c>
      <c r="BP34" s="61">
        <v>62896.37</v>
      </c>
      <c r="BQ34" s="61">
        <v>67005.97</v>
      </c>
      <c r="BR34" s="61">
        <v>68912.240000000005</v>
      </c>
      <c r="BS34" s="61">
        <v>76540.69</v>
      </c>
      <c r="BT34" s="61">
        <v>89315.91</v>
      </c>
      <c r="BU34" s="61">
        <v>74384.02</v>
      </c>
      <c r="BV34" s="61">
        <v>68009.38</v>
      </c>
      <c r="BW34" s="11"/>
      <c r="BX34" s="11"/>
      <c r="BY34" s="11"/>
      <c r="BZ34" s="11"/>
      <c r="CA34" s="11"/>
      <c r="CB34" s="68">
        <v>694302</v>
      </c>
      <c r="CC34" s="69">
        <v>737117</v>
      </c>
      <c r="CD34" s="69">
        <v>740319</v>
      </c>
      <c r="CE34" s="69">
        <v>4538083</v>
      </c>
      <c r="CF34" s="68">
        <v>76109</v>
      </c>
      <c r="CG34" s="69">
        <v>783495</v>
      </c>
      <c r="CH34" s="69">
        <v>808173</v>
      </c>
      <c r="CI34" s="69">
        <v>8777895</v>
      </c>
      <c r="CJ34" s="69">
        <v>886913</v>
      </c>
      <c r="CK34" s="68">
        <v>84893</v>
      </c>
      <c r="CL34" s="69">
        <v>875816</v>
      </c>
    </row>
    <row r="35" spans="1:96">
      <c r="A35" s="31">
        <v>22</v>
      </c>
      <c r="B35" s="27"/>
      <c r="C35" s="1" t="s">
        <v>87</v>
      </c>
      <c r="D35" s="29" t="s">
        <v>113</v>
      </c>
      <c r="E35" s="5" t="s">
        <v>35</v>
      </c>
      <c r="F35" s="1" t="s">
        <v>117</v>
      </c>
      <c r="G35" s="1" t="s">
        <v>33</v>
      </c>
      <c r="H35" s="29" t="s">
        <v>109</v>
      </c>
      <c r="I35" s="18" t="s">
        <v>26</v>
      </c>
      <c r="J35" s="2">
        <v>43101</v>
      </c>
      <c r="K35" s="29" t="s">
        <v>121</v>
      </c>
      <c r="X35" s="48">
        <v>23.8</v>
      </c>
      <c r="Y35" s="48">
        <f>52.9-X35</f>
        <v>29.099999999999998</v>
      </c>
      <c r="Z35" s="48">
        <f>138.3-Y35-X35</f>
        <v>85.40000000000002</v>
      </c>
      <c r="AA35" s="48">
        <f>166.8-Z35-Y35-X35</f>
        <v>28.499999999999996</v>
      </c>
      <c r="AB35" s="55">
        <f>SUM(X35:AA35)</f>
        <v>166.8</v>
      </c>
      <c r="AO35" s="48">
        <v>25.6</v>
      </c>
      <c r="AP35">
        <f>75.4-AO35</f>
        <v>49.800000000000004</v>
      </c>
      <c r="AQ35">
        <f>104-AP35-AO35</f>
        <v>28.599999999999994</v>
      </c>
      <c r="AR35">
        <f>134.6-AQ35-AP35-AO35</f>
        <v>30.599999999999994</v>
      </c>
      <c r="AS35" s="55">
        <f>SUM(AO35:AR35)</f>
        <v>134.6</v>
      </c>
      <c r="BF35" s="48">
        <v>24.3</v>
      </c>
      <c r="BG35" s="48">
        <f>40.7-BF35</f>
        <v>16.400000000000002</v>
      </c>
      <c r="BH35" s="48">
        <f>119.5-BG35-BF35</f>
        <v>78.8</v>
      </c>
      <c r="BI35" s="48">
        <f>139.6-BH35-BG35-BF35</f>
        <v>20.099999999999991</v>
      </c>
      <c r="BJ35" s="50">
        <f>SUM(BF35:BI35)</f>
        <v>139.6</v>
      </c>
      <c r="BW35" s="48">
        <v>3.4</v>
      </c>
      <c r="BX35" s="48">
        <f>16.3-BW35</f>
        <v>12.9</v>
      </c>
      <c r="BY35">
        <f>94.4-BX35-BW35</f>
        <v>78.099999999999994</v>
      </c>
      <c r="BZ35">
        <f>265-BY35-BX35-BW35</f>
        <v>170.6</v>
      </c>
      <c r="CA35" s="50">
        <f>SUM(BW35:BZ35)</f>
        <v>265</v>
      </c>
      <c r="CN35">
        <v>34.200000000000003</v>
      </c>
      <c r="CO35">
        <f>101-CN35</f>
        <v>66.8</v>
      </c>
      <c r="CP35" s="48">
        <f>136.9-CO35-CN35</f>
        <v>35.900000000000006</v>
      </c>
    </row>
    <row r="36" spans="1:96">
      <c r="A36" s="17">
        <v>23</v>
      </c>
      <c r="B36" s="27" t="s">
        <v>84</v>
      </c>
      <c r="C36" s="1" t="s">
        <v>87</v>
      </c>
      <c r="D36" s="1" t="s">
        <v>83</v>
      </c>
      <c r="E36" s="5" t="s">
        <v>129</v>
      </c>
      <c r="F36" s="70" t="s">
        <v>130</v>
      </c>
      <c r="G36" s="1" t="s">
        <v>33</v>
      </c>
      <c r="H36" s="29" t="s">
        <v>109</v>
      </c>
      <c r="I36" s="18" t="s">
        <v>26</v>
      </c>
      <c r="J36" s="2">
        <v>43831</v>
      </c>
      <c r="K36" s="29" t="s">
        <v>121</v>
      </c>
      <c r="X36">
        <v>10.5</v>
      </c>
      <c r="Y36">
        <v>6.8999999999999986</v>
      </c>
      <c r="Z36">
        <v>9.3000000000000007</v>
      </c>
      <c r="AA36">
        <v>15.000000000000004</v>
      </c>
      <c r="AB36" s="55">
        <f>SUM(X36:AA36)</f>
        <v>41.7</v>
      </c>
      <c r="AO36">
        <v>14.3</v>
      </c>
      <c r="AP36">
        <v>12.3</v>
      </c>
      <c r="AQ36">
        <v>12.600000000000001</v>
      </c>
      <c r="AR36">
        <v>16.899999999999999</v>
      </c>
      <c r="AS36" s="55">
        <f>SUM(AO36:AR36)</f>
        <v>56.1</v>
      </c>
      <c r="BF36" s="11">
        <v>11.3</v>
      </c>
      <c r="BG36" s="11">
        <v>4.3999999999999986</v>
      </c>
      <c r="BH36" s="11">
        <v>14.400000000000002</v>
      </c>
      <c r="BI36" s="11">
        <v>7.1000000000000014</v>
      </c>
      <c r="BJ36" s="50">
        <f>SUM(BF36:BI36)</f>
        <v>37.200000000000003</v>
      </c>
      <c r="BW36">
        <v>1.8</v>
      </c>
      <c r="BX36">
        <v>6.3</v>
      </c>
      <c r="BY36">
        <v>11.6</v>
      </c>
      <c r="BZ36">
        <v>38.200000000000003</v>
      </c>
      <c r="CA36" s="50">
        <f>SUM(BW36:BZ36)</f>
        <v>57.900000000000006</v>
      </c>
      <c r="CN36">
        <v>20.399999999999999</v>
      </c>
      <c r="CO36" s="34">
        <v>8</v>
      </c>
      <c r="CP36" s="71">
        <v>19</v>
      </c>
    </row>
    <row r="37" spans="1:96">
      <c r="A37" s="31">
        <v>24</v>
      </c>
      <c r="B37" s="1"/>
      <c r="C37" s="1" t="s">
        <v>91</v>
      </c>
      <c r="D37" s="1" t="s">
        <v>88</v>
      </c>
      <c r="E37" s="5" t="s">
        <v>62</v>
      </c>
      <c r="F37" s="1" t="s">
        <v>116</v>
      </c>
      <c r="G37" s="1" t="s">
        <v>23</v>
      </c>
      <c r="H37" s="1" t="s">
        <v>63</v>
      </c>
      <c r="I37" s="21" t="s">
        <v>21</v>
      </c>
      <c r="J37" s="66">
        <v>43891</v>
      </c>
      <c r="K37" s="65" t="s">
        <v>121</v>
      </c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X37" s="65"/>
      <c r="Y37" s="65"/>
      <c r="Z37" s="65"/>
      <c r="AA37" s="65"/>
      <c r="AB37" s="65"/>
      <c r="AC37" s="65"/>
      <c r="AD37" s="65"/>
      <c r="AE37" s="65"/>
      <c r="AF37" s="65"/>
      <c r="AG37" s="65"/>
      <c r="AH37" s="65"/>
      <c r="AI37" s="65"/>
      <c r="AJ37" s="65"/>
      <c r="AK37" s="65"/>
      <c r="AL37" s="65"/>
      <c r="AM37" s="65"/>
      <c r="AN37" s="65"/>
      <c r="AO37" s="65"/>
      <c r="AP37" s="65"/>
      <c r="AQ37" s="65"/>
      <c r="AR37" s="65"/>
      <c r="AS37" s="65"/>
      <c r="AT37" s="65"/>
      <c r="AU37" s="65"/>
      <c r="AV37" s="65">
        <v>1.6666666670000001</v>
      </c>
      <c r="AW37" s="65">
        <v>-26.725000000000001</v>
      </c>
      <c r="AX37" s="65">
        <v>-23</v>
      </c>
      <c r="AY37" s="65">
        <v>-7.55</v>
      </c>
      <c r="AZ37" s="65">
        <v>1.625</v>
      </c>
      <c r="BA37" s="65">
        <v>4.18</v>
      </c>
      <c r="BB37" s="65">
        <v>6.9249999999999998</v>
      </c>
      <c r="BC37" s="65">
        <v>7.5</v>
      </c>
      <c r="BD37" s="65">
        <v>8.14</v>
      </c>
      <c r="BE37" s="65">
        <v>9.9250000000000007</v>
      </c>
      <c r="BF37" s="65"/>
      <c r="BG37" s="65"/>
      <c r="BH37" s="65"/>
      <c r="BI37" s="65"/>
      <c r="BJ37" s="65"/>
      <c r="BK37" s="65">
        <v>6.78</v>
      </c>
      <c r="BL37" s="65">
        <v>9.8666666670000005</v>
      </c>
      <c r="BM37" s="65">
        <v>11.275</v>
      </c>
      <c r="BN37" s="65">
        <v>13.675000000000001</v>
      </c>
      <c r="BO37" s="65">
        <v>12.06</v>
      </c>
      <c r="BP37" s="65">
        <v>15.675000000000001</v>
      </c>
      <c r="BQ37" s="65">
        <v>15.975</v>
      </c>
      <c r="BR37" s="65">
        <v>16.34</v>
      </c>
      <c r="BS37" s="65">
        <v>18.149999999999999</v>
      </c>
      <c r="BT37" s="65">
        <v>18.739999999999998</v>
      </c>
      <c r="BU37" s="65">
        <v>15.7</v>
      </c>
      <c r="BV37" s="65">
        <v>20.6</v>
      </c>
      <c r="BW37" s="65"/>
      <c r="BX37" s="65"/>
      <c r="BY37" s="65"/>
      <c r="BZ37" s="65"/>
      <c r="CA37" s="65"/>
      <c r="CB37" s="65">
        <v>17.475000000000001</v>
      </c>
      <c r="CC37" s="65">
        <v>20.425000000000001</v>
      </c>
      <c r="CD37" s="65">
        <v>20.024999999999999</v>
      </c>
      <c r="CE37" s="65">
        <v>20.85</v>
      </c>
      <c r="CF37" s="65">
        <v>22.32</v>
      </c>
      <c r="CG37" s="65">
        <v>23.925000000000001</v>
      </c>
      <c r="CH37" s="65">
        <v>24.58</v>
      </c>
      <c r="CI37" s="65">
        <v>25.774999999999999</v>
      </c>
      <c r="CJ37" s="65">
        <v>27.9</v>
      </c>
      <c r="CK37" s="13"/>
    </row>
    <row r="38" spans="1:96">
      <c r="A38" s="31">
        <v>25</v>
      </c>
      <c r="B38" s="30" t="s">
        <v>94</v>
      </c>
      <c r="C38" s="30" t="s">
        <v>97</v>
      </c>
      <c r="D38" s="1" t="s">
        <v>58</v>
      </c>
      <c r="E38" s="5" t="s">
        <v>22</v>
      </c>
      <c r="F38" s="1" t="s">
        <v>116</v>
      </c>
      <c r="G38" s="1" t="s">
        <v>23</v>
      </c>
      <c r="H38" s="1" t="s">
        <v>40</v>
      </c>
      <c r="I38" s="21" t="s">
        <v>21</v>
      </c>
      <c r="J38" s="2">
        <v>43800</v>
      </c>
      <c r="K38" s="19" t="s">
        <v>121</v>
      </c>
      <c r="AN38" s="63">
        <v>82.290322580645167</v>
      </c>
      <c r="AO38" s="63"/>
      <c r="AP38" s="63"/>
      <c r="AQ38" s="63"/>
      <c r="AR38" s="63"/>
      <c r="AS38" s="63">
        <v>66.612903225806448</v>
      </c>
      <c r="AT38" s="63">
        <v>76.724137931034477</v>
      </c>
      <c r="AU38" s="63">
        <v>76.354838709677423</v>
      </c>
      <c r="AV38" s="63">
        <v>46.8</v>
      </c>
      <c r="AW38" s="63">
        <v>58.064516129032263</v>
      </c>
      <c r="AX38" s="63">
        <v>75.033333333333331</v>
      </c>
      <c r="AY38" s="63">
        <v>82.41935483870968</v>
      </c>
      <c r="AZ38" s="63">
        <v>80.129032258064512</v>
      </c>
      <c r="BA38" s="63">
        <v>82.2</v>
      </c>
      <c r="BB38" s="63">
        <v>78.741935483870961</v>
      </c>
      <c r="BC38" s="63">
        <v>69.966666666666669</v>
      </c>
      <c r="BD38" s="63">
        <v>75.516129032258064</v>
      </c>
      <c r="BE38" s="63"/>
      <c r="BF38" s="63"/>
      <c r="BG38" s="63"/>
      <c r="BH38" s="63"/>
      <c r="BI38" s="63">
        <v>62.612903225806448</v>
      </c>
      <c r="BJ38" s="63">
        <v>73.785714285714292</v>
      </c>
      <c r="BK38" s="63">
        <v>76.806451612903231</v>
      </c>
      <c r="BL38" s="63">
        <v>82.36666666666666</v>
      </c>
      <c r="BM38" s="63">
        <v>78.903225806451616</v>
      </c>
      <c r="BN38" s="63">
        <v>83.1</v>
      </c>
      <c r="BO38" s="63">
        <v>84.483870967741936</v>
      </c>
      <c r="BP38" s="63">
        <v>82.387096774193552</v>
      </c>
      <c r="BQ38" s="63">
        <v>86.433333333333337</v>
      </c>
      <c r="BR38" s="63">
        <v>80.225806451612897</v>
      </c>
      <c r="BS38" s="63">
        <v>73.933333333333337</v>
      </c>
      <c r="BT38" s="63">
        <v>76.689655172413794</v>
      </c>
      <c r="BU38" s="63"/>
      <c r="BV38" s="63"/>
      <c r="BW38" s="63"/>
      <c r="BX38" s="63"/>
      <c r="BY38" s="63">
        <v>62.866666666666667</v>
      </c>
      <c r="BZ38" s="63">
        <v>70.5</v>
      </c>
      <c r="CA38" s="63">
        <v>61.29032258064516</v>
      </c>
      <c r="CB38" s="63">
        <v>62</v>
      </c>
      <c r="CC38" s="63">
        <v>62.12903225806452</v>
      </c>
      <c r="CD38" s="63">
        <v>65.833333333333329</v>
      </c>
      <c r="CE38" s="63">
        <v>63.322580645161288</v>
      </c>
      <c r="CF38" s="63">
        <v>62.12903225806452</v>
      </c>
      <c r="CG38" s="63">
        <v>59.7</v>
      </c>
      <c r="CH38" s="63">
        <v>55.29032258064516</v>
      </c>
      <c r="CI38" s="63">
        <v>52.222222222222221</v>
      </c>
      <c r="CJ38" s="54">
        <v>59.7</v>
      </c>
      <c r="CK38" s="54">
        <v>55.290320000000001</v>
      </c>
      <c r="CL38" s="54">
        <v>52.22222</v>
      </c>
    </row>
    <row r="39" spans="1:96">
      <c r="A39" s="31">
        <v>26</v>
      </c>
      <c r="B39" s="1"/>
      <c r="C39" s="29" t="s">
        <v>96</v>
      </c>
      <c r="D39" s="25" t="s">
        <v>59</v>
      </c>
      <c r="E39" s="5" t="s">
        <v>56</v>
      </c>
      <c r="F39" s="1" t="s">
        <v>124</v>
      </c>
      <c r="G39" s="1" t="s">
        <v>23</v>
      </c>
      <c r="H39" s="1" t="s">
        <v>40</v>
      </c>
      <c r="I39" s="21" t="s">
        <v>21</v>
      </c>
      <c r="J39" s="6">
        <v>43497</v>
      </c>
      <c r="K39" t="s">
        <v>121</v>
      </c>
      <c r="AD39" s="34">
        <v>83.892857142857139</v>
      </c>
      <c r="AE39" s="34">
        <v>87.483870967741936</v>
      </c>
      <c r="AF39" s="34">
        <v>91.4</v>
      </c>
      <c r="AG39" s="34">
        <v>93.709677419354833</v>
      </c>
      <c r="AH39" s="34">
        <v>100.5</v>
      </c>
      <c r="AI39" s="34">
        <v>107.4</v>
      </c>
      <c r="AJ39" s="34">
        <v>101.03225806451613</v>
      </c>
      <c r="AK39" s="34">
        <v>106.76666666666667</v>
      </c>
      <c r="AL39" s="34">
        <v>107.6774193548387</v>
      </c>
      <c r="AM39" s="34">
        <v>109.8</v>
      </c>
      <c r="AN39" s="34">
        <v>127.09677419354838</v>
      </c>
      <c r="AO39" s="34"/>
      <c r="AP39" s="34"/>
      <c r="AQ39" s="34"/>
      <c r="AR39" s="34"/>
      <c r="AS39" s="34"/>
      <c r="AT39" s="34">
        <v>95.451612903225808</v>
      </c>
      <c r="AU39" s="34">
        <v>95.785714285714292</v>
      </c>
      <c r="AV39" s="34">
        <v>126.35483870967742</v>
      </c>
      <c r="AW39" s="34">
        <v>66.466666666666669</v>
      </c>
      <c r="AX39" s="34">
        <v>109.87096774193549</v>
      </c>
      <c r="AY39" s="34">
        <v>135.86666666666667</v>
      </c>
      <c r="AZ39" s="34">
        <v>138.03333333333333</v>
      </c>
      <c r="BA39" s="34">
        <v>135.61290322580646</v>
      </c>
      <c r="BB39" s="34">
        <v>139.83333333333334</v>
      </c>
      <c r="BC39" s="34">
        <v>138.96774193548387</v>
      </c>
      <c r="BD39" s="34">
        <v>158.46666666666667</v>
      </c>
      <c r="BE39" s="34">
        <v>192.41935483870967</v>
      </c>
      <c r="BF39" s="34"/>
      <c r="BG39" s="34"/>
      <c r="BH39" s="34"/>
      <c r="BI39" s="34"/>
      <c r="BJ39" s="34"/>
      <c r="BK39" s="34">
        <v>142.35483870967741</v>
      </c>
      <c r="BL39" s="34">
        <v>161</v>
      </c>
      <c r="BM39" s="34">
        <v>157.19354838709677</v>
      </c>
      <c r="BN39" s="34">
        <v>160.4</v>
      </c>
      <c r="BO39" s="34">
        <v>163.09677419354838</v>
      </c>
      <c r="BP39" s="34">
        <v>179.43333333333334</v>
      </c>
      <c r="BQ39" s="34">
        <v>174.23333333333332</v>
      </c>
      <c r="BR39" s="34">
        <v>168.09677419354838</v>
      </c>
      <c r="BS39" s="34">
        <v>172.13333333333333</v>
      </c>
      <c r="BT39" s="34">
        <v>172.61290322580646</v>
      </c>
      <c r="BU39" s="34">
        <v>180.2</v>
      </c>
      <c r="BV39" s="34">
        <v>208.74193548387098</v>
      </c>
      <c r="BW39" s="34"/>
      <c r="BX39" s="34"/>
      <c r="BY39" s="34"/>
      <c r="BZ39" s="34"/>
      <c r="CA39" s="34"/>
      <c r="CB39" s="34">
        <v>147.12903225806451</v>
      </c>
      <c r="CC39" s="34">
        <v>188.17857142857142</v>
      </c>
      <c r="CD39" s="34">
        <v>176.03225806451613</v>
      </c>
      <c r="CE39" s="34">
        <v>117.46666666666667</v>
      </c>
      <c r="CF39" s="34">
        <v>119.29032258064517</v>
      </c>
      <c r="CG39" s="34">
        <v>115.2</v>
      </c>
      <c r="CH39" s="34">
        <v>112.76666666666667</v>
      </c>
      <c r="CI39" s="34">
        <v>116.70967741935483</v>
      </c>
      <c r="CJ39" s="34">
        <v>113.6</v>
      </c>
      <c r="CK39" s="34">
        <v>112.6774193548387</v>
      </c>
      <c r="CL39" s="34">
        <v>121.94736842105263</v>
      </c>
    </row>
    <row r="40" spans="1:96">
      <c r="A40" s="31">
        <v>27</v>
      </c>
      <c r="B40" s="1"/>
      <c r="C40" s="29" t="s">
        <v>96</v>
      </c>
      <c r="D40" s="25" t="s">
        <v>60</v>
      </c>
      <c r="E40" s="5" t="s">
        <v>56</v>
      </c>
      <c r="F40" s="1" t="s">
        <v>124</v>
      </c>
      <c r="G40" s="1" t="s">
        <v>23</v>
      </c>
      <c r="H40" s="1" t="s">
        <v>40</v>
      </c>
      <c r="I40" s="21" t="s">
        <v>21</v>
      </c>
      <c r="J40" s="6">
        <v>43497</v>
      </c>
      <c r="K40" t="s">
        <v>121</v>
      </c>
      <c r="AD40" s="34">
        <v>95.107142857142861</v>
      </c>
      <c r="AE40" s="34">
        <v>96.451612903225808</v>
      </c>
      <c r="AF40" s="34">
        <v>100</v>
      </c>
      <c r="AG40" s="34">
        <v>95.967741935483872</v>
      </c>
      <c r="AH40" s="34">
        <v>102.03333333333333</v>
      </c>
      <c r="AI40" s="34">
        <v>111.26666666666667</v>
      </c>
      <c r="AJ40" s="34">
        <v>98.451612903225808</v>
      </c>
      <c r="AK40" s="34">
        <v>97.733333333333334</v>
      </c>
      <c r="AL40" s="34">
        <v>112.35483870967742</v>
      </c>
      <c r="AM40" s="34">
        <v>115.13333333333334</v>
      </c>
      <c r="AN40" s="34">
        <v>112.87096774193549</v>
      </c>
      <c r="AO40" s="34"/>
      <c r="AP40" s="34"/>
      <c r="AQ40" s="34"/>
      <c r="AR40" s="34"/>
      <c r="AS40" s="34"/>
      <c r="AT40" s="34">
        <v>95.516129032258064</v>
      </c>
      <c r="AU40" s="34">
        <v>119.64285714285714</v>
      </c>
      <c r="AV40" s="34">
        <v>115.48387096774194</v>
      </c>
      <c r="AW40" s="34">
        <v>49.06666666666667</v>
      </c>
      <c r="AX40" s="34">
        <v>66.709677419354833</v>
      </c>
      <c r="AY40" s="34">
        <v>109.9</v>
      </c>
      <c r="AZ40" s="34">
        <v>146.96666666666667</v>
      </c>
      <c r="BA40" s="34">
        <v>130.58064516129033</v>
      </c>
      <c r="BB40" s="34">
        <v>141.6</v>
      </c>
      <c r="BC40" s="34">
        <v>146.19354838709677</v>
      </c>
      <c r="BD40" s="34">
        <v>139.56666666666666</v>
      </c>
      <c r="BE40" s="34">
        <v>131.83870967741936</v>
      </c>
      <c r="BF40" s="34"/>
      <c r="BG40" s="34"/>
      <c r="BH40" s="34"/>
      <c r="BI40" s="34"/>
      <c r="BJ40" s="34"/>
      <c r="BK40" s="34">
        <v>126.35483870967742</v>
      </c>
      <c r="BL40" s="34">
        <v>156.46428571428572</v>
      </c>
      <c r="BM40" s="34">
        <v>161.80645161290323</v>
      </c>
      <c r="BN40" s="34">
        <v>169.33333333333334</v>
      </c>
      <c r="BO40" s="34">
        <v>146.35483870967741</v>
      </c>
      <c r="BP40" s="34">
        <v>159.26666666666668</v>
      </c>
      <c r="BQ40" s="34">
        <v>175.23333333333332</v>
      </c>
      <c r="BR40" s="34">
        <v>159.61290322580646</v>
      </c>
      <c r="BS40" s="34">
        <v>166.1</v>
      </c>
      <c r="BT40" s="34">
        <v>172.70967741935485</v>
      </c>
      <c r="BU40" s="34">
        <v>171.93333333333334</v>
      </c>
      <c r="BV40" s="34"/>
      <c r="BW40" s="34"/>
      <c r="BX40" s="34"/>
      <c r="BY40" s="34"/>
      <c r="BZ40" s="34"/>
      <c r="CA40" s="34"/>
      <c r="CB40" s="34">
        <v>154.93548387096774</v>
      </c>
      <c r="CC40" s="34">
        <v>186.46428571428572</v>
      </c>
      <c r="CD40" s="34">
        <v>175.83870967741936</v>
      </c>
      <c r="CE40" s="34">
        <v>169.9</v>
      </c>
      <c r="CF40" s="34">
        <v>152.2258064516129</v>
      </c>
      <c r="CG40" s="34">
        <v>153.73333333333332</v>
      </c>
      <c r="CH40" s="34">
        <v>157.9</v>
      </c>
      <c r="CI40" s="34">
        <v>152.32258064516128</v>
      </c>
      <c r="CJ40" s="34">
        <v>156.23333333333332</v>
      </c>
      <c r="CK40" s="34">
        <v>158.74193548387098</v>
      </c>
      <c r="CL40" s="34">
        <v>156.73684210526315</v>
      </c>
    </row>
    <row r="41" spans="1:96">
      <c r="A41" s="31">
        <v>28</v>
      </c>
      <c r="B41" s="1"/>
      <c r="C41" s="29" t="s">
        <v>96</v>
      </c>
      <c r="D41" s="25" t="s">
        <v>61</v>
      </c>
      <c r="E41" s="5" t="s">
        <v>56</v>
      </c>
      <c r="F41" s="1" t="s">
        <v>124</v>
      </c>
      <c r="G41" s="1" t="s">
        <v>23</v>
      </c>
      <c r="H41" s="1" t="s">
        <v>40</v>
      </c>
      <c r="I41" s="21" t="s">
        <v>21</v>
      </c>
      <c r="J41" s="6">
        <v>43497</v>
      </c>
      <c r="K41" t="s">
        <v>121</v>
      </c>
      <c r="AD41" s="34">
        <v>90.321428571428569</v>
      </c>
      <c r="AE41" s="34">
        <v>94.612903225806448</v>
      </c>
      <c r="AF41" s="34">
        <v>88.63333333333334</v>
      </c>
      <c r="AG41" s="34">
        <v>107.03225806451613</v>
      </c>
      <c r="AH41" s="34">
        <v>111.4</v>
      </c>
      <c r="AI41" s="34">
        <v>100.66666666666667</v>
      </c>
      <c r="AJ41" s="34">
        <v>112.35483870967742</v>
      </c>
      <c r="AK41" s="34">
        <v>109.8</v>
      </c>
      <c r="AL41" s="34">
        <v>100.54838709677419</v>
      </c>
      <c r="AM41" s="34">
        <v>97.2</v>
      </c>
      <c r="AN41" s="34">
        <v>90.225806451612897</v>
      </c>
      <c r="AO41" s="34"/>
      <c r="AP41" s="34"/>
      <c r="AQ41" s="34"/>
      <c r="AR41" s="34"/>
      <c r="AS41" s="34"/>
      <c r="AT41" s="34">
        <v>90.193548387096769</v>
      </c>
      <c r="AU41" s="34">
        <v>90.535714285714292</v>
      </c>
      <c r="AV41" s="34">
        <v>72.354838709677423</v>
      </c>
      <c r="AW41" s="34">
        <v>19.766666666666666</v>
      </c>
      <c r="AX41" s="34">
        <v>24.419354838709676</v>
      </c>
      <c r="AY41" s="34">
        <v>38.4</v>
      </c>
      <c r="AZ41" s="34">
        <v>86.466666666666669</v>
      </c>
      <c r="BA41" s="34">
        <v>113.16129032258064</v>
      </c>
      <c r="BB41" s="34">
        <v>111.36666666666666</v>
      </c>
      <c r="BC41" s="34">
        <v>87.290322580645167</v>
      </c>
      <c r="BD41" s="34">
        <v>75</v>
      </c>
      <c r="BE41" s="34">
        <v>75.967741935483872</v>
      </c>
      <c r="BF41" s="34"/>
      <c r="BG41" s="34"/>
      <c r="BH41" s="34"/>
      <c r="BI41" s="34"/>
      <c r="BJ41" s="34"/>
      <c r="BK41" s="34">
        <v>83.193548387096769</v>
      </c>
      <c r="BL41" s="34">
        <v>91.964285714285708</v>
      </c>
      <c r="BM41" s="34">
        <v>92.645161290322577</v>
      </c>
      <c r="BN41" s="34">
        <v>97.4</v>
      </c>
      <c r="BO41" s="34">
        <v>111.06451612903226</v>
      </c>
      <c r="BP41" s="34">
        <v>113.43333333333334</v>
      </c>
      <c r="BQ41" s="34">
        <v>100.5</v>
      </c>
      <c r="BR41" s="34">
        <v>104.93548387096774</v>
      </c>
      <c r="BS41" s="34">
        <v>110.73333333333333</v>
      </c>
      <c r="BT41" s="34">
        <v>100.25806451612904</v>
      </c>
      <c r="BU41" s="34">
        <v>74.099999999999994</v>
      </c>
      <c r="BV41" s="34">
        <v>88.516129032258064</v>
      </c>
      <c r="BW41" s="34"/>
      <c r="BX41" s="34"/>
      <c r="BY41" s="34"/>
      <c r="BZ41" s="34"/>
      <c r="CA41" s="34"/>
      <c r="CB41" s="34">
        <v>102.51612903225806</v>
      </c>
      <c r="CC41" s="34">
        <v>102.5</v>
      </c>
      <c r="CD41" s="34">
        <v>79.225806451612897</v>
      </c>
      <c r="CE41" s="34">
        <v>89.86666666666666</v>
      </c>
      <c r="CF41" s="34">
        <v>93.870967741935488</v>
      </c>
      <c r="CG41" s="34">
        <v>100.33333333333333</v>
      </c>
      <c r="CH41" s="34">
        <v>73.066666666666663</v>
      </c>
      <c r="CI41" s="34">
        <v>94.903225806451616</v>
      </c>
      <c r="CJ41" s="34">
        <v>83.333333333333329</v>
      </c>
      <c r="CK41" s="34">
        <v>72.709677419354833</v>
      </c>
      <c r="CL41" s="34">
        <v>89.578947368421055</v>
      </c>
    </row>
    <row r="42" spans="1:96">
      <c r="A42" s="31">
        <v>29</v>
      </c>
      <c r="B42" s="1"/>
      <c r="C42" s="29" t="s">
        <v>127</v>
      </c>
      <c r="D42" s="29" t="s">
        <v>128</v>
      </c>
      <c r="E42" s="44" t="s">
        <v>126</v>
      </c>
      <c r="F42" s="1"/>
      <c r="G42" s="29" t="s">
        <v>131</v>
      </c>
      <c r="H42" s="29" t="s">
        <v>63</v>
      </c>
      <c r="I42" s="21" t="s">
        <v>21</v>
      </c>
      <c r="J42" s="6">
        <v>43497</v>
      </c>
      <c r="K42" t="s">
        <v>121</v>
      </c>
      <c r="AD42" s="34">
        <v>16.20571429</v>
      </c>
      <c r="AE42" s="34">
        <v>15.89483871</v>
      </c>
      <c r="AF42" s="34">
        <v>15.356666669999999</v>
      </c>
      <c r="AG42" s="34">
        <v>14.899354840000001</v>
      </c>
      <c r="AH42" s="34">
        <v>15.08566667</v>
      </c>
      <c r="AI42" s="34">
        <v>15.295</v>
      </c>
      <c r="AJ42" s="34">
        <v>14.83064516</v>
      </c>
      <c r="AK42" s="34">
        <v>15.211</v>
      </c>
      <c r="AL42" s="34">
        <v>15.30806452</v>
      </c>
      <c r="AM42" s="34">
        <v>16.613</v>
      </c>
      <c r="AN42" s="34">
        <v>13.974</v>
      </c>
      <c r="AO42" s="34"/>
      <c r="AP42" s="34"/>
      <c r="AQ42" s="34"/>
      <c r="AR42" s="34"/>
      <c r="AS42" s="34"/>
      <c r="AT42" s="34">
        <v>15.575483869999999</v>
      </c>
      <c r="AU42" s="34">
        <v>15.949642860000001</v>
      </c>
      <c r="AV42" s="34">
        <v>13.87548387</v>
      </c>
      <c r="AW42" s="34">
        <v>23.088999999999999</v>
      </c>
      <c r="AX42" s="34">
        <v>21.257741939999999</v>
      </c>
      <c r="AY42" s="34">
        <v>17.638666669999999</v>
      </c>
      <c r="AZ42" s="34">
        <v>18.864666669999998</v>
      </c>
      <c r="BA42" s="34">
        <v>18.26032258</v>
      </c>
      <c r="BB42" s="34">
        <v>18.506666670000001</v>
      </c>
      <c r="BC42" s="34">
        <v>18.80967742</v>
      </c>
      <c r="BD42" s="34">
        <v>20.878</v>
      </c>
      <c r="BE42" s="34">
        <v>18.322333329999999</v>
      </c>
      <c r="BF42" s="34"/>
      <c r="BG42" s="34"/>
      <c r="BH42" s="34"/>
      <c r="BI42" s="34"/>
      <c r="BJ42" s="34"/>
      <c r="BK42" s="34">
        <v>19.735483869999999</v>
      </c>
      <c r="BL42" s="34">
        <v>21.803571430000002</v>
      </c>
      <c r="BM42" s="34">
        <v>19.110322579999998</v>
      </c>
      <c r="BN42" s="34">
        <v>19.185333329999999</v>
      </c>
      <c r="BO42" s="34">
        <v>17.689677419999999</v>
      </c>
      <c r="BP42" s="34">
        <v>17.614333330000001</v>
      </c>
      <c r="BQ42" s="34">
        <v>18.388666669999999</v>
      </c>
      <c r="BR42" s="34">
        <v>19.079999999999998</v>
      </c>
      <c r="BS42" s="34">
        <v>19.379666669999999</v>
      </c>
      <c r="BT42" s="34">
        <v>18.48645161</v>
      </c>
      <c r="BU42" s="34">
        <v>19.126333330000001</v>
      </c>
      <c r="BV42" s="34">
        <v>17.213999999999999</v>
      </c>
      <c r="BW42" s="34"/>
      <c r="BX42" s="34"/>
      <c r="BY42" s="34"/>
      <c r="BZ42" s="34"/>
      <c r="CA42" s="34"/>
      <c r="CB42" s="34">
        <v>17.865483869999998</v>
      </c>
      <c r="CC42" s="34">
        <v>18.473749999999999</v>
      </c>
      <c r="CD42" s="34">
        <v>14.534193549999999</v>
      </c>
      <c r="CE42" s="34">
        <v>14.84266667</v>
      </c>
      <c r="CF42" s="34">
        <v>14.649354840000001</v>
      </c>
      <c r="CG42" s="34">
        <v>14.59</v>
      </c>
      <c r="CH42" s="34">
        <v>17.486999999999998</v>
      </c>
      <c r="CI42" s="34">
        <v>13.467096769999999</v>
      </c>
      <c r="CJ42" s="34">
        <v>15.23</v>
      </c>
      <c r="CK42" s="34">
        <v>17.62258065</v>
      </c>
      <c r="CL42" s="34">
        <v>19.1547619</v>
      </c>
    </row>
    <row r="43" spans="1:96">
      <c r="A43" s="31">
        <v>30</v>
      </c>
      <c r="B43" s="1"/>
      <c r="C43" s="1" t="s">
        <v>93</v>
      </c>
      <c r="D43" s="18" t="s">
        <v>27</v>
      </c>
      <c r="E43" s="5" t="s">
        <v>28</v>
      </c>
      <c r="F43" s="46" t="s">
        <v>125</v>
      </c>
      <c r="G43" s="1" t="s">
        <v>33</v>
      </c>
      <c r="H43" s="1" t="s">
        <v>24</v>
      </c>
      <c r="I43" s="17" t="s">
        <v>25</v>
      </c>
      <c r="J43" s="1"/>
      <c r="K43" s="1" t="s">
        <v>121</v>
      </c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>
        <v>773</v>
      </c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>
        <v>882</v>
      </c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>
        <v>824</v>
      </c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>
        <v>859</v>
      </c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>
        <v>808</v>
      </c>
    </row>
    <row r="52" outlineLevel="1"/>
    <row r="53" outlineLevel="1"/>
    <row r="54" outlineLevel="1"/>
    <row r="55" outlineLevel="1"/>
    <row r="56" outlineLevel="1"/>
    <row r="57" outlineLevel="1"/>
  </sheetData>
  <hyperlinks>
    <hyperlink ref="E43" r:id="rId1" xr:uid="{080AB7C9-E0C6-409A-A6E1-B2B92C2BEBE7}"/>
    <hyperlink ref="E29" r:id="rId2" xr:uid="{BAA7E782-2D37-4984-89EA-E27DAA7F4819}"/>
    <hyperlink ref="E32" r:id="rId3" xr:uid="{0FBD0FD4-7C34-4C41-B1B3-99BB0DAF8A83}"/>
    <hyperlink ref="E30" r:id="rId4" xr:uid="{1838F5F3-0598-4CA2-B254-9B32E4FA9D05}"/>
    <hyperlink ref="E33" r:id="rId5" xr:uid="{7A83EE7A-FDC6-44AA-9E44-3CCF1BCD3614}"/>
    <hyperlink ref="E31" r:id="rId6" xr:uid="{256F1D1C-87E1-45FB-923E-F601E8E4EFC2}"/>
    <hyperlink ref="E34" r:id="rId7" xr:uid="{E347BAD4-E3D1-4246-8C48-9B71F73D5064}"/>
    <hyperlink ref="E6" r:id="rId8" xr:uid="{5D0FB394-D1B3-4459-AC26-B2D1A0017260}"/>
    <hyperlink ref="E7" r:id="rId9" xr:uid="{5F605F75-4767-46C9-91E2-302FC923F11B}"/>
    <hyperlink ref="E8" r:id="rId10" xr:uid="{71631D19-B240-4ADE-96C3-5C41750B13E1}"/>
    <hyperlink ref="E35" r:id="rId11" xr:uid="{3AB661A4-7590-4E16-A9E9-874F3D5AD19E}"/>
    <hyperlink ref="E4" r:id="rId12" xr:uid="{82212000-B57A-43ED-B00E-8C19E5671807}"/>
    <hyperlink ref="E9" r:id="rId13" xr:uid="{693128F7-DEE5-4868-9B18-08128BA0DB4B}"/>
    <hyperlink ref="E5" r:id="rId14" xr:uid="{4D8ADE31-7131-4A41-8356-1E875005F88B}"/>
    <hyperlink ref="E25" r:id="rId15" xr:uid="{E99C239A-8AF8-4A22-A1DC-97DC66411DB1}"/>
    <hyperlink ref="F25" r:id="rId16" display="https://www.fedstat.ru/indicator/57699" xr:uid="{63F94FE7-B9B3-4EBB-AB65-40F482D31C64}"/>
    <hyperlink ref="E26" r:id="rId17" xr:uid="{4DBDF813-8C0E-44B1-8A51-EAFCD379E4EB}"/>
    <hyperlink ref="E27" r:id="rId18" xr:uid="{302FC745-FD88-4682-A28D-9BEBF09C917D}"/>
    <hyperlink ref="E28" r:id="rId19" xr:uid="{F2003D2B-BE44-4F6C-BEE0-BE72BE65B2B5}"/>
    <hyperlink ref="E38" r:id="rId20" xr:uid="{ED505870-CC0A-4B22-9B0F-30AF72DB7FA6}"/>
    <hyperlink ref="E39" r:id="rId21" xr:uid="{D0B2A9C1-6F19-42C9-920A-A5957631866C}"/>
    <hyperlink ref="E40" r:id="rId22" xr:uid="{2F7C5A5D-0F5D-450B-8468-61A5BA59C232}"/>
    <hyperlink ref="E41" r:id="rId23" xr:uid="{4A51B70A-02C1-4B51-86BD-BD9AA89920F4}"/>
    <hyperlink ref="E37" r:id="rId24" xr:uid="{ABF43462-4CC3-4F1A-B943-80F94ACB69A5}"/>
    <hyperlink ref="E15" r:id="rId25" xr:uid="{FACC3BD4-1295-40CD-A153-5B3767DBF08C}"/>
    <hyperlink ref="E16" r:id="rId26" xr:uid="{F66E5FF7-A403-4BE1-9627-C9F1F2917596}"/>
    <hyperlink ref="E17" r:id="rId27" xr:uid="{F21C41C9-8C37-44CA-885C-3B7B0F2BF94B}"/>
    <hyperlink ref="E18" r:id="rId28" xr:uid="{88E36C76-8330-47FF-99ED-D9F777A4DF07}"/>
    <hyperlink ref="E10" r:id="rId29" xr:uid="{BE3AB4CE-9914-4341-85BA-8F402624BC62}"/>
    <hyperlink ref="E12" r:id="rId30" xr:uid="{69F71525-176C-46B6-9D96-5B86CDFB0EDC}"/>
    <hyperlink ref="E13" r:id="rId31" xr:uid="{7CD08E89-1104-40AE-815D-A2140180799D}"/>
    <hyperlink ref="E14" r:id="rId32" xr:uid="{4C8946B8-9313-45B3-8089-9AFD540A48A2}"/>
    <hyperlink ref="F26" r:id="rId33" display="https://www.fedstat.ru/indicator/57699" xr:uid="{A85376C1-8BA9-493B-B119-C15D905F3E27}"/>
    <hyperlink ref="E22" r:id="rId34" xr:uid="{730B057D-0FD8-48FB-83F7-C1FE32E52C71}"/>
    <hyperlink ref="E23" r:id="rId35" xr:uid="{AB21C806-FCE5-42C3-AC98-96C387E1529F}"/>
    <hyperlink ref="E24" r:id="rId36" xr:uid="{76998DCA-E016-49A1-9C38-5948458D3908}"/>
    <hyperlink ref="E42" r:id="rId37" xr:uid="{DFD7BE7F-D820-42BF-AED4-6610C279DF21}"/>
  </hyperlinks>
  <pageMargins left="0.7" right="0.7" top="0.75" bottom="0.75" header="0.3" footer="0.3"/>
  <pageSetup paperSize="9" firstPageNumber="2147483648" orientation="portrait" r:id="rId38"/>
  <legacyDrawing r:id="rId3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НН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Сергей Макрушин</dc:creator>
  <cp:lastModifiedBy>User</cp:lastModifiedBy>
  <cp:revision>43</cp:revision>
  <dcterms:created xsi:type="dcterms:W3CDTF">2022-11-07T17:08:48Z</dcterms:created>
  <dcterms:modified xsi:type="dcterms:W3CDTF">2022-11-29T19:05:13Z</dcterms:modified>
</cp:coreProperties>
</file>