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G\PycharmProjects\DCA\"/>
    </mc:Choice>
  </mc:AlternateContent>
  <xr:revisionPtr revIDLastSave="0" documentId="13_ncr:1_{D77D4D8A-9D53-4ABA-B6B2-1E7935B1ED4D}" xr6:coauthVersionLast="43" xr6:coauthVersionMax="43" xr10:uidLastSave="{00000000-0000-0000-0000-000000000000}"/>
  <bookViews>
    <workbookView xWindow="28680" yWindow="-120" windowWidth="29040" windowHeight="15840" activeTab="3" xr2:uid="{00000000-000D-0000-FFFF-FFFF00000000}"/>
    <workbookView xWindow="-108" yWindow="-108" windowWidth="23256" windowHeight="12576" activeTab="2" xr2:uid="{CCADA8D6-6BA9-40E5-A92D-41B299B0778F}"/>
  </bookViews>
  <sheets>
    <sheet name="IS" sheetId="1" r:id="rId1"/>
    <sheet name="BS" sheetId="2" r:id="rId2"/>
    <sheet name="CF" sheetId="3" r:id="rId3"/>
    <sheet name="Projection" sheetId="5" r:id="rId4"/>
    <sheet name="DCF" sheetId="6" r:id="rId5"/>
  </sheets>
  <externalReferences>
    <externalReference r:id="rId6"/>
  </externalReferenc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2" i="5" l="1"/>
  <c r="E122" i="5"/>
  <c r="F122" i="5"/>
  <c r="G122" i="5"/>
  <c r="H122" i="5"/>
  <c r="E119" i="5"/>
  <c r="F119" i="5"/>
  <c r="G119" i="5"/>
  <c r="H119" i="5"/>
  <c r="D119" i="5"/>
  <c r="E104" i="5"/>
  <c r="F104" i="5"/>
  <c r="G104" i="5"/>
  <c r="H104" i="5"/>
  <c r="D104" i="5"/>
  <c r="E64" i="5"/>
  <c r="E70" i="5" s="1"/>
  <c r="F64" i="5"/>
  <c r="G64" i="5"/>
  <c r="G70" i="5" s="1"/>
  <c r="H64" i="5"/>
  <c r="H68" i="5" s="1"/>
  <c r="H70" i="5" s="1"/>
  <c r="E65" i="5"/>
  <c r="F65" i="5"/>
  <c r="G65" i="5"/>
  <c r="H65" i="5"/>
  <c r="E66" i="5"/>
  <c r="F66" i="5"/>
  <c r="F68" i="5" s="1"/>
  <c r="F70" i="5" s="1"/>
  <c r="G66" i="5"/>
  <c r="H66" i="5"/>
  <c r="E67" i="5"/>
  <c r="F67" i="5"/>
  <c r="G67" i="5"/>
  <c r="H67" i="5"/>
  <c r="E68" i="5"/>
  <c r="G68" i="5"/>
  <c r="E73" i="5"/>
  <c r="F73" i="5"/>
  <c r="G73" i="5"/>
  <c r="H73" i="5"/>
  <c r="E79" i="5"/>
  <c r="E84" i="5" s="1"/>
  <c r="F79" i="5"/>
  <c r="G79" i="5"/>
  <c r="H79" i="5"/>
  <c r="E80" i="5"/>
  <c r="F80" i="5"/>
  <c r="F86" i="5" s="1"/>
  <c r="G80" i="5"/>
  <c r="H80" i="5"/>
  <c r="E81" i="5"/>
  <c r="F81" i="5"/>
  <c r="G81" i="5"/>
  <c r="H81" i="5"/>
  <c r="E82" i="5"/>
  <c r="F82" i="5"/>
  <c r="G82" i="5"/>
  <c r="H82" i="5"/>
  <c r="H84" i="5" s="1"/>
  <c r="H86" i="5" s="1"/>
  <c r="E83" i="5"/>
  <c r="F83" i="5"/>
  <c r="G83" i="5"/>
  <c r="G84" i="5" s="1"/>
  <c r="H83" i="5"/>
  <c r="F84" i="5"/>
  <c r="E89" i="5"/>
  <c r="F89" i="5"/>
  <c r="G89" i="5"/>
  <c r="H89" i="5"/>
  <c r="E94" i="5"/>
  <c r="F94" i="5"/>
  <c r="G94" i="5"/>
  <c r="H94" i="5"/>
  <c r="E95" i="5"/>
  <c r="F95" i="5"/>
  <c r="F101" i="5" s="1"/>
  <c r="G95" i="5"/>
  <c r="H95" i="5"/>
  <c r="H101" i="5" s="1"/>
  <c r="E96" i="5"/>
  <c r="F96" i="5"/>
  <c r="G96" i="5"/>
  <c r="H96" i="5"/>
  <c r="E97" i="5"/>
  <c r="F97" i="5"/>
  <c r="G97" i="5"/>
  <c r="H97" i="5"/>
  <c r="E98" i="5"/>
  <c r="F98" i="5"/>
  <c r="G98" i="5"/>
  <c r="H98" i="5"/>
  <c r="E99" i="5"/>
  <c r="F99" i="5"/>
  <c r="G99" i="5"/>
  <c r="H99" i="5"/>
  <c r="E101" i="5"/>
  <c r="G101" i="5"/>
  <c r="D90" i="5"/>
  <c r="D99" i="5"/>
  <c r="D98" i="5"/>
  <c r="D97" i="5"/>
  <c r="D96" i="5"/>
  <c r="D95" i="5"/>
  <c r="D94" i="5"/>
  <c r="D89" i="5"/>
  <c r="D81" i="5"/>
  <c r="D83" i="5"/>
  <c r="D82" i="5"/>
  <c r="D80" i="5"/>
  <c r="D79" i="5"/>
  <c r="D67" i="5"/>
  <c r="D73" i="5"/>
  <c r="D65" i="5"/>
  <c r="D66" i="5"/>
  <c r="D64" i="5"/>
  <c r="E56" i="5"/>
  <c r="F56" i="5"/>
  <c r="G56" i="5"/>
  <c r="H56" i="5"/>
  <c r="D56" i="5"/>
  <c r="E28" i="5"/>
  <c r="F28" i="5"/>
  <c r="G28" i="5"/>
  <c r="H28" i="5"/>
  <c r="E29" i="5"/>
  <c r="F29" i="5"/>
  <c r="G29" i="5"/>
  <c r="H29" i="5"/>
  <c r="E30" i="5"/>
  <c r="F30" i="5"/>
  <c r="G30" i="5"/>
  <c r="H30" i="5"/>
  <c r="D30" i="5"/>
  <c r="D29" i="5"/>
  <c r="D28" i="5"/>
  <c r="F74" i="5" l="1"/>
  <c r="F76" i="5"/>
  <c r="G86" i="5"/>
  <c r="F90" i="5"/>
  <c r="F92" i="5" s="1"/>
  <c r="F103" i="5" s="1"/>
  <c r="H74" i="5"/>
  <c r="H76" i="5" s="1"/>
  <c r="E86" i="5"/>
  <c r="G74" i="5"/>
  <c r="G76" i="5" s="1"/>
  <c r="H90" i="5"/>
  <c r="H92" i="5" s="1"/>
  <c r="H103" i="5" s="1"/>
  <c r="E74" i="5"/>
  <c r="E76" i="5"/>
  <c r="D84" i="5"/>
  <c r="D68" i="5"/>
  <c r="J29" i="5"/>
  <c r="M29" i="5"/>
  <c r="M30" i="5"/>
  <c r="I30" i="5"/>
  <c r="J30" i="5"/>
  <c r="K30" i="5"/>
  <c r="L30" i="5"/>
  <c r="I29" i="5"/>
  <c r="L29" i="5"/>
  <c r="K29" i="5"/>
  <c r="E90" i="5" l="1"/>
  <c r="E92" i="5"/>
  <c r="E103" i="5" s="1"/>
  <c r="G90" i="5"/>
  <c r="G92" i="5" s="1"/>
  <c r="G103" i="5" s="1"/>
  <c r="E36" i="5" l="1"/>
  <c r="F36" i="5"/>
  <c r="G36" i="5"/>
  <c r="H36" i="5"/>
  <c r="D36" i="5"/>
  <c r="E32" i="5"/>
  <c r="F32" i="5"/>
  <c r="G32" i="5"/>
  <c r="D32" i="5"/>
  <c r="E48" i="5"/>
  <c r="E21" i="5"/>
  <c r="E112" i="5" s="1"/>
  <c r="F21" i="5"/>
  <c r="F112" i="5" s="1"/>
  <c r="G21" i="5"/>
  <c r="G112" i="5" s="1"/>
  <c r="H21" i="5"/>
  <c r="H112" i="5" s="1"/>
  <c r="D21" i="5"/>
  <c r="D112" i="5" s="1"/>
  <c r="E9" i="5"/>
  <c r="F9" i="5"/>
  <c r="G9" i="5"/>
  <c r="G10" i="5" s="1"/>
  <c r="H9" i="5"/>
  <c r="I9" i="5" s="1"/>
  <c r="J9" i="5" s="1"/>
  <c r="K9" i="5" s="1"/>
  <c r="L9" i="5" s="1"/>
  <c r="M9" i="5" s="1"/>
  <c r="D9" i="5"/>
  <c r="D15" i="5"/>
  <c r="D108" i="5" s="1"/>
  <c r="E15" i="5"/>
  <c r="F15" i="5"/>
  <c r="G15" i="5"/>
  <c r="H15" i="5"/>
  <c r="E6" i="5"/>
  <c r="F6" i="5"/>
  <c r="G6" i="5"/>
  <c r="H6" i="5"/>
  <c r="D6" i="5"/>
  <c r="D4" i="5"/>
  <c r="E4" i="5" s="1"/>
  <c r="D219" i="5"/>
  <c r="D59" i="5" s="1"/>
  <c r="D190" i="5"/>
  <c r="D43" i="5" s="1"/>
  <c r="D187" i="5"/>
  <c r="D49" i="5" s="1"/>
  <c r="D176" i="5"/>
  <c r="D47" i="5"/>
  <c r="F219" i="5"/>
  <c r="E219" i="5"/>
  <c r="F190" i="5"/>
  <c r="E190" i="5"/>
  <c r="F187" i="5"/>
  <c r="E187" i="5"/>
  <c r="E49" i="5" s="1"/>
  <c r="F148" i="5"/>
  <c r="F147" i="5"/>
  <c r="F146" i="5"/>
  <c r="F130" i="5"/>
  <c r="E176" i="5"/>
  <c r="F126" i="5"/>
  <c r="F47" i="5"/>
  <c r="E47" i="5"/>
  <c r="H22" i="6"/>
  <c r="G22" i="6"/>
  <c r="F22" i="6"/>
  <c r="E22" i="6"/>
  <c r="D22" i="6"/>
  <c r="B18" i="6"/>
  <c r="B12" i="6"/>
  <c r="A2" i="6"/>
  <c r="A1" i="6"/>
  <c r="H219" i="5"/>
  <c r="G219" i="5"/>
  <c r="J213" i="5"/>
  <c r="M212" i="5"/>
  <c r="M224" i="5" s="1"/>
  <c r="L212" i="5"/>
  <c r="L224" i="5" s="1"/>
  <c r="K212" i="5"/>
  <c r="K224" i="5" s="1"/>
  <c r="J212" i="5"/>
  <c r="J224" i="5" s="1"/>
  <c r="I212" i="5"/>
  <c r="I224" i="5" s="1"/>
  <c r="M208" i="5"/>
  <c r="M225" i="5" s="1"/>
  <c r="L208" i="5"/>
  <c r="L225" i="5" s="1"/>
  <c r="K208" i="5"/>
  <c r="K225" i="5" s="1"/>
  <c r="J208" i="5"/>
  <c r="J225" i="5" s="1"/>
  <c r="I208" i="5"/>
  <c r="I225" i="5" s="1"/>
  <c r="J206" i="5"/>
  <c r="K206" i="5" s="1"/>
  <c r="L206" i="5" s="1"/>
  <c r="M206" i="5" s="1"/>
  <c r="H190" i="5"/>
  <c r="G190" i="5"/>
  <c r="H187" i="5"/>
  <c r="H139" i="5" s="1"/>
  <c r="H141" i="5" s="1"/>
  <c r="G187" i="5"/>
  <c r="H148" i="5"/>
  <c r="H147" i="5"/>
  <c r="H146" i="5"/>
  <c r="H130" i="5"/>
  <c r="H177" i="5"/>
  <c r="G177" i="5"/>
  <c r="H176" i="5"/>
  <c r="G176" i="5"/>
  <c r="I82" i="5"/>
  <c r="I133" i="5" s="1"/>
  <c r="B32" i="6"/>
  <c r="H47" i="5"/>
  <c r="G47" i="5"/>
  <c r="J7" i="5"/>
  <c r="K7" i="5" s="1"/>
  <c r="L7" i="5" s="1"/>
  <c r="M7" i="5" s="1"/>
  <c r="H27" i="6" s="1"/>
  <c r="E108" i="5" l="1"/>
  <c r="E111" i="5"/>
  <c r="E114" i="5"/>
  <c r="H113" i="5"/>
  <c r="H109" i="5"/>
  <c r="H107" i="5"/>
  <c r="H110" i="5"/>
  <c r="F108" i="5"/>
  <c r="F111" i="5"/>
  <c r="F114" i="5"/>
  <c r="G113" i="5"/>
  <c r="G109" i="5"/>
  <c r="G107" i="5"/>
  <c r="G110" i="5"/>
  <c r="F113" i="5"/>
  <c r="F107" i="5"/>
  <c r="F109" i="5"/>
  <c r="F110" i="5"/>
  <c r="M112" i="5"/>
  <c r="L112" i="5"/>
  <c r="K112" i="5"/>
  <c r="I112" i="5"/>
  <c r="J112" i="5"/>
  <c r="E107" i="5"/>
  <c r="E113" i="5"/>
  <c r="E109" i="5"/>
  <c r="E110" i="5"/>
  <c r="H111" i="5"/>
  <c r="H108" i="5"/>
  <c r="H114" i="5"/>
  <c r="G111" i="5"/>
  <c r="G108" i="5"/>
  <c r="G114" i="5"/>
  <c r="D109" i="5"/>
  <c r="H7" i="5"/>
  <c r="F10" i="5"/>
  <c r="E16" i="5"/>
  <c r="H43" i="5"/>
  <c r="G7" i="5"/>
  <c r="D12" i="5"/>
  <c r="D18" i="5" s="1"/>
  <c r="H134" i="5"/>
  <c r="F134" i="5"/>
  <c r="F16" i="5"/>
  <c r="J214" i="5"/>
  <c r="J200" i="5" s="1"/>
  <c r="J148" i="5" s="1"/>
  <c r="D61" i="5"/>
  <c r="D116" i="5" s="1"/>
  <c r="D160" i="5" s="1"/>
  <c r="D184" i="5" s="1"/>
  <c r="D195" i="5" s="1"/>
  <c r="D221" i="5" s="1"/>
  <c r="F145" i="5"/>
  <c r="H32" i="5"/>
  <c r="H48" i="5"/>
  <c r="F4" i="5"/>
  <c r="G4" i="5" s="1"/>
  <c r="E61" i="5"/>
  <c r="E116" i="5" s="1"/>
  <c r="E160" i="5" s="1"/>
  <c r="E184" i="5" s="1"/>
  <c r="E195" i="5" s="1"/>
  <c r="E221" i="5" s="1"/>
  <c r="E10" i="5"/>
  <c r="D107" i="5"/>
  <c r="F12" i="5"/>
  <c r="F18" i="5" s="1"/>
  <c r="F24" i="5" s="1"/>
  <c r="H12" i="5"/>
  <c r="E7" i="5"/>
  <c r="E12" i="5"/>
  <c r="G12" i="5"/>
  <c r="D22" i="5"/>
  <c r="F7" i="5"/>
  <c r="H126" i="5"/>
  <c r="D110" i="5"/>
  <c r="D16" i="5"/>
  <c r="H133" i="5"/>
  <c r="F144" i="5"/>
  <c r="F57" i="5"/>
  <c r="F131" i="5"/>
  <c r="H10" i="5"/>
  <c r="D111" i="5"/>
  <c r="G57" i="5"/>
  <c r="F59" i="5"/>
  <c r="D114" i="5"/>
  <c r="D177" i="5"/>
  <c r="D175" i="5" s="1"/>
  <c r="E202" i="5"/>
  <c r="F22" i="5"/>
  <c r="G180" i="5"/>
  <c r="D191" i="5"/>
  <c r="E191" i="5"/>
  <c r="G48" i="5"/>
  <c r="D101" i="5"/>
  <c r="D202" i="5" s="1"/>
  <c r="H16" i="5"/>
  <c r="G16" i="5"/>
  <c r="E177" i="5"/>
  <c r="E175" i="5" s="1"/>
  <c r="F177" i="5"/>
  <c r="D180" i="5"/>
  <c r="F188" i="5"/>
  <c r="D188" i="5"/>
  <c r="G191" i="5"/>
  <c r="F49" i="5"/>
  <c r="F191" i="5"/>
  <c r="G188" i="5"/>
  <c r="F129" i="5"/>
  <c r="F139" i="5"/>
  <c r="F141" i="5" s="1"/>
  <c r="D48" i="5"/>
  <c r="D50" i="5" s="1"/>
  <c r="E50" i="5"/>
  <c r="F202" i="5"/>
  <c r="D113" i="5"/>
  <c r="F132" i="5"/>
  <c r="F133" i="5"/>
  <c r="E59" i="5"/>
  <c r="D86" i="5"/>
  <c r="E180" i="5"/>
  <c r="D57" i="5"/>
  <c r="E188" i="5"/>
  <c r="E57" i="5"/>
  <c r="H180" i="5"/>
  <c r="G59" i="5"/>
  <c r="F127" i="5"/>
  <c r="F226" i="5"/>
  <c r="H132" i="5"/>
  <c r="F180" i="5"/>
  <c r="F48" i="5"/>
  <c r="F43" i="5"/>
  <c r="F153" i="5"/>
  <c r="G202" i="5"/>
  <c r="H144" i="5"/>
  <c r="G43" i="5"/>
  <c r="E43" i="5"/>
  <c r="E22" i="5"/>
  <c r="F176" i="5"/>
  <c r="G49" i="5"/>
  <c r="B8" i="6"/>
  <c r="H127" i="5"/>
  <c r="H188" i="5"/>
  <c r="G22" i="5"/>
  <c r="H153" i="5"/>
  <c r="H191" i="5"/>
  <c r="I186" i="5"/>
  <c r="H129" i="5"/>
  <c r="G175" i="5"/>
  <c r="H22" i="5"/>
  <c r="H131" i="5"/>
  <c r="H175" i="5"/>
  <c r="I163" i="5"/>
  <c r="I153" i="5"/>
  <c r="B6" i="6"/>
  <c r="I90" i="5"/>
  <c r="J90" i="5" s="1"/>
  <c r="K90" i="5" s="1"/>
  <c r="L90" i="5" s="1"/>
  <c r="M90" i="5" s="1"/>
  <c r="H59" i="5"/>
  <c r="J82" i="5"/>
  <c r="K213" i="5"/>
  <c r="H145" i="5"/>
  <c r="H49" i="5"/>
  <c r="I6" i="5"/>
  <c r="I12" i="5" s="1"/>
  <c r="I214" i="5"/>
  <c r="I200" i="5" s="1"/>
  <c r="I148" i="5" s="1"/>
  <c r="H226" i="5"/>
  <c r="I223" i="5" s="1"/>
  <c r="I226" i="5" s="1"/>
  <c r="H57" i="5"/>
  <c r="K108" i="5" l="1"/>
  <c r="I108" i="5"/>
  <c r="L108" i="5"/>
  <c r="M110" i="5"/>
  <c r="L110" i="5"/>
  <c r="K110" i="5"/>
  <c r="J110" i="5"/>
  <c r="I110" i="5"/>
  <c r="M108" i="5"/>
  <c r="J113" i="5"/>
  <c r="M113" i="5"/>
  <c r="L113" i="5"/>
  <c r="K113" i="5"/>
  <c r="I113" i="5"/>
  <c r="J108" i="5"/>
  <c r="I13" i="5"/>
  <c r="K114" i="5"/>
  <c r="J114" i="5"/>
  <c r="I114" i="5"/>
  <c r="M114" i="5"/>
  <c r="L114" i="5"/>
  <c r="I109" i="5"/>
  <c r="M109" i="5"/>
  <c r="L109" i="5"/>
  <c r="K109" i="5"/>
  <c r="J109" i="5"/>
  <c r="M107" i="5"/>
  <c r="I107" i="5"/>
  <c r="L107" i="5"/>
  <c r="K107" i="5"/>
  <c r="J107" i="5"/>
  <c r="K111" i="5"/>
  <c r="J111" i="5"/>
  <c r="I111" i="5"/>
  <c r="M111" i="5"/>
  <c r="L111" i="5"/>
  <c r="F168" i="5"/>
  <c r="F175" i="5"/>
  <c r="F179" i="5" s="1"/>
  <c r="F150" i="5"/>
  <c r="I188" i="5"/>
  <c r="F61" i="5"/>
  <c r="F116" i="5" s="1"/>
  <c r="F160" i="5" s="1"/>
  <c r="F184" i="5" s="1"/>
  <c r="F195" i="5" s="1"/>
  <c r="F221" i="5" s="1"/>
  <c r="F42" i="5"/>
  <c r="F44" i="5" s="1"/>
  <c r="F45" i="5" s="1"/>
  <c r="F34" i="5"/>
  <c r="F39" i="5" s="1"/>
  <c r="F40" i="5" s="1"/>
  <c r="E169" i="5"/>
  <c r="D70" i="5"/>
  <c r="D74" i="5" s="1"/>
  <c r="H50" i="5"/>
  <c r="F13" i="5"/>
  <c r="E18" i="5"/>
  <c r="E24" i="5" s="1"/>
  <c r="E34" i="5" s="1"/>
  <c r="E13" i="5"/>
  <c r="G50" i="5"/>
  <c r="H18" i="5"/>
  <c r="H19" i="5" s="1"/>
  <c r="H13" i="5"/>
  <c r="J22" i="5"/>
  <c r="M22" i="5"/>
  <c r="I22" i="5"/>
  <c r="I21" i="5" s="1"/>
  <c r="I80" i="5" s="1"/>
  <c r="L22" i="5"/>
  <c r="K22" i="5"/>
  <c r="L16" i="5"/>
  <c r="I16" i="5"/>
  <c r="M16" i="5"/>
  <c r="J16" i="5"/>
  <c r="K16" i="5"/>
  <c r="G18" i="5"/>
  <c r="G19" i="5" s="1"/>
  <c r="G13" i="5"/>
  <c r="H150" i="5"/>
  <c r="G179" i="5"/>
  <c r="K191" i="5"/>
  <c r="D179" i="5"/>
  <c r="K188" i="5"/>
  <c r="I83" i="5"/>
  <c r="I132" i="5" s="1"/>
  <c r="F19" i="5"/>
  <c r="F50" i="5"/>
  <c r="F25" i="5"/>
  <c r="M191" i="5"/>
  <c r="I191" i="5"/>
  <c r="J191" i="5"/>
  <c r="H4" i="5"/>
  <c r="G61" i="5"/>
  <c r="G116" i="5" s="1"/>
  <c r="G160" i="5" s="1"/>
  <c r="G184" i="5" s="1"/>
  <c r="G195" i="5" s="1"/>
  <c r="G221" i="5" s="1"/>
  <c r="D92" i="5"/>
  <c r="D103" i="5" s="1"/>
  <c r="D169" i="5"/>
  <c r="D24" i="5"/>
  <c r="D34" i="5" s="1"/>
  <c r="D19" i="5"/>
  <c r="M188" i="5"/>
  <c r="I65" i="5"/>
  <c r="E179" i="5"/>
  <c r="L188" i="5"/>
  <c r="J188" i="5"/>
  <c r="H202" i="5"/>
  <c r="I197" i="5" s="1"/>
  <c r="E168" i="5"/>
  <c r="I131" i="5"/>
  <c r="F128" i="5"/>
  <c r="F169" i="5"/>
  <c r="J6" i="5"/>
  <c r="J12" i="5" s="1"/>
  <c r="J13" i="5" s="1"/>
  <c r="G168" i="5"/>
  <c r="B7" i="6"/>
  <c r="B9" i="6" s="1"/>
  <c r="H179" i="5"/>
  <c r="I176" i="5"/>
  <c r="I81" i="5" s="1"/>
  <c r="I144" i="5" s="1"/>
  <c r="H169" i="5"/>
  <c r="I56" i="5"/>
  <c r="I57" i="5" s="1"/>
  <c r="J223" i="5"/>
  <c r="J226" i="5" s="1"/>
  <c r="H128" i="5"/>
  <c r="K214" i="5"/>
  <c r="K200" i="5" s="1"/>
  <c r="K148" i="5" s="1"/>
  <c r="L213" i="5"/>
  <c r="L191" i="5"/>
  <c r="J133" i="5"/>
  <c r="K82" i="5"/>
  <c r="G169" i="5"/>
  <c r="I15" i="5" l="1"/>
  <c r="I18" i="5" s="1"/>
  <c r="E170" i="5"/>
  <c r="I74" i="5"/>
  <c r="J74" i="5" s="1"/>
  <c r="K74" i="5" s="1"/>
  <c r="L74" i="5" s="1"/>
  <c r="M74" i="5" s="1"/>
  <c r="F170" i="5"/>
  <c r="D168" i="5"/>
  <c r="D170" i="5" s="1"/>
  <c r="G24" i="5"/>
  <c r="G34" i="5" s="1"/>
  <c r="G39" i="5" s="1"/>
  <c r="E19" i="5"/>
  <c r="H24" i="5"/>
  <c r="H42" i="5" s="1"/>
  <c r="H44" i="5" s="1"/>
  <c r="H45" i="5" s="1"/>
  <c r="E42" i="5"/>
  <c r="E44" i="5" s="1"/>
  <c r="E45" i="5" s="1"/>
  <c r="E25" i="5"/>
  <c r="M179" i="5"/>
  <c r="F58" i="5"/>
  <c r="F136" i="5"/>
  <c r="F152" i="5" s="1"/>
  <c r="F154" i="5" s="1"/>
  <c r="F217" i="5"/>
  <c r="F218" i="5" s="1"/>
  <c r="F52" i="5"/>
  <c r="F53" i="5"/>
  <c r="F37" i="5"/>
  <c r="F54" i="5" s="1"/>
  <c r="I4" i="5"/>
  <c r="H61" i="5"/>
  <c r="H116" i="5" s="1"/>
  <c r="H160" i="5" s="1"/>
  <c r="H184" i="5" s="1"/>
  <c r="H195" i="5" s="1"/>
  <c r="H221" i="5" s="1"/>
  <c r="D42" i="5"/>
  <c r="D25" i="5"/>
  <c r="B10" i="6"/>
  <c r="G170" i="5"/>
  <c r="E39" i="5"/>
  <c r="E37" i="5"/>
  <c r="I130" i="5"/>
  <c r="J131" i="5"/>
  <c r="J21" i="5"/>
  <c r="J80" i="5" s="1"/>
  <c r="J83" i="5"/>
  <c r="J132" i="5" s="1"/>
  <c r="J65" i="5"/>
  <c r="J15" i="5"/>
  <c r="J18" i="5" s="1"/>
  <c r="K6" i="5"/>
  <c r="K12" i="5" s="1"/>
  <c r="K13" i="5" s="1"/>
  <c r="I24" i="5"/>
  <c r="I19" i="5"/>
  <c r="J68" i="5"/>
  <c r="I68" i="5"/>
  <c r="I179" i="5"/>
  <c r="I79" i="5"/>
  <c r="I66" i="5"/>
  <c r="I84" i="5"/>
  <c r="I134" i="5" s="1"/>
  <c r="J179" i="5"/>
  <c r="I126" i="5"/>
  <c r="K133" i="5"/>
  <c r="L82" i="5"/>
  <c r="H168" i="5"/>
  <c r="H170" i="5" s="1"/>
  <c r="K179" i="5"/>
  <c r="L179" i="5"/>
  <c r="L214" i="5"/>
  <c r="L200" i="5" s="1"/>
  <c r="L148" i="5" s="1"/>
  <c r="M213" i="5"/>
  <c r="M214" i="5" s="1"/>
  <c r="M200" i="5" s="1"/>
  <c r="M148" i="5" s="1"/>
  <c r="J56" i="5"/>
  <c r="J57" i="5" s="1"/>
  <c r="K223" i="5"/>
  <c r="K226" i="5" s="1"/>
  <c r="K68" i="5" l="1"/>
  <c r="L67" i="5"/>
  <c r="M67" i="5"/>
  <c r="K67" i="5"/>
  <c r="I67" i="5"/>
  <c r="G25" i="5"/>
  <c r="J67" i="5"/>
  <c r="G42" i="5"/>
  <c r="G44" i="5" s="1"/>
  <c r="G45" i="5" s="1"/>
  <c r="G37" i="5"/>
  <c r="E54" i="5"/>
  <c r="D76" i="5"/>
  <c r="H25" i="5"/>
  <c r="H34" i="5"/>
  <c r="H37" i="5" s="1"/>
  <c r="H54" i="5" s="1"/>
  <c r="H39" i="5"/>
  <c r="H40" i="5" s="1"/>
  <c r="M170" i="5"/>
  <c r="I61" i="5"/>
  <c r="I116" i="5" s="1"/>
  <c r="I160" i="5" s="1"/>
  <c r="I184" i="5" s="1"/>
  <c r="I195" i="5" s="1"/>
  <c r="I221" i="5" s="1"/>
  <c r="J4" i="5"/>
  <c r="D23" i="6"/>
  <c r="D44" i="5"/>
  <c r="D45" i="5" s="1"/>
  <c r="J170" i="5"/>
  <c r="D39" i="5"/>
  <c r="D37" i="5"/>
  <c r="D54" i="5" s="1"/>
  <c r="J130" i="5"/>
  <c r="I170" i="5"/>
  <c r="E53" i="5"/>
  <c r="E52" i="5"/>
  <c r="E58" i="5"/>
  <c r="E217" i="5"/>
  <c r="E218" i="5" s="1"/>
  <c r="E40" i="5"/>
  <c r="L223" i="5"/>
  <c r="L226" i="5" s="1"/>
  <c r="K56" i="5"/>
  <c r="K57" i="5" s="1"/>
  <c r="G53" i="5"/>
  <c r="G217" i="5"/>
  <c r="G218" i="5" s="1"/>
  <c r="G58" i="5"/>
  <c r="G52" i="5"/>
  <c r="G40" i="5"/>
  <c r="I127" i="5"/>
  <c r="I129" i="5"/>
  <c r="I86" i="5"/>
  <c r="I42" i="5"/>
  <c r="I25" i="5"/>
  <c r="K170" i="5"/>
  <c r="M82" i="5"/>
  <c r="M133" i="5" s="1"/>
  <c r="L133" i="5"/>
  <c r="B13" i="6"/>
  <c r="B20" i="6" s="1"/>
  <c r="K131" i="5"/>
  <c r="K21" i="5"/>
  <c r="K65" i="5"/>
  <c r="K126" i="5" s="1"/>
  <c r="K83" i="5"/>
  <c r="K132" i="5" s="1"/>
  <c r="L6" i="5"/>
  <c r="L12" i="5" s="1"/>
  <c r="L13" i="5" s="1"/>
  <c r="K15" i="5"/>
  <c r="K18" i="5" s="1"/>
  <c r="L170" i="5"/>
  <c r="J126" i="5"/>
  <c r="J19" i="5"/>
  <c r="J24" i="5"/>
  <c r="J79" i="5"/>
  <c r="J84" i="5"/>
  <c r="J134" i="5" s="1"/>
  <c r="J66" i="5"/>
  <c r="G54" i="5" l="1"/>
  <c r="L68" i="5"/>
  <c r="K80" i="5"/>
  <c r="K130" i="5" s="1"/>
  <c r="H58" i="5"/>
  <c r="H217" i="5"/>
  <c r="H218" i="5" s="1"/>
  <c r="H53" i="5"/>
  <c r="H52" i="5"/>
  <c r="H136" i="5"/>
  <c r="H152" i="5" s="1"/>
  <c r="H154" i="5" s="1"/>
  <c r="E23" i="6"/>
  <c r="K4" i="5"/>
  <c r="J61" i="5"/>
  <c r="J116" i="5" s="1"/>
  <c r="J160" i="5" s="1"/>
  <c r="J184" i="5" s="1"/>
  <c r="J195" i="5" s="1"/>
  <c r="J221" i="5" s="1"/>
  <c r="D52" i="5"/>
  <c r="D53" i="5"/>
  <c r="D217" i="5"/>
  <c r="D218" i="5" s="1"/>
  <c r="D58" i="5"/>
  <c r="D40" i="5"/>
  <c r="K19" i="5"/>
  <c r="K24" i="5"/>
  <c r="M218" i="5"/>
  <c r="L218" i="5"/>
  <c r="K218" i="5"/>
  <c r="J218" i="5"/>
  <c r="I218" i="5"/>
  <c r="L131" i="5"/>
  <c r="L21" i="5"/>
  <c r="M6" i="5"/>
  <c r="L15" i="5"/>
  <c r="L18" i="5" s="1"/>
  <c r="L65" i="5"/>
  <c r="L126" i="5" s="1"/>
  <c r="L83" i="5"/>
  <c r="L132" i="5" s="1"/>
  <c r="J129" i="5"/>
  <c r="K79" i="5"/>
  <c r="K84" i="5"/>
  <c r="K134" i="5" s="1"/>
  <c r="K66" i="5"/>
  <c r="K127" i="5" s="1"/>
  <c r="J127" i="5"/>
  <c r="J42" i="5"/>
  <c r="J25" i="5"/>
  <c r="I169" i="5"/>
  <c r="I168" i="5" s="1"/>
  <c r="M223" i="5"/>
  <c r="M226" i="5" s="1"/>
  <c r="M56" i="5" s="1"/>
  <c r="L56" i="5"/>
  <c r="L57" i="5" s="1"/>
  <c r="O54" i="5" l="1"/>
  <c r="M12" i="5"/>
  <c r="M13" i="5" s="1"/>
  <c r="M68" i="5"/>
  <c r="L80" i="5"/>
  <c r="L130" i="5" s="1"/>
  <c r="L4" i="5"/>
  <c r="F23" i="6"/>
  <c r="K61" i="5"/>
  <c r="K116" i="5" s="1"/>
  <c r="K160" i="5" s="1"/>
  <c r="L19" i="5"/>
  <c r="L24" i="5"/>
  <c r="L84" i="5"/>
  <c r="L134" i="5" s="1"/>
  <c r="L79" i="5"/>
  <c r="L66" i="5"/>
  <c r="L127" i="5" s="1"/>
  <c r="K129" i="5"/>
  <c r="M57" i="5"/>
  <c r="M65" i="5"/>
  <c r="M126" i="5" s="1"/>
  <c r="M21" i="5"/>
  <c r="M131" i="5"/>
  <c r="M15" i="5"/>
  <c r="M18" i="5" s="1"/>
  <c r="M83" i="5"/>
  <c r="M132" i="5" s="1"/>
  <c r="K42" i="5"/>
  <c r="K25" i="5"/>
  <c r="M80" i="5" l="1"/>
  <c r="M130" i="5" s="1"/>
  <c r="G23" i="6"/>
  <c r="L61" i="5"/>
  <c r="L116" i="5" s="1"/>
  <c r="L160" i="5" s="1"/>
  <c r="M4" i="5"/>
  <c r="K184" i="5"/>
  <c r="K195" i="5" s="1"/>
  <c r="K221" i="5" s="1"/>
  <c r="L42" i="5"/>
  <c r="L25" i="5"/>
  <c r="M24" i="5"/>
  <c r="M19" i="5"/>
  <c r="L129" i="5"/>
  <c r="M66" i="5"/>
  <c r="M127" i="5" s="1"/>
  <c r="M84" i="5"/>
  <c r="M134" i="5" s="1"/>
  <c r="M79" i="5"/>
  <c r="L184" i="5" l="1"/>
  <c r="L195" i="5" s="1"/>
  <c r="L221" i="5" s="1"/>
  <c r="H23" i="6"/>
  <c r="M61" i="5"/>
  <c r="M116" i="5" s="1"/>
  <c r="M160" i="5" s="1"/>
  <c r="M25" i="5"/>
  <c r="M42" i="5"/>
  <c r="M129" i="5"/>
  <c r="J157" i="5" l="1"/>
  <c r="M157" i="5"/>
  <c r="M184" i="5"/>
  <c r="M195" i="5" s="1"/>
  <c r="M221" i="5" s="1"/>
  <c r="M158" i="5"/>
  <c r="J158" i="5"/>
  <c r="I157" i="5"/>
  <c r="L158" i="5"/>
  <c r="K158" i="5"/>
  <c r="K157" i="5"/>
  <c r="L157" i="5"/>
  <c r="I128" i="5" l="1"/>
  <c r="J128" i="5"/>
  <c r="K128" i="5"/>
  <c r="L128" i="5"/>
  <c r="M128" i="5"/>
  <c r="I172" i="5"/>
  <c r="D25" i="6"/>
  <c r="E25" i="6"/>
  <c r="F25" i="6"/>
  <c r="G25" i="6"/>
  <c r="H25" i="6"/>
  <c r="H26" i="6"/>
  <c r="D28" i="6"/>
  <c r="E28" i="6"/>
  <c r="F28" i="6"/>
  <c r="G28" i="6"/>
  <c r="H28" i="6"/>
  <c r="B30" i="6"/>
  <c r="B31" i="6"/>
  <c r="B33" i="6"/>
  <c r="I28" i="5"/>
  <c r="J28" i="5"/>
  <c r="K28" i="5"/>
  <c r="L28" i="5"/>
  <c r="M28" i="5"/>
  <c r="I32" i="5"/>
  <c r="J32" i="5"/>
  <c r="K32" i="5"/>
  <c r="L32" i="5"/>
  <c r="M32" i="5"/>
  <c r="I34" i="5"/>
  <c r="J34" i="5"/>
  <c r="K34" i="5"/>
  <c r="L34" i="5"/>
  <c r="M34" i="5"/>
  <c r="I36" i="5"/>
  <c r="J36" i="5"/>
  <c r="K36" i="5"/>
  <c r="L36" i="5"/>
  <c r="M36" i="5"/>
  <c r="I39" i="5"/>
  <c r="J39" i="5"/>
  <c r="K39" i="5"/>
  <c r="L39" i="5"/>
  <c r="M39" i="5"/>
  <c r="I40" i="5"/>
  <c r="J40" i="5"/>
  <c r="K40" i="5"/>
  <c r="L40" i="5"/>
  <c r="M40" i="5"/>
  <c r="I43" i="5"/>
  <c r="J43" i="5"/>
  <c r="K43" i="5"/>
  <c r="L43" i="5"/>
  <c r="M43" i="5"/>
  <c r="I44" i="5"/>
  <c r="J44" i="5"/>
  <c r="K44" i="5"/>
  <c r="L44" i="5"/>
  <c r="M44" i="5"/>
  <c r="I45" i="5"/>
  <c r="J45" i="5"/>
  <c r="K45" i="5"/>
  <c r="L45" i="5"/>
  <c r="M45" i="5"/>
  <c r="I47" i="5"/>
  <c r="J47" i="5"/>
  <c r="K47" i="5"/>
  <c r="L47" i="5"/>
  <c r="M47" i="5"/>
  <c r="I48" i="5"/>
  <c r="J48" i="5"/>
  <c r="K48" i="5"/>
  <c r="L48" i="5"/>
  <c r="M48" i="5"/>
  <c r="I49" i="5"/>
  <c r="J49" i="5"/>
  <c r="K49" i="5"/>
  <c r="L49" i="5"/>
  <c r="M49" i="5"/>
  <c r="I50" i="5"/>
  <c r="J50" i="5"/>
  <c r="K50" i="5"/>
  <c r="L50" i="5"/>
  <c r="M50" i="5"/>
  <c r="I52" i="5"/>
  <c r="J52" i="5"/>
  <c r="K52" i="5"/>
  <c r="L52" i="5"/>
  <c r="M52" i="5"/>
  <c r="I53" i="5"/>
  <c r="J53" i="5"/>
  <c r="K53" i="5"/>
  <c r="L53" i="5"/>
  <c r="M53" i="5"/>
  <c r="I54" i="5"/>
  <c r="J54" i="5"/>
  <c r="K54" i="5"/>
  <c r="L54" i="5"/>
  <c r="M54" i="5"/>
  <c r="I58" i="5"/>
  <c r="J58" i="5"/>
  <c r="K58" i="5"/>
  <c r="L58" i="5"/>
  <c r="M58" i="5"/>
  <c r="I59" i="5"/>
  <c r="J59" i="5"/>
  <c r="K59" i="5"/>
  <c r="L59" i="5"/>
  <c r="M59" i="5"/>
  <c r="I64" i="5"/>
  <c r="J64" i="5"/>
  <c r="K64" i="5"/>
  <c r="L64" i="5"/>
  <c r="M64" i="5"/>
  <c r="I70" i="5"/>
  <c r="J70" i="5"/>
  <c r="K70" i="5"/>
  <c r="L70" i="5"/>
  <c r="M70" i="5"/>
  <c r="I73" i="5"/>
  <c r="J73" i="5"/>
  <c r="K73" i="5"/>
  <c r="L73" i="5"/>
  <c r="M73" i="5"/>
  <c r="I76" i="5"/>
  <c r="J76" i="5"/>
  <c r="K76" i="5"/>
  <c r="L76" i="5"/>
  <c r="M76" i="5"/>
  <c r="J81" i="5"/>
  <c r="K81" i="5"/>
  <c r="L81" i="5"/>
  <c r="M81" i="5"/>
  <c r="J86" i="5"/>
  <c r="K86" i="5"/>
  <c r="L86" i="5"/>
  <c r="M86" i="5"/>
  <c r="I89" i="5"/>
  <c r="J89" i="5"/>
  <c r="K89" i="5"/>
  <c r="L89" i="5"/>
  <c r="M89" i="5"/>
  <c r="I92" i="5"/>
  <c r="J92" i="5"/>
  <c r="K92" i="5"/>
  <c r="L92" i="5"/>
  <c r="M92" i="5"/>
  <c r="I101" i="5"/>
  <c r="J101" i="5"/>
  <c r="K101" i="5"/>
  <c r="L101" i="5"/>
  <c r="M101" i="5"/>
  <c r="I103" i="5"/>
  <c r="J103" i="5"/>
  <c r="K103" i="5"/>
  <c r="L103" i="5"/>
  <c r="M103" i="5"/>
  <c r="I104" i="5"/>
  <c r="J104" i="5"/>
  <c r="K104" i="5"/>
  <c r="L104" i="5"/>
  <c r="M104" i="5"/>
  <c r="I119" i="5"/>
  <c r="J119" i="5"/>
  <c r="K119" i="5"/>
  <c r="L119" i="5"/>
  <c r="M119" i="5"/>
  <c r="I122" i="5"/>
  <c r="J122" i="5"/>
  <c r="K122" i="5"/>
  <c r="L122" i="5"/>
  <c r="M122" i="5"/>
  <c r="I136" i="5"/>
  <c r="J136" i="5"/>
  <c r="K136" i="5"/>
  <c r="L136" i="5"/>
  <c r="M136" i="5"/>
  <c r="I139" i="5"/>
  <c r="J139" i="5"/>
  <c r="K139" i="5"/>
  <c r="L139" i="5"/>
  <c r="M139" i="5"/>
  <c r="I141" i="5"/>
  <c r="J141" i="5"/>
  <c r="K141" i="5"/>
  <c r="L141" i="5"/>
  <c r="M141" i="5"/>
  <c r="J144" i="5"/>
  <c r="K144" i="5"/>
  <c r="L144" i="5"/>
  <c r="M144" i="5"/>
  <c r="I145" i="5"/>
  <c r="J145" i="5"/>
  <c r="K145" i="5"/>
  <c r="L145" i="5"/>
  <c r="M145" i="5"/>
  <c r="I146" i="5"/>
  <c r="J146" i="5"/>
  <c r="K146" i="5"/>
  <c r="L146" i="5"/>
  <c r="M146" i="5"/>
  <c r="I147" i="5"/>
  <c r="J147" i="5"/>
  <c r="K147" i="5"/>
  <c r="L147" i="5"/>
  <c r="M147" i="5"/>
  <c r="I150" i="5"/>
  <c r="J150" i="5"/>
  <c r="K150" i="5"/>
  <c r="L150" i="5"/>
  <c r="M150" i="5"/>
  <c r="I152" i="5"/>
  <c r="J152" i="5"/>
  <c r="K152" i="5"/>
  <c r="L152" i="5"/>
  <c r="M152" i="5"/>
  <c r="J153" i="5"/>
  <c r="K153" i="5"/>
  <c r="L153" i="5"/>
  <c r="M153" i="5"/>
  <c r="I154" i="5"/>
  <c r="J154" i="5"/>
  <c r="K154" i="5"/>
  <c r="L154" i="5"/>
  <c r="M154" i="5"/>
  <c r="J163" i="5"/>
  <c r="K163" i="5"/>
  <c r="L163" i="5"/>
  <c r="M163" i="5"/>
  <c r="I164" i="5"/>
  <c r="J164" i="5"/>
  <c r="K164" i="5"/>
  <c r="L164" i="5"/>
  <c r="M164" i="5"/>
  <c r="I165" i="5"/>
  <c r="J165" i="5"/>
  <c r="K165" i="5"/>
  <c r="L165" i="5"/>
  <c r="M165" i="5"/>
  <c r="I166" i="5"/>
  <c r="J166" i="5"/>
  <c r="K166" i="5"/>
  <c r="L166" i="5"/>
  <c r="M166" i="5"/>
  <c r="J168" i="5"/>
  <c r="K168" i="5"/>
  <c r="L168" i="5"/>
  <c r="M168" i="5"/>
  <c r="J169" i="5"/>
  <c r="K169" i="5"/>
  <c r="L169" i="5"/>
  <c r="M169" i="5"/>
  <c r="J172" i="5"/>
  <c r="K172" i="5"/>
  <c r="L172" i="5"/>
  <c r="M172" i="5"/>
  <c r="I175" i="5"/>
  <c r="J175" i="5"/>
  <c r="K175" i="5"/>
  <c r="L175" i="5"/>
  <c r="M175" i="5"/>
  <c r="J176" i="5"/>
  <c r="K176" i="5"/>
  <c r="L176" i="5"/>
  <c r="M176" i="5"/>
  <c r="I177" i="5"/>
  <c r="J177" i="5"/>
  <c r="K177" i="5"/>
  <c r="L177" i="5"/>
  <c r="M177" i="5"/>
  <c r="I180" i="5"/>
  <c r="J180" i="5"/>
  <c r="K180" i="5"/>
  <c r="L180" i="5"/>
  <c r="M180" i="5"/>
  <c r="I182" i="5"/>
  <c r="J182" i="5"/>
  <c r="K182" i="5"/>
  <c r="L182" i="5"/>
  <c r="M182" i="5"/>
  <c r="J186" i="5"/>
  <c r="K186" i="5"/>
  <c r="L186" i="5"/>
  <c r="M186" i="5"/>
  <c r="I187" i="5"/>
  <c r="J187" i="5"/>
  <c r="K187" i="5"/>
  <c r="L187" i="5"/>
  <c r="M187" i="5"/>
  <c r="I190" i="5"/>
  <c r="J190" i="5"/>
  <c r="K190" i="5"/>
  <c r="L190" i="5"/>
  <c r="M190" i="5"/>
  <c r="I193" i="5"/>
  <c r="J193" i="5"/>
  <c r="K193" i="5"/>
  <c r="L193" i="5"/>
  <c r="M193" i="5"/>
  <c r="J197" i="5"/>
  <c r="K197" i="5"/>
  <c r="L197" i="5"/>
  <c r="M197" i="5"/>
  <c r="I198" i="5"/>
  <c r="J198" i="5"/>
  <c r="K198" i="5"/>
  <c r="L198" i="5"/>
  <c r="M198" i="5"/>
  <c r="I199" i="5"/>
  <c r="J199" i="5"/>
  <c r="K199" i="5"/>
  <c r="L199" i="5"/>
  <c r="M199" i="5"/>
  <c r="I201" i="5"/>
  <c r="J201" i="5"/>
  <c r="K201" i="5"/>
  <c r="L201" i="5"/>
  <c r="M201" i="5"/>
  <c r="I202" i="5"/>
  <c r="J202" i="5"/>
  <c r="K202" i="5"/>
  <c r="L202" i="5"/>
  <c r="M202" i="5"/>
  <c r="I205" i="5"/>
  <c r="J205" i="5"/>
  <c r="K205" i="5"/>
  <c r="L205" i="5"/>
  <c r="M205" i="5"/>
  <c r="I207" i="5"/>
  <c r="J207" i="5"/>
  <c r="K207" i="5"/>
  <c r="L207" i="5"/>
  <c r="M207" i="5"/>
  <c r="I209" i="5"/>
  <c r="J209" i="5"/>
  <c r="K209" i="5"/>
  <c r="L209" i="5"/>
  <c r="M209" i="5"/>
  <c r="I217" i="5"/>
  <c r="J217" i="5"/>
  <c r="K217" i="5"/>
  <c r="L217" i="5"/>
  <c r="M217" i="5"/>
  <c r="I219" i="5"/>
  <c r="J219" i="5"/>
  <c r="K219" i="5"/>
  <c r="L219" i="5"/>
  <c r="M219" i="5"/>
</calcChain>
</file>

<file path=xl/sharedStrings.xml><?xml version="1.0" encoding="utf-8"?>
<sst xmlns="http://schemas.openxmlformats.org/spreadsheetml/2006/main" count="435" uniqueCount="343">
  <si>
    <t>12 months ending 2014-12-31</t>
  </si>
  <si>
    <t>12 months ending 2015-12-31</t>
  </si>
  <si>
    <t>12 months ending 2016-12-31</t>
  </si>
  <si>
    <t>12 months ending 2017-12-31</t>
  </si>
  <si>
    <t>12 months ending 2018-12-31</t>
  </si>
  <si>
    <t>In Millions of THB (except for per share items)</t>
  </si>
  <si>
    <t>Revenue</t>
  </si>
  <si>
    <t>Cost Of Goods Sold</t>
  </si>
  <si>
    <t>Gross Profit</t>
  </si>
  <si>
    <t>Selling General &amp; Admin Exp.</t>
  </si>
  <si>
    <t>Provision for Bad Debts</t>
  </si>
  <si>
    <t>R &amp; D Exp.</t>
  </si>
  <si>
    <t>Depreciation &amp; Amort.</t>
  </si>
  <si>
    <t>Other Operating Expense/(Income)</t>
  </si>
  <si>
    <t>Other Operating Exp., Total</t>
  </si>
  <si>
    <t>Operating Income</t>
  </si>
  <si>
    <t>Interest Expense</t>
  </si>
  <si>
    <t>Interest and Invest. Income</t>
  </si>
  <si>
    <t>Net Interest Exp.</t>
  </si>
  <si>
    <t>Income (loss) equity invest/affiliate</t>
  </si>
  <si>
    <t>Currency exchange gains(loss)</t>
  </si>
  <si>
    <t>Other Non-Operating Inc. (Exp.)</t>
  </si>
  <si>
    <t>EBT Excl. Unusual Items</t>
  </si>
  <si>
    <t>Impairment of Goodwill</t>
  </si>
  <si>
    <t>Gain (Loss) On Sale Of Invest</t>
  </si>
  <si>
    <t>Gain (Loss) On Sale Of Assets</t>
  </si>
  <si>
    <t>Asset Writedown</t>
  </si>
  <si>
    <t>Insurance Settlements</t>
  </si>
  <si>
    <t>Legal Settlements</t>
  </si>
  <si>
    <t>Other Unusual Items</t>
  </si>
  <si>
    <t>EBT Incl. Unusual Items</t>
  </si>
  <si>
    <t>Income Tax Expense</t>
  </si>
  <si>
    <t>Earnings from Cont. Operations</t>
  </si>
  <si>
    <t>Earnings of Discontinued Operations</t>
  </si>
  <si>
    <t>Extraord. Item &amp; Account. Change</t>
  </si>
  <si>
    <t>Net Income to Company</t>
  </si>
  <si>
    <t>Minority Int. in Earnings</t>
  </si>
  <si>
    <t>Net Income</t>
  </si>
  <si>
    <t>Pref. Dividends and Other Adj.</t>
  </si>
  <si>
    <t>NI to Common Incl Extra Items</t>
  </si>
  <si>
    <t>NI to Common Excl. Extra Items</t>
  </si>
  <si>
    <t>Basic EPS</t>
  </si>
  <si>
    <t>Basic EPS Excl. Extra Items</t>
  </si>
  <si>
    <t>Weighted Avg. Basic Shares Out.</t>
  </si>
  <si>
    <t>Diluted EPS</t>
  </si>
  <si>
    <t>Diluted EPS Excl. Extra Items</t>
  </si>
  <si>
    <t>Weighted Avg. Diluted Shares Out.</t>
  </si>
  <si>
    <t>Normalized Basic EPS</t>
  </si>
  <si>
    <t>Normalized Diluted EPS</t>
  </si>
  <si>
    <t>Dividends per Share</t>
  </si>
  <si>
    <t>Payout Ratio %</t>
  </si>
  <si>
    <t>EBITDA</t>
  </si>
  <si>
    <t>EBITA</t>
  </si>
  <si>
    <t>EBIT</t>
  </si>
  <si>
    <t>EBITDAR</t>
  </si>
  <si>
    <t>As Reported Total Revenue*</t>
  </si>
  <si>
    <t>Effective Tax Rate %</t>
  </si>
  <si>
    <t>Current Domestic Taxes</t>
  </si>
  <si>
    <t>Total Current Taxes</t>
  </si>
  <si>
    <t>Deferred Domestic Taxes</t>
  </si>
  <si>
    <t>Total Deferred Taxes</t>
  </si>
  <si>
    <t>Normalized Net Income</t>
  </si>
  <si>
    <t>ST Investments</t>
  </si>
  <si>
    <t>Trading Asset Securities</t>
  </si>
  <si>
    <t>Cash And Equivalents</t>
  </si>
  <si>
    <t>Total Cash &amp; ST Investments</t>
  </si>
  <si>
    <t>Accounts Receivable</t>
  </si>
  <si>
    <t>Other Receivables</t>
  </si>
  <si>
    <t>Notes Receivable</t>
  </si>
  <si>
    <t>Total Receivables</t>
  </si>
  <si>
    <t>Inventory</t>
  </si>
  <si>
    <t>Prepaid Exp.</t>
  </si>
  <si>
    <t>Other Current Assets</t>
  </si>
  <si>
    <t>Total Current Assets</t>
  </si>
  <si>
    <t>Gross Property, Plant &amp; Equipment</t>
  </si>
  <si>
    <t>Accumulated Depreciation</t>
  </si>
  <si>
    <t>Net Property, Plant &amp; Equipment</t>
  </si>
  <si>
    <t>Long Term Investments</t>
  </si>
  <si>
    <t>Goodwill</t>
  </si>
  <si>
    <t>Other Intangibles</t>
  </si>
  <si>
    <t>Loans Receivable Long-Term</t>
  </si>
  <si>
    <t>Accounts Receivable LT</t>
  </si>
  <si>
    <t>Deferred Tax Assets, LT</t>
  </si>
  <si>
    <t>Deferred charges LT</t>
  </si>
  <si>
    <t>Other Long-Term Assets</t>
  </si>
  <si>
    <t>Total Assets</t>
  </si>
  <si>
    <t>Accounts Payable</t>
  </si>
  <si>
    <t>Accrued Exp.</t>
  </si>
  <si>
    <t>Short-term Borrowings</t>
  </si>
  <si>
    <t>Curr. Port. of LT Debt</t>
  </si>
  <si>
    <t>Curr. Port. of Cap. Leases</t>
  </si>
  <si>
    <t>Curr. Income Taxes Payable</t>
  </si>
  <si>
    <t>Unearned Rev, Current</t>
  </si>
  <si>
    <t>Other Current Liabilities</t>
  </si>
  <si>
    <t>Total Current Liabilities</t>
  </si>
  <si>
    <t>Long-Term Debt</t>
  </si>
  <si>
    <t>Capital Leases</t>
  </si>
  <si>
    <t>Unearned Revenue, Non-Current</t>
  </si>
  <si>
    <t>Pension &amp; Other Post-Retire. Benefits</t>
  </si>
  <si>
    <t>Deferred Tax Liability Non-Current</t>
  </si>
  <si>
    <t>Other Non-Current Liabilities</t>
  </si>
  <si>
    <t>Total Liabilities</t>
  </si>
  <si>
    <t>Common Stock</t>
  </si>
  <si>
    <t>Additional Paid In Capital</t>
  </si>
  <si>
    <t>Retained Earnings</t>
  </si>
  <si>
    <t>Treasury Stock</t>
  </si>
  <si>
    <t>Comprehensive Inc. and Other</t>
  </si>
  <si>
    <t>Total Common Equity</t>
  </si>
  <si>
    <t>Total Equity</t>
  </si>
  <si>
    <t>Minority Interest</t>
  </si>
  <si>
    <t>Total Liabilities And Equity</t>
  </si>
  <si>
    <t>Total Shares Out. on Filing Date</t>
  </si>
  <si>
    <t>Total Shares Out. on Balance Sheet Date</t>
  </si>
  <si>
    <t>Book Value/Share</t>
  </si>
  <si>
    <t>Tangible Book Value</t>
  </si>
  <si>
    <t>Tangible Book Value/Share</t>
  </si>
  <si>
    <t>Total Debt</t>
  </si>
  <si>
    <t>Net Debt</t>
  </si>
  <si>
    <t>Debt Equivalent of Unfunded Proj. Benefit Obligation</t>
  </si>
  <si>
    <t>Debt Equivalent Oper. Leases</t>
  </si>
  <si>
    <t>Total Minority Interest</t>
  </si>
  <si>
    <t>Amort. of Goodwill and Intangibles</t>
  </si>
  <si>
    <t>Other Amortization</t>
  </si>
  <si>
    <t>Depreciation &amp; Amort., Total</t>
  </si>
  <si>
    <t>(Gain) Loss From Sale Of Assets</t>
  </si>
  <si>
    <t>Gain (Loss) on Sale of Equipment/ Investment</t>
  </si>
  <si>
    <t>Asset Writedown &amp; Restructuring Costs</t>
  </si>
  <si>
    <t>Income(loss) on Equity Invest</t>
  </si>
  <si>
    <t>Stock-Based Compensation</t>
  </si>
  <si>
    <t>Provision &amp; Write-off of Bad debts</t>
  </si>
  <si>
    <t>Net Cash from Discontinued Operations</t>
  </si>
  <si>
    <t>Other Operating Activities</t>
  </si>
  <si>
    <t>Change in Acc. Receivable</t>
  </si>
  <si>
    <t>Change In Inventories</t>
  </si>
  <si>
    <t>Change in Acc. Payable</t>
  </si>
  <si>
    <t>Change in Unearned Rev.</t>
  </si>
  <si>
    <t>Change in Income Taxes</t>
  </si>
  <si>
    <t>Change in Other Net Operating Assets</t>
  </si>
  <si>
    <t>Cash from Operations</t>
  </si>
  <si>
    <t>Capital Expenditure</t>
  </si>
  <si>
    <t>Sale of Property, Plant, and Equipment</t>
  </si>
  <si>
    <t>Cash Acquisitions</t>
  </si>
  <si>
    <t>Divestitures</t>
  </si>
  <si>
    <t>Sale (Purchase) of Real Estate properties</t>
  </si>
  <si>
    <t>Sale (Purchase) of Intangible assets</t>
  </si>
  <si>
    <t>Invest. in Marketable &amp; Equity Securt.</t>
  </si>
  <si>
    <t>Net (Inc.) Dec. in Loans Originated/Sold</t>
  </si>
  <si>
    <t>Other Investing Activities</t>
  </si>
  <si>
    <t>Cash from Investing</t>
  </si>
  <si>
    <t>Short Term Debt Issued</t>
  </si>
  <si>
    <t>Long-Term Debt Issued</t>
  </si>
  <si>
    <t>Total Debt Issued</t>
  </si>
  <si>
    <t>Short Term Debt Repaid</t>
  </si>
  <si>
    <t>Long-Term Debt Repaid</t>
  </si>
  <si>
    <t>Total Debt Repaid</t>
  </si>
  <si>
    <t>Issuance of Common Stock</t>
  </si>
  <si>
    <t>Repurchase of Common Stock</t>
  </si>
  <si>
    <t>Common Dividends Paid</t>
  </si>
  <si>
    <t>Common &amp; Preferred Stock Dividend Paid</t>
  </si>
  <si>
    <t>Total Dividends Paid</t>
  </si>
  <si>
    <t>Special Dividend Paid</t>
  </si>
  <si>
    <t>Other Financing Activities</t>
  </si>
  <si>
    <t>Cash from Financing</t>
  </si>
  <si>
    <t>Foreign Exchange Rate Adj.</t>
  </si>
  <si>
    <t>Misc. Cash Flow Adj.</t>
  </si>
  <si>
    <t>Net Change in Cash</t>
  </si>
  <si>
    <t>Cash Interest Paid</t>
  </si>
  <si>
    <t>Cash Taxes Paid</t>
  </si>
  <si>
    <t>Levered Free Cash Flow</t>
  </si>
  <si>
    <t>Unlevered Free Cash Flow</t>
  </si>
  <si>
    <t>Change in Net Working Capital</t>
  </si>
  <si>
    <t>Net Debt Issued</t>
  </si>
  <si>
    <t>HMPRO : บริษัท โฮม โปรดักส์ เซ็นเตอร์ จำกัด (มหาชน)</t>
  </si>
  <si>
    <t>amounts in millions, except per share data</t>
  </si>
  <si>
    <t>Historical</t>
  </si>
  <si>
    <t>Projected</t>
  </si>
  <si>
    <t>INCOME STATEMENT</t>
  </si>
  <si>
    <t>COMMENTS</t>
  </si>
  <si>
    <t>Growth (%)</t>
  </si>
  <si>
    <t>NA</t>
  </si>
  <si>
    <t>GDP Growth 3.8%, Inflation = ??</t>
  </si>
  <si>
    <t>Cost of Goods Sold</t>
  </si>
  <si>
    <t>% of Sales</t>
  </si>
  <si>
    <t>Operating Expenses (SG&amp;A)</t>
  </si>
  <si>
    <t>Operating Income (EBIT)</t>
  </si>
  <si>
    <t>Operating Profit Margin (%)</t>
  </si>
  <si>
    <t>Interest and Investment Income</t>
  </si>
  <si>
    <t>Small impact (keep constant or zero out).</t>
  </si>
  <si>
    <t>ON</t>
  </si>
  <si>
    <t>Use toggle to keep zero or link to schedule below.</t>
  </si>
  <si>
    <t>Other</t>
  </si>
  <si>
    <t>Small impact / not recurring.</t>
  </si>
  <si>
    <t>Earnings Before Taxes (EBT)</t>
  </si>
  <si>
    <t>Tax Rate</t>
  </si>
  <si>
    <t>Net Profit Margin (%)</t>
  </si>
  <si>
    <t>Depreciation &amp; Amortization (D&amp;A)</t>
  </si>
  <si>
    <t>EBITDA Margin (%)</t>
  </si>
  <si>
    <t>CFO</t>
  </si>
  <si>
    <t>Int(1-T)</t>
  </si>
  <si>
    <t>CAPEX</t>
  </si>
  <si>
    <t>FCFF</t>
  </si>
  <si>
    <t>ROA</t>
  </si>
  <si>
    <t>ROE</t>
  </si>
  <si>
    <t>ROIC</t>
  </si>
  <si>
    <t>Shares (millions)</t>
  </si>
  <si>
    <t>Use toggle to keep constant or link to schedule below.</t>
  </si>
  <si>
    <t>Revenue Per Share</t>
  </si>
  <si>
    <t>Earnings Per Share</t>
  </si>
  <si>
    <t>Dividend Per Share</t>
  </si>
  <si>
    <t>BALANCE SHEET</t>
  </si>
  <si>
    <t>Current Assets</t>
  </si>
  <si>
    <t>Cash</t>
  </si>
  <si>
    <t>Merchandise Inventories</t>
  </si>
  <si>
    <t>Fixed Assets</t>
  </si>
  <si>
    <t>PP&amp;E, Net of Accum. Depreciation</t>
  </si>
  <si>
    <t>Straight line projection.</t>
  </si>
  <si>
    <t>Other Fixed Assets</t>
  </si>
  <si>
    <t>TOTAL ASSETS</t>
  </si>
  <si>
    <t>Current Liabilities</t>
  </si>
  <si>
    <t>Accrued Salaries and Related Expenses</t>
  </si>
  <si>
    <t>Sales Taxes Payable</t>
  </si>
  <si>
    <t>Deferred Revenue</t>
  </si>
  <si>
    <t>Income Taxes Payable</t>
  </si>
  <si>
    <t>Current Installments of Long-Term Debt</t>
  </si>
  <si>
    <t>Other Accrued Expenses</t>
  </si>
  <si>
    <t>Long Term Liabilities</t>
  </si>
  <si>
    <t>Other Long-Term Liabilities</t>
  </si>
  <si>
    <t>TOTAL LIABILITIES</t>
  </si>
  <si>
    <t>Accumulated Other Comprehensive Income</t>
  </si>
  <si>
    <t>Non-controlling Interest</t>
  </si>
  <si>
    <t>TOTAL EQUITY</t>
  </si>
  <si>
    <t>TOTAL LIABILITIES &amp; EQUITY</t>
  </si>
  <si>
    <t>Check</t>
  </si>
  <si>
    <t>BALANCE SHEET ASSUMPTIONS</t>
  </si>
  <si>
    <t>Project With:</t>
  </si>
  <si>
    <t>Using</t>
  </si>
  <si>
    <t>DSO</t>
  </si>
  <si>
    <t>DSO: Days Sales Outstanding</t>
  </si>
  <si>
    <t>COGS</t>
  </si>
  <si>
    <t>DIO</t>
  </si>
  <si>
    <t>DIO: Days Inventory Outstanding</t>
  </si>
  <si>
    <t>% of Rev</t>
  </si>
  <si>
    <t>DPO</t>
  </si>
  <si>
    <t>DPO: Days Payable Outstanding</t>
  </si>
  <si>
    <t>SG&amp;A</t>
  </si>
  <si>
    <t>Days</t>
  </si>
  <si>
    <t>CASH FLOW STATEMENT</t>
  </si>
  <si>
    <t>CASH FLOW FROM OPERATING ACTIVITIES</t>
  </si>
  <si>
    <t>Add Back Non-Cash Items</t>
  </si>
  <si>
    <t>Depreciation &amp; Amortization</t>
  </si>
  <si>
    <t>Goodwill Impairment</t>
  </si>
  <si>
    <t>Changes in Working Capital</t>
  </si>
  <si>
    <t>Net Cash Provided by Operating Activities</t>
  </si>
  <si>
    <t>CASH FLOW FROM INVESTING ACTIVITIES</t>
  </si>
  <si>
    <t>Capital Expenditures - Purchase of PP&amp;E</t>
  </si>
  <si>
    <t>Net Cash Used in Investing Activities</t>
  </si>
  <si>
    <t>CASH FLOW FROM FINANCING ACTIVITIES</t>
  </si>
  <si>
    <t>Long Term Debt</t>
  </si>
  <si>
    <t>Repurchases of Common Stock</t>
  </si>
  <si>
    <t>Cash Dividends Paid</t>
  </si>
  <si>
    <t>Includes: Options Proceeds.</t>
  </si>
  <si>
    <t>Net Cash Provided by (Used in) Finance Activities</t>
  </si>
  <si>
    <t>Net Cash Flow</t>
  </si>
  <si>
    <t>Beginning Cash Balance</t>
  </si>
  <si>
    <t>Ending Cash Balance</t>
  </si>
  <si>
    <t>Supporting Schedules</t>
  </si>
  <si>
    <t>DEBT SCHEDULE</t>
  </si>
  <si>
    <t>Revolving Credit Facility (Line of Credit)</t>
  </si>
  <si>
    <t>Cash Balance @ Beg of Year (End of Last Year)</t>
  </si>
  <si>
    <t>Plus: Free Cash Flow from Operations and Investing</t>
  </si>
  <si>
    <t>Plus: Free Cash Flow from Financing (Exclude LT Debt)</t>
  </si>
  <si>
    <t>Total Cash Available or (Required) from LT Debt</t>
  </si>
  <si>
    <t>Current Ratio</t>
  </si>
  <si>
    <t>Cash Required</t>
  </si>
  <si>
    <t>Minimum Cash Balance</t>
  </si>
  <si>
    <t>Total Long Term Debt</t>
  </si>
  <si>
    <t>Current Portion of Long Term Debt</t>
  </si>
  <si>
    <t>Long Term Debt, Net of Current Maturities</t>
  </si>
  <si>
    <t>Interest Rate</t>
  </si>
  <si>
    <t>Total Interest Expense</t>
  </si>
  <si>
    <t>PP&amp;E SCHEDULE</t>
  </si>
  <si>
    <t>Beg: PP&amp;E, Net of Accum. Depreciation</t>
  </si>
  <si>
    <t>Plus: Capital Expenditures</t>
  </si>
  <si>
    <t>Converge to depreciation expense in terminal year</t>
  </si>
  <si>
    <t>Less: Depreciation</t>
  </si>
  <si>
    <t>Depreciation as % of net PP&amp;E</t>
  </si>
  <si>
    <t>End: PP&amp;E, Net of Accum. Depreciation</t>
  </si>
  <si>
    <t>STOCKHOLDERS' EQUITY SCHEDULE</t>
  </si>
  <si>
    <t>Beg: Equity Balance</t>
  </si>
  <si>
    <t>Pull from Income Statement.</t>
  </si>
  <si>
    <t>Calculated below.</t>
  </si>
  <si>
    <t>Option Proceeds</t>
  </si>
  <si>
    <t>Cash Dividends</t>
  </si>
  <si>
    <t>End: Equity Balance</t>
  </si>
  <si>
    <t>Share Repurchase Assumptions</t>
  </si>
  <si>
    <t>Current Year EPS</t>
  </si>
  <si>
    <t>Assumed Current Year P/E Multiple</t>
  </si>
  <si>
    <t xml:space="preserve">Current P/E (ttm). </t>
  </si>
  <si>
    <t>Projected Share Price</t>
  </si>
  <si>
    <t>Shares Repurchased (millions)</t>
  </si>
  <si>
    <t>Look at repurchase program to determine if feasible.</t>
  </si>
  <si>
    <t>Repurchase of Common Stock (฿)</t>
  </si>
  <si>
    <t xml:space="preserve">Look at repurchase program to determine if feasible. </t>
  </si>
  <si>
    <t>New Shares from Exercised Options</t>
  </si>
  <si>
    <t>New Shares Issued from Options (millions)</t>
  </si>
  <si>
    <t>Assumption for new shares issued.</t>
  </si>
  <si>
    <t>Average Strike Price</t>
  </si>
  <si>
    <t>Use avg. strike price based upon strike price as of latest BS.</t>
  </si>
  <si>
    <t>Dividend Assumptions</t>
  </si>
  <si>
    <t>Cash Dividend Payout Ratio</t>
  </si>
  <si>
    <t>SHARES OUTSTANDING SCHEDULE</t>
  </si>
  <si>
    <t>Beg: Basic</t>
  </si>
  <si>
    <t>Shares Issued from Options</t>
  </si>
  <si>
    <t>Shares Repurchased</t>
  </si>
  <si>
    <t>End: Basic</t>
  </si>
  <si>
    <t>WACC</t>
  </si>
  <si>
    <t>Debt</t>
  </si>
  <si>
    <t>Equity</t>
  </si>
  <si>
    <t>Wd</t>
  </si>
  <si>
    <t>We</t>
  </si>
  <si>
    <t>Cost of Debt (Kd)</t>
  </si>
  <si>
    <t>Risk Free Rate</t>
  </si>
  <si>
    <t>Market Rate</t>
  </si>
  <si>
    <t>Beta</t>
  </si>
  <si>
    <t>Cost of Equity (Ke)</t>
  </si>
  <si>
    <t>DCF</t>
  </si>
  <si>
    <t>Free Cash Flow to Firm (FCFF)</t>
  </si>
  <si>
    <t>Terminal Value of FCFF</t>
  </si>
  <si>
    <t>Terminal Growth Rate</t>
  </si>
  <si>
    <t>Total Cash Flow</t>
  </si>
  <si>
    <t>Enterprise Value</t>
  </si>
  <si>
    <t>Equity Value</t>
  </si>
  <si>
    <t>Share</t>
  </si>
  <si>
    <t>Intrinsic Price</t>
  </si>
  <si>
    <t>Others Revenue</t>
  </si>
  <si>
    <t>Total Revenue</t>
  </si>
  <si>
    <t>Interest and Other Income (Expense), net</t>
  </si>
  <si>
    <t>Interest and Other Expense (Income):</t>
  </si>
  <si>
    <t>Inventories</t>
  </si>
  <si>
    <t>Prepaid Expenses</t>
  </si>
  <si>
    <t>Accrued Expenses</t>
  </si>
  <si>
    <t>ST Debt and Curr. Port. of LT Debt</t>
  </si>
  <si>
    <t>LT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</si>
</sst>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&quot;฿&quot;#,##0.00;[Red]\-&quot;฿&quot;#,##0.00"/>
    <numFmt numFmtId="43" formatCode="_-* #,##0.00_-;\-* #,##0.00_-;_-* &quot;-&quot;??_-;_-@_-"/>
    <numFmt numFmtId="164" formatCode="_(* #,##0_);_(* \(#,##0\);_(* &quot;-&quot;_);_(@_)"/>
    <numFmt numFmtId="165" formatCode="0.0%"/>
    <numFmt numFmtId="166" formatCode="#,##0.0_);[Red]\(#,##0.0\)"/>
    <numFmt numFmtId="167" formatCode="_(&quot;฿&quot;* #,##0.00_);_(&quot;฿&quot;* \(#,##0.00\);_(&quot;฿&quot;* &quot;-&quot;??_);_(@_)"/>
    <numFmt numFmtId="168" formatCode="_(* #,##0.00_);_(* \(#,##0.00\);_(* &quot;-&quot;_);_(@_)"/>
    <numFmt numFmtId="169" formatCode="_(* #,##0.00_);_(* \(#,##0.00\);_(* &quot;-&quot;??_);_(@_)"/>
    <numFmt numFmtId="170" formatCode="_(* #,##0_);[Red]_(* \(#,##0\);_(* &quot;-&quot;_);_(@_)"/>
    <numFmt numFmtId="171" formatCode="0.0&quot;x &quot;"/>
    <numFmt numFmtId="172" formatCode="_(* #,##0.0_);_(* \(#,##0.0\);_(* &quot;-&quot;_);_(@_)"/>
    <numFmt numFmtId="173" formatCode="_(&quot;$&quot;* #,##0.00_);_(&quot;$&quot;* \(#,##0.00\);_(&quot;$&quot;* &quot;-&quot;??_);_(@_)"/>
    <numFmt numFmtId="174" formatCode="[$-1070000]d/m/yy;@"/>
    <numFmt numFmtId="175" formatCode="_-* #,##0_-;\(#,##0\)_-;_-* &quot;-&quot;_-;_-@_-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b/>
      <sz val="10"/>
      <color rgb="FF0070C0"/>
      <name val="Arial"/>
      <family val="2"/>
    </font>
    <font>
      <b/>
      <sz val="10"/>
      <color rgb="FF3333CC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i/>
      <sz val="8"/>
      <color rgb="FF0070C0"/>
      <name val="Arial"/>
      <family val="2"/>
    </font>
    <font>
      <b/>
      <i/>
      <sz val="8"/>
      <color rgb="FF3333CC"/>
      <name val="Arial"/>
      <family val="2"/>
    </font>
    <font>
      <b/>
      <sz val="8"/>
      <color theme="1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i/>
      <sz val="8"/>
      <color rgb="FF3333CC"/>
      <name val="Arial"/>
      <family val="2"/>
    </font>
    <font>
      <sz val="8"/>
      <name val="Arial"/>
      <family val="2"/>
    </font>
    <font>
      <u/>
      <sz val="8"/>
      <color theme="1"/>
      <name val="Arial"/>
      <family val="2"/>
    </font>
    <font>
      <sz val="8"/>
      <color rgb="FF0033CC"/>
      <name val="Arial"/>
      <family val="2"/>
    </font>
    <font>
      <b/>
      <sz val="8"/>
      <color rgb="FF00B050"/>
      <name val="Arial"/>
      <family val="2"/>
    </font>
    <font>
      <sz val="8"/>
      <color rgb="FF00B050"/>
      <name val="Arial"/>
      <family val="2"/>
    </font>
    <font>
      <sz val="8"/>
      <color rgb="FF0070C0"/>
      <name val="Arial"/>
      <family val="2"/>
    </font>
    <font>
      <i/>
      <sz val="8"/>
      <color rgb="FF0033CC"/>
      <name val="Arial"/>
      <family val="2"/>
    </font>
    <font>
      <sz val="8"/>
      <color rgb="FF3333CC"/>
      <name val="Arial"/>
      <family val="2"/>
    </font>
    <font>
      <sz val="10"/>
      <name val="Open Sans"/>
      <family val="2"/>
    </font>
    <font>
      <sz val="10"/>
      <color rgb="FF0000FF"/>
      <name val="Open Sans"/>
      <family val="2"/>
    </font>
    <font>
      <sz val="8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2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2" borderId="0" xfId="1" applyFont="1" applyFill="1"/>
    <xf numFmtId="0" fontId="4" fillId="2" borderId="0" xfId="1" applyFont="1" applyFill="1"/>
    <xf numFmtId="0" fontId="5" fillId="0" borderId="0" xfId="1" applyFont="1"/>
    <xf numFmtId="0" fontId="6" fillId="0" borderId="0" xfId="1" applyFont="1"/>
    <xf numFmtId="0" fontId="7" fillId="2" borderId="0" xfId="1" applyFont="1" applyFill="1"/>
    <xf numFmtId="0" fontId="8" fillId="2" borderId="0" xfId="1" applyFont="1" applyFill="1"/>
    <xf numFmtId="164" fontId="5" fillId="0" borderId="0" xfId="1" applyNumberFormat="1" applyFont="1"/>
    <xf numFmtId="0" fontId="9" fillId="0" borderId="0" xfId="1" applyFont="1"/>
    <xf numFmtId="0" fontId="10" fillId="0" borderId="0" xfId="1" applyFont="1" applyAlignment="1">
      <alignment horizontal="center"/>
    </xf>
    <xf numFmtId="0" fontId="11" fillId="0" borderId="0" xfId="1" applyFont="1" applyAlignment="1">
      <alignment horizontal="center"/>
    </xf>
    <xf numFmtId="0" fontId="12" fillId="0" borderId="0" xfId="1" applyFont="1"/>
    <xf numFmtId="0" fontId="13" fillId="3" borderId="0" xfId="1" applyFont="1" applyFill="1"/>
    <xf numFmtId="0" fontId="13" fillId="3" borderId="0" xfId="1" applyFont="1" applyFill="1" applyAlignment="1">
      <alignment horizontal="center"/>
    </xf>
    <xf numFmtId="0" fontId="11" fillId="0" borderId="0" xfId="1" applyFont="1"/>
    <xf numFmtId="164" fontId="14" fillId="0" borderId="0" xfId="1" applyNumberFormat="1" applyFont="1" applyAlignment="1">
      <alignment horizontal="center"/>
    </xf>
    <xf numFmtId="164" fontId="12" fillId="0" borderId="0" xfId="1" applyNumberFormat="1" applyFont="1"/>
    <xf numFmtId="164" fontId="9" fillId="0" borderId="0" xfId="1" applyNumberFormat="1" applyFont="1"/>
    <xf numFmtId="0" fontId="11" fillId="0" borderId="0" xfId="1" applyFont="1" applyAlignment="1">
      <alignment horizontal="left" indent="1"/>
    </xf>
    <xf numFmtId="9" fontId="10" fillId="0" borderId="0" xfId="1" applyNumberFormat="1" applyFont="1" applyAlignment="1">
      <alignment horizontal="right"/>
    </xf>
    <xf numFmtId="165" fontId="15" fillId="2" borderId="0" xfId="2" applyNumberFormat="1" applyFont="1" applyFill="1"/>
    <xf numFmtId="38" fontId="16" fillId="0" borderId="0" xfId="1" applyNumberFormat="1" applyFont="1"/>
    <xf numFmtId="164" fontId="16" fillId="2" borderId="0" xfId="1" applyNumberFormat="1" applyFont="1" applyFill="1"/>
    <xf numFmtId="165" fontId="10" fillId="0" borderId="0" xfId="1" applyNumberFormat="1" applyFont="1"/>
    <xf numFmtId="164" fontId="14" fillId="0" borderId="0" xfId="1" applyNumberFormat="1" applyFont="1"/>
    <xf numFmtId="0" fontId="12" fillId="0" borderId="0" xfId="1" applyFont="1" applyAlignment="1">
      <alignment horizontal="left" indent="1"/>
    </xf>
    <xf numFmtId="164" fontId="16" fillId="0" borderId="0" xfId="1" applyNumberFormat="1" applyFont="1"/>
    <xf numFmtId="0" fontId="9" fillId="0" borderId="2" xfId="1" applyFont="1" applyBorder="1"/>
    <xf numFmtId="164" fontId="14" fillId="0" borderId="2" xfId="1" applyNumberFormat="1" applyFont="1" applyBorder="1"/>
    <xf numFmtId="0" fontId="17" fillId="0" borderId="0" xfId="1" applyFont="1"/>
    <xf numFmtId="0" fontId="18" fillId="0" borderId="1" xfId="1" applyFont="1" applyBorder="1" applyAlignment="1">
      <alignment horizontal="center"/>
    </xf>
    <xf numFmtId="166" fontId="16" fillId="0" borderId="0" xfId="1" applyNumberFormat="1" applyFont="1"/>
    <xf numFmtId="0" fontId="9" fillId="0" borderId="0" xfId="1" applyFont="1" applyAlignment="1">
      <alignment horizontal="left" indent="1"/>
    </xf>
    <xf numFmtId="0" fontId="14" fillId="0" borderId="2" xfId="1" applyFont="1" applyBorder="1"/>
    <xf numFmtId="165" fontId="10" fillId="0" borderId="0" xfId="1" applyNumberFormat="1" applyFont="1" applyAlignment="1">
      <alignment horizontal="right"/>
    </xf>
    <xf numFmtId="165" fontId="10" fillId="0" borderId="0" xfId="2" applyNumberFormat="1" applyFont="1"/>
    <xf numFmtId="10" fontId="10" fillId="0" borderId="0" xfId="1" applyNumberFormat="1" applyFont="1"/>
    <xf numFmtId="0" fontId="12" fillId="4" borderId="2" xfId="1" applyFont="1" applyFill="1" applyBorder="1"/>
    <xf numFmtId="164" fontId="16" fillId="4" borderId="2" xfId="1" applyNumberFormat="1" applyFont="1" applyFill="1" applyBorder="1"/>
    <xf numFmtId="164" fontId="12" fillId="4" borderId="2" xfId="1" applyNumberFormat="1" applyFont="1" applyFill="1" applyBorder="1"/>
    <xf numFmtId="0" fontId="12" fillId="4" borderId="0" xfId="1" applyFont="1" applyFill="1"/>
    <xf numFmtId="164" fontId="16" fillId="4" borderId="0" xfId="1" applyNumberFormat="1" applyFont="1" applyFill="1"/>
    <xf numFmtId="164" fontId="12" fillId="4" borderId="0" xfId="1" applyNumberFormat="1" applyFont="1" applyFill="1"/>
    <xf numFmtId="0" fontId="9" fillId="4" borderId="0" xfId="1" applyFont="1" applyFill="1"/>
    <xf numFmtId="166" fontId="14" fillId="0" borderId="0" xfId="1" applyNumberFormat="1" applyFont="1"/>
    <xf numFmtId="0" fontId="11" fillId="4" borderId="0" xfId="1" applyFont="1" applyFill="1" applyAlignment="1">
      <alignment horizontal="left" indent="1"/>
    </xf>
    <xf numFmtId="165" fontId="10" fillId="4" borderId="0" xfId="1" applyNumberFormat="1" applyFont="1" applyFill="1"/>
    <xf numFmtId="38" fontId="14" fillId="4" borderId="0" xfId="1" applyNumberFormat="1" applyFont="1" applyFill="1"/>
    <xf numFmtId="43" fontId="12" fillId="0" borderId="0" xfId="1" applyNumberFormat="1" applyFont="1"/>
    <xf numFmtId="0" fontId="19" fillId="4" borderId="3" xfId="1" applyFont="1" applyFill="1" applyBorder="1"/>
    <xf numFmtId="0" fontId="20" fillId="4" borderId="3" xfId="1" applyFont="1" applyFill="1" applyBorder="1"/>
    <xf numFmtId="164" fontId="19" fillId="4" borderId="3" xfId="1" applyNumberFormat="1" applyFont="1" applyFill="1" applyBorder="1"/>
    <xf numFmtId="8" fontId="12" fillId="0" borderId="0" xfId="1" applyNumberFormat="1" applyFont="1"/>
    <xf numFmtId="10" fontId="12" fillId="0" borderId="0" xfId="2" applyNumberFormat="1" applyFont="1"/>
    <xf numFmtId="10" fontId="10" fillId="4" borderId="0" xfId="1" applyNumberFormat="1" applyFont="1" applyFill="1"/>
    <xf numFmtId="10" fontId="12" fillId="0" borderId="0" xfId="2" applyNumberFormat="1" applyFont="1" applyAlignment="1">
      <alignment horizontal="left"/>
    </xf>
    <xf numFmtId="0" fontId="18" fillId="4" borderId="1" xfId="1" applyFont="1" applyFill="1" applyBorder="1" applyAlignment="1">
      <alignment horizontal="center"/>
    </xf>
    <xf numFmtId="167" fontId="16" fillId="4" borderId="0" xfId="1" applyNumberFormat="1" applyFont="1" applyFill="1"/>
    <xf numFmtId="0" fontId="16" fillId="0" borderId="0" xfId="1" applyFont="1"/>
    <xf numFmtId="38" fontId="14" fillId="0" borderId="0" xfId="1" applyNumberFormat="1" applyFont="1"/>
    <xf numFmtId="0" fontId="12" fillId="0" borderId="0" xfId="1" applyFont="1" applyAlignment="1">
      <alignment horizontal="left" indent="2"/>
    </xf>
    <xf numFmtId="38" fontId="12" fillId="0" borderId="0" xfId="1" applyNumberFormat="1" applyFont="1"/>
    <xf numFmtId="0" fontId="9" fillId="0" borderId="2" xfId="1" applyFont="1" applyBorder="1" applyAlignment="1">
      <alignment horizontal="left" indent="1"/>
    </xf>
    <xf numFmtId="0" fontId="9" fillId="0" borderId="3" xfId="1" applyFont="1" applyBorder="1"/>
    <xf numFmtId="164" fontId="14" fillId="0" borderId="3" xfId="1" applyNumberFormat="1" applyFont="1" applyBorder="1"/>
    <xf numFmtId="168" fontId="12" fillId="0" borderId="0" xfId="1" applyNumberFormat="1" applyFont="1"/>
    <xf numFmtId="0" fontId="12" fillId="5" borderId="0" xfId="1" applyFont="1" applyFill="1" applyAlignment="1">
      <alignment horizontal="left" indent="2"/>
    </xf>
    <xf numFmtId="169" fontId="10" fillId="0" borderId="0" xfId="1" applyNumberFormat="1" applyFont="1"/>
    <xf numFmtId="0" fontId="12" fillId="4" borderId="0" xfId="1" applyFont="1" applyFill="1" applyAlignment="1">
      <alignment horizontal="center"/>
    </xf>
    <xf numFmtId="0" fontId="12" fillId="4" borderId="0" xfId="1" applyFont="1" applyFill="1" applyAlignment="1">
      <alignment horizontal="left" indent="1"/>
    </xf>
    <xf numFmtId="0" fontId="11" fillId="4" borderId="0" xfId="1" applyFont="1" applyFill="1" applyAlignment="1">
      <alignment horizontal="center"/>
    </xf>
    <xf numFmtId="166" fontId="16" fillId="4" borderId="0" xfId="1" applyNumberFormat="1" applyFont="1" applyFill="1"/>
    <xf numFmtId="165" fontId="16" fillId="4" borderId="0" xfId="1" applyNumberFormat="1" applyFont="1" applyFill="1"/>
    <xf numFmtId="0" fontId="9" fillId="0" borderId="0" xfId="1" applyFont="1" applyAlignment="1">
      <alignment horizontal="left" indent="2"/>
    </xf>
    <xf numFmtId="0" fontId="16" fillId="0" borderId="0" xfId="1" applyFont="1" applyAlignment="1">
      <alignment horizontal="left" indent="2"/>
    </xf>
    <xf numFmtId="0" fontId="9" fillId="0" borderId="0" xfId="1" applyFont="1" applyAlignment="1">
      <alignment horizontal="left" indent="3"/>
    </xf>
    <xf numFmtId="0" fontId="14" fillId="0" borderId="0" xfId="1" applyFont="1"/>
    <xf numFmtId="0" fontId="9" fillId="0" borderId="2" xfId="1" applyFont="1" applyBorder="1" applyAlignment="1">
      <alignment horizontal="left" indent="3"/>
    </xf>
    <xf numFmtId="164" fontId="9" fillId="0" borderId="2" xfId="1" applyNumberFormat="1" applyFont="1" applyBorder="1"/>
    <xf numFmtId="0" fontId="12" fillId="6" borderId="0" xfId="1" applyFont="1" applyFill="1" applyAlignment="1">
      <alignment horizontal="left" indent="2"/>
    </xf>
    <xf numFmtId="0" fontId="12" fillId="7" borderId="0" xfId="1" applyFont="1" applyFill="1" applyAlignment="1">
      <alignment horizontal="left" indent="2"/>
    </xf>
    <xf numFmtId="0" fontId="12" fillId="8" borderId="0" xfId="1" applyFont="1" applyFill="1" applyAlignment="1">
      <alignment horizontal="left" indent="2"/>
    </xf>
    <xf numFmtId="0" fontId="16" fillId="0" borderId="2" xfId="1" applyFont="1" applyBorder="1"/>
    <xf numFmtId="0" fontId="12" fillId="0" borderId="4" xfId="1" applyFont="1" applyBorder="1"/>
    <xf numFmtId="0" fontId="16" fillId="0" borderId="4" xfId="1" applyFont="1" applyBorder="1"/>
    <xf numFmtId="164" fontId="12" fillId="0" borderId="4" xfId="1" applyNumberFormat="1" applyFont="1" applyBorder="1"/>
    <xf numFmtId="0" fontId="12" fillId="0" borderId="3" xfId="1" applyFont="1" applyBorder="1"/>
    <xf numFmtId="0" fontId="16" fillId="0" borderId="3" xfId="1" applyFont="1" applyBorder="1"/>
    <xf numFmtId="164" fontId="12" fillId="0" borderId="3" xfId="1" applyNumberFormat="1" applyFont="1" applyBorder="1"/>
    <xf numFmtId="0" fontId="13" fillId="5" borderId="0" xfId="1" applyFont="1" applyFill="1"/>
    <xf numFmtId="0" fontId="13" fillId="5" borderId="0" xfId="1" applyFont="1" applyFill="1" applyAlignment="1">
      <alignment horizontal="center"/>
    </xf>
    <xf numFmtId="0" fontId="14" fillId="0" borderId="0" xfId="1" applyFont="1" applyAlignment="1">
      <alignment horizontal="center"/>
    </xf>
    <xf numFmtId="0" fontId="9" fillId="0" borderId="0" xfId="1" applyFont="1" applyAlignment="1">
      <alignment horizontal="left"/>
    </xf>
    <xf numFmtId="38" fontId="10" fillId="0" borderId="0" xfId="1" applyNumberFormat="1" applyFont="1" applyAlignment="1">
      <alignment horizontal="right"/>
    </xf>
    <xf numFmtId="0" fontId="11" fillId="0" borderId="0" xfId="1" applyFont="1" applyAlignment="1">
      <alignment horizontal="left" indent="2"/>
    </xf>
    <xf numFmtId="168" fontId="11" fillId="0" borderId="0" xfId="1" applyNumberFormat="1" applyFont="1"/>
    <xf numFmtId="168" fontId="15" fillId="2" borderId="0" xfId="1" applyNumberFormat="1" applyFont="1" applyFill="1"/>
    <xf numFmtId="164" fontId="15" fillId="2" borderId="0" xfId="1" applyNumberFormat="1" applyFont="1" applyFill="1"/>
    <xf numFmtId="10" fontId="22" fillId="2" borderId="0" xfId="1" applyNumberFormat="1" applyFont="1" applyFill="1"/>
    <xf numFmtId="38" fontId="14" fillId="0" borderId="3" xfId="1" applyNumberFormat="1" applyFont="1" applyBorder="1"/>
    <xf numFmtId="164" fontId="9" fillId="0" borderId="3" xfId="1" applyNumberFormat="1" applyFont="1" applyBorder="1"/>
    <xf numFmtId="0" fontId="9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38" fontId="23" fillId="0" borderId="0" xfId="1" applyNumberFormat="1" applyFont="1"/>
    <xf numFmtId="38" fontId="9" fillId="0" borderId="0" xfId="1" applyNumberFormat="1" applyFont="1"/>
    <xf numFmtId="38" fontId="9" fillId="0" borderId="3" xfId="1" applyNumberFormat="1" applyFont="1" applyBorder="1"/>
    <xf numFmtId="0" fontId="12" fillId="6" borderId="0" xfId="1" applyFont="1" applyFill="1" applyAlignment="1">
      <alignment horizontal="left" indent="1"/>
    </xf>
    <xf numFmtId="0" fontId="12" fillId="9" borderId="0" xfId="1" applyFont="1" applyFill="1" applyAlignment="1">
      <alignment horizontal="left" indent="1"/>
    </xf>
    <xf numFmtId="0" fontId="12" fillId="7" borderId="0" xfId="1" applyFont="1" applyFill="1" applyAlignment="1">
      <alignment horizontal="left" indent="1"/>
    </xf>
    <xf numFmtId="167" fontId="16" fillId="0" borderId="0" xfId="1" applyNumberFormat="1" applyFont="1"/>
    <xf numFmtId="171" fontId="18" fillId="2" borderId="0" xfId="1" applyNumberFormat="1" applyFont="1" applyFill="1"/>
    <xf numFmtId="164" fontId="23" fillId="2" borderId="0" xfId="1" applyNumberFormat="1" applyFont="1" applyFill="1"/>
    <xf numFmtId="0" fontId="12" fillId="6" borderId="3" xfId="1" applyFont="1" applyFill="1" applyBorder="1" applyAlignment="1">
      <alignment horizontal="left" indent="2"/>
    </xf>
    <xf numFmtId="0" fontId="12" fillId="0" borderId="3" xfId="1" applyFont="1" applyBorder="1" applyAlignment="1">
      <alignment horizontal="left" indent="2"/>
    </xf>
    <xf numFmtId="0" fontId="12" fillId="0" borderId="3" xfId="1" applyFont="1" applyBorder="1" applyAlignment="1">
      <alignment horizontal="left" indent="1"/>
    </xf>
    <xf numFmtId="164" fontId="16" fillId="2" borderId="3" xfId="1" applyNumberFormat="1" applyFont="1" applyFill="1" applyBorder="1"/>
    <xf numFmtId="0" fontId="12" fillId="9" borderId="0" xfId="1" applyFont="1" applyFill="1" applyAlignment="1">
      <alignment horizontal="left" indent="2"/>
    </xf>
    <xf numFmtId="172" fontId="16" fillId="2" borderId="0" xfId="1" applyNumberFormat="1" applyFont="1" applyFill="1"/>
    <xf numFmtId="172" fontId="23" fillId="2" borderId="0" xfId="1" applyNumberFormat="1" applyFont="1" applyFill="1"/>
    <xf numFmtId="173" fontId="23" fillId="2" borderId="0" xfId="1" applyNumberFormat="1" applyFont="1" applyFill="1"/>
    <xf numFmtId="0" fontId="12" fillId="9" borderId="3" xfId="1" applyFont="1" applyFill="1" applyBorder="1" applyAlignment="1">
      <alignment horizontal="left" indent="2"/>
    </xf>
    <xf numFmtId="165" fontId="16" fillId="0" borderId="0" xfId="1" applyNumberFormat="1" applyFont="1"/>
    <xf numFmtId="165" fontId="18" fillId="2" borderId="0" xfId="1" applyNumberFormat="1" applyFont="1" applyFill="1"/>
    <xf numFmtId="0" fontId="12" fillId="7" borderId="3" xfId="1" applyFont="1" applyFill="1" applyBorder="1" applyAlignment="1">
      <alignment horizontal="left" indent="2"/>
    </xf>
    <xf numFmtId="174" fontId="13" fillId="3" borderId="0" xfId="1" applyNumberFormat="1" applyFont="1" applyFill="1" applyAlignment="1">
      <alignment horizontal="center"/>
    </xf>
    <xf numFmtId="0" fontId="13" fillId="0" borderId="0" xfId="1" applyFont="1"/>
    <xf numFmtId="0" fontId="13" fillId="0" borderId="0" xfId="1" applyFont="1" applyAlignment="1">
      <alignment horizontal="center"/>
    </xf>
    <xf numFmtId="175" fontId="24" fillId="0" borderId="0" xfId="3" applyNumberFormat="1" applyFont="1"/>
    <xf numFmtId="175" fontId="25" fillId="0" borderId="0" xfId="3" applyNumberFormat="1" applyFont="1"/>
    <xf numFmtId="165" fontId="25" fillId="0" borderId="0" xfId="2" applyNumberFormat="1" applyFont="1" applyAlignment="1">
      <alignment horizontal="right"/>
    </xf>
    <xf numFmtId="9" fontId="12" fillId="0" borderId="0" xfId="2" applyFont="1"/>
    <xf numFmtId="169" fontId="25" fillId="0" borderId="0" xfId="3" applyNumberFormat="1" applyFont="1" applyAlignment="1">
      <alignment horizontal="right"/>
    </xf>
    <xf numFmtId="10" fontId="12" fillId="0" borderId="0" xfId="1" applyNumberFormat="1" applyFont="1"/>
    <xf numFmtId="168" fontId="9" fillId="0" borderId="0" xfId="1" applyNumberFormat="1" applyFont="1"/>
    <xf numFmtId="164" fontId="14" fillId="0" borderId="0" xfId="1" applyNumberFormat="1" applyFont="1" applyBorder="1" applyAlignment="1">
      <alignment horizontal="center"/>
    </xf>
    <xf numFmtId="165" fontId="10" fillId="0" borderId="0" xfId="1" applyNumberFormat="1" applyFont="1" applyBorder="1"/>
    <xf numFmtId="38" fontId="16" fillId="0" borderId="0" xfId="1" applyNumberFormat="1" applyFont="1" applyBorder="1"/>
    <xf numFmtId="164" fontId="16" fillId="2" borderId="0" xfId="1" applyNumberFormat="1" applyFont="1" applyFill="1" applyBorder="1"/>
    <xf numFmtId="164" fontId="14" fillId="0" borderId="0" xfId="1" applyNumberFormat="1" applyFont="1" applyBorder="1"/>
    <xf numFmtId="164" fontId="16" fillId="0" borderId="0" xfId="1" applyNumberFormat="1" applyFont="1" applyBorder="1"/>
    <xf numFmtId="10" fontId="10" fillId="0" borderId="0" xfId="1" applyNumberFormat="1" applyFont="1" applyBorder="1"/>
    <xf numFmtId="164" fontId="16" fillId="4" borderId="0" xfId="1" applyNumberFormat="1" applyFont="1" applyFill="1" applyBorder="1"/>
    <xf numFmtId="165" fontId="10" fillId="4" borderId="0" xfId="1" applyNumberFormat="1" applyFont="1" applyFill="1" applyBorder="1"/>
    <xf numFmtId="38" fontId="14" fillId="4" borderId="0" xfId="1" applyNumberFormat="1" applyFont="1" applyFill="1" applyBorder="1"/>
    <xf numFmtId="10" fontId="10" fillId="4" borderId="0" xfId="1" applyNumberFormat="1" applyFont="1" applyFill="1" applyBorder="1"/>
    <xf numFmtId="167" fontId="16" fillId="4" borderId="0" xfId="1" applyNumberFormat="1" applyFont="1" applyFill="1" applyBorder="1"/>
    <xf numFmtId="0" fontId="16" fillId="0" borderId="0" xfId="1" applyFont="1" applyBorder="1"/>
    <xf numFmtId="38" fontId="14" fillId="0" borderId="0" xfId="1" applyNumberFormat="1" applyFont="1" applyBorder="1"/>
    <xf numFmtId="164" fontId="12" fillId="0" borderId="0" xfId="1" applyNumberFormat="1" applyFont="1" applyBorder="1"/>
    <xf numFmtId="0" fontId="14" fillId="0" borderId="0" xfId="1" applyFont="1" applyBorder="1"/>
    <xf numFmtId="0" fontId="13" fillId="3" borderId="5" xfId="1" applyFont="1" applyFill="1" applyBorder="1" applyAlignment="1">
      <alignment horizontal="center"/>
    </xf>
    <xf numFmtId="164" fontId="12" fillId="0" borderId="5" xfId="1" applyNumberFormat="1" applyFont="1" applyBorder="1"/>
    <xf numFmtId="164" fontId="9" fillId="0" borderId="5" xfId="1" applyNumberFormat="1" applyFont="1" applyBorder="1"/>
    <xf numFmtId="165" fontId="15" fillId="2" borderId="5" xfId="2" applyNumberFormat="1" applyFont="1" applyFill="1" applyBorder="1"/>
    <xf numFmtId="0" fontId="12" fillId="0" borderId="5" xfId="1" applyFont="1" applyBorder="1"/>
    <xf numFmtId="164" fontId="14" fillId="0" borderId="5" xfId="1" applyNumberFormat="1" applyFont="1" applyBorder="1"/>
    <xf numFmtId="165" fontId="10" fillId="0" borderId="5" xfId="1" applyNumberFormat="1" applyFont="1" applyBorder="1"/>
    <xf numFmtId="164" fontId="16" fillId="0" borderId="5" xfId="1" applyNumberFormat="1" applyFont="1" applyBorder="1"/>
    <xf numFmtId="164" fontId="14" fillId="0" borderId="6" xfId="1" applyNumberFormat="1" applyFont="1" applyBorder="1"/>
    <xf numFmtId="10" fontId="10" fillId="0" borderId="5" xfId="1" applyNumberFormat="1" applyFont="1" applyBorder="1"/>
    <xf numFmtId="164" fontId="12" fillId="4" borderId="6" xfId="1" applyNumberFormat="1" applyFont="1" applyFill="1" applyBorder="1"/>
    <xf numFmtId="164" fontId="12" fillId="4" borderId="5" xfId="1" applyNumberFormat="1" applyFont="1" applyFill="1" applyBorder="1"/>
    <xf numFmtId="164" fontId="16" fillId="4" borderId="5" xfId="1" applyNumberFormat="1" applyFont="1" applyFill="1" applyBorder="1"/>
    <xf numFmtId="165" fontId="10" fillId="4" borderId="5" xfId="1" applyNumberFormat="1" applyFont="1" applyFill="1" applyBorder="1"/>
    <xf numFmtId="38" fontId="14" fillId="4" borderId="5" xfId="1" applyNumberFormat="1" applyFont="1" applyFill="1" applyBorder="1"/>
    <xf numFmtId="164" fontId="19" fillId="4" borderId="7" xfId="1" applyNumberFormat="1" applyFont="1" applyFill="1" applyBorder="1"/>
    <xf numFmtId="10" fontId="10" fillId="4" borderId="5" xfId="1" applyNumberFormat="1" applyFont="1" applyFill="1" applyBorder="1"/>
    <xf numFmtId="167" fontId="16" fillId="4" borderId="5" xfId="1" applyNumberFormat="1" applyFont="1" applyFill="1" applyBorder="1"/>
    <xf numFmtId="164" fontId="14" fillId="0" borderId="7" xfId="1" applyNumberFormat="1" applyFont="1" applyBorder="1"/>
    <xf numFmtId="168" fontId="12" fillId="0" borderId="5" xfId="1" applyNumberFormat="1" applyFont="1" applyBorder="1"/>
    <xf numFmtId="164" fontId="14" fillId="0" borderId="0" xfId="1" applyNumberFormat="1" applyFont="1" applyFill="1"/>
    <xf numFmtId="164" fontId="14" fillId="0" borderId="5" xfId="1" applyNumberFormat="1" applyFont="1" applyFill="1" applyBorder="1"/>
    <xf numFmtId="9" fontId="10" fillId="0" borderId="0" xfId="1" applyNumberFormat="1" applyFont="1" applyFill="1" applyAlignment="1">
      <alignment horizontal="right"/>
    </xf>
    <xf numFmtId="165" fontId="10" fillId="0" borderId="0" xfId="1" applyNumberFormat="1" applyFont="1" applyFill="1" applyBorder="1"/>
    <xf numFmtId="0" fontId="26" fillId="0" borderId="0" xfId="1" applyFont="1"/>
    <xf numFmtId="165" fontId="10" fillId="0" borderId="5" xfId="1" applyNumberFormat="1" applyFont="1" applyFill="1" applyBorder="1"/>
    <xf numFmtId="165" fontId="15" fillId="2" borderId="0" xfId="2" applyNumberFormat="1" applyFont="1" applyFill="1" applyBorder="1"/>
    <xf numFmtId="164" fontId="15" fillId="2" borderId="5" xfId="2" applyNumberFormat="1" applyFont="1" applyFill="1" applyBorder="1"/>
    <xf numFmtId="164" fontId="15" fillId="2" borderId="0" xfId="2" applyNumberFormat="1" applyFont="1" applyFill="1" applyBorder="1"/>
    <xf numFmtId="0" fontId="12" fillId="0" borderId="0" xfId="1" applyFont="1" applyBorder="1"/>
    <xf numFmtId="0" fontId="12" fillId="4" borderId="0" xfId="1" applyFont="1" applyFill="1" applyBorder="1"/>
    <xf numFmtId="166" fontId="21" fillId="4" borderId="0" xfId="1" applyNumberFormat="1" applyFont="1" applyFill="1" applyBorder="1"/>
    <xf numFmtId="165" fontId="21" fillId="4" borderId="0" xfId="1" applyNumberFormat="1" applyFont="1" applyFill="1" applyBorder="1"/>
    <xf numFmtId="0" fontId="13" fillId="3" borderId="0" xfId="1" applyFont="1" applyFill="1" applyBorder="1" applyAlignment="1">
      <alignment horizontal="center"/>
    </xf>
    <xf numFmtId="164" fontId="9" fillId="0" borderId="0" xfId="1" applyNumberFormat="1" applyFont="1" applyBorder="1"/>
    <xf numFmtId="43" fontId="12" fillId="0" borderId="0" xfId="1" applyNumberFormat="1" applyFont="1" applyBorder="1"/>
    <xf numFmtId="0" fontId="13" fillId="5" borderId="0" xfId="1" applyFont="1" applyFill="1" applyBorder="1" applyAlignment="1">
      <alignment horizontal="center"/>
    </xf>
    <xf numFmtId="168" fontId="15" fillId="2" borderId="0" xfId="1" applyNumberFormat="1" applyFont="1" applyFill="1" applyBorder="1"/>
    <xf numFmtId="164" fontId="15" fillId="2" borderId="0" xfId="1" applyNumberFormat="1" applyFont="1" applyFill="1" applyBorder="1"/>
    <xf numFmtId="10" fontId="22" fillId="2" borderId="0" xfId="1" applyNumberFormat="1" applyFont="1" applyFill="1" applyBorder="1"/>
    <xf numFmtId="170" fontId="16" fillId="0" borderId="0" xfId="1" applyNumberFormat="1" applyFont="1" applyBorder="1"/>
    <xf numFmtId="0" fontId="9" fillId="0" borderId="0" xfId="1" applyFont="1" applyBorder="1" applyAlignment="1">
      <alignment horizontal="center"/>
    </xf>
    <xf numFmtId="38" fontId="23" fillId="0" borderId="0" xfId="1" applyNumberFormat="1" applyFont="1" applyBorder="1"/>
    <xf numFmtId="38" fontId="9" fillId="0" borderId="0" xfId="1" applyNumberFormat="1" applyFont="1" applyBorder="1"/>
    <xf numFmtId="38" fontId="12" fillId="0" borderId="0" xfId="1" applyNumberFormat="1" applyFont="1" applyBorder="1"/>
    <xf numFmtId="167" fontId="16" fillId="0" borderId="0" xfId="1" applyNumberFormat="1" applyFont="1" applyBorder="1"/>
    <xf numFmtId="171" fontId="18" fillId="2" borderId="0" xfId="1" applyNumberFormat="1" applyFont="1" applyFill="1" applyBorder="1"/>
    <xf numFmtId="164" fontId="23" fillId="2" borderId="0" xfId="1" applyNumberFormat="1" applyFont="1" applyFill="1" applyBorder="1"/>
    <xf numFmtId="172" fontId="23" fillId="2" borderId="0" xfId="1" applyNumberFormat="1" applyFont="1" applyFill="1" applyBorder="1"/>
    <xf numFmtId="173" fontId="23" fillId="2" borderId="0" xfId="1" applyNumberFormat="1" applyFont="1" applyFill="1" applyBorder="1"/>
    <xf numFmtId="165" fontId="18" fillId="2" borderId="0" xfId="1" applyNumberFormat="1" applyFont="1" applyFill="1" applyBorder="1"/>
  </cellXfs>
  <cellStyles count="4">
    <cellStyle name="Comma 2" xfId="3" xr:uid="{26F0B143-7713-4842-99E6-CDB719F2B90D}"/>
    <cellStyle name="Normal" xfId="0" builtinId="0"/>
    <cellStyle name="Normal 2" xfId="1" xr:uid="{4FEFD6F5-DFD2-4864-8E4E-92156AC511F4}"/>
    <cellStyle name="Percent 2" xfId="2" xr:uid="{0EA8298A-C386-4904-A78B-6BA22A99ECE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523459</xdr:colOff>
      <xdr:row>1</xdr:row>
      <xdr:rowOff>111699</xdr:rowOff>
    </xdr:from>
    <xdr:to>
      <xdr:col>16</xdr:col>
      <xdr:colOff>22859</xdr:colOff>
      <xdr:row>22</xdr:row>
      <xdr:rowOff>112230</xdr:rowOff>
    </xdr:to>
    <xdr:pic>
      <xdr:nvPicPr>
        <xdr:cNvPr id="2" name="Picture 1" descr="https://attachment.outlook.live.net/owa/thanawit.j@hotmail.com/service.svc/s/GetAttachmentThumbnail?id=AQMkADAwATY3ZmYAZS05NjE1LTdmZWItMDACLTAwCgBGAAADEonGmgKRfEmbERWVkinTbgcA2rm%2F7yIuj0q4mv6awITgcQAAAgEMAAAA2rm%2F7yIuj0q4mv6awITgcQACKw08lgAAAAESABAAdbg2Q09os0SsX3A%2Fj7bu8g%3D%3D&amp;thumbnailType=2&amp;owa=outlook.live.com&amp;scriptVer=2019021801.07&amp;isc=1&amp;X-OWA-CANARY=ot6UuW6N_U65jTZS5PCjO7ConMuXm9YYbHbsb_RoO7iqh4MJcxAZEFbXbuUsf46EwJqRtCAVy-M.&amp;token=eyJhbGciOiJSUzI1NiIsImtpZCI6IjA2MDBGOUY2NzQ2MjA3MzdFNzM0MDRFMjg3QzQ1QTgxOENCN0NFQjgiLCJ4NXQiOiJCZ0Q1OW5SaUJ6Zm5OQVRpaDhSYWdZeTN6cmciLCJ0eXAiOiJKV1QifQ.eyJ2ZXIiOiJFeGNoYW5nZS5DYWxsYmFjay5WMSIsImFwcGN0eHNlbmRlciI6Ik93YURvd25sb2FkQDg0ZGY5ZTdmLWU5ZjYtNDBhZi1iNDM1LWFhYWFhYWFhYWFhYSIsImFwcGN0eCI6IntcIm1zZXhjaHByb3RcIjpcIm93YVwiLFwicHJpbWFyeXNpZFwiOlwiUy0xLTI4MjctNDI1OTgyLTI1MTc5OTE0MDNcIixcInB1aWRcIjpcIjE4Mjk1ODEyNzY2NzYwNzVcIixcIm9pZFwiOlwiMDAwNjdmZmUtOTYxNS03ZmViLTAwMDAtMDAwMDAwMDAwMDAwXCIsXCJzY29wZVwiOlwiT3dhRG93bmxvYWRcIn0iLCJuYmYiOjE1NTExNTA0MjMsImV4cCI6MTU1MTE1MTAyMywiaXNzIjoiMDAwMDAwMDItMDAwMC0wZmYxLWNlMDAtMDAwMDAwMDAwMDAwQDg0ZGY5ZTdmLWU5ZjYtNDBhZi1iNDM1LWFhYWFhYWFhYWFhYSIsImF1ZCI6IjAwMDAwMDAyLTAwMDAtMGZmMS1jZTAwLTAwMDAwMDAwMDAwMC9hdHRhY2htZW50Lm91dGxvb2subGl2ZS5uZXRAODRkZjllN2YtZTlmNi00MGFmLWI0MzUtYWFhYWFhYWFhYWFhIn0.oJpgA3hV3_OTlWN3G6-DfX7t-3VYivJcLHCvZNXrPHcaYLPEyKNEbTpCuh-MPGNCKD5JZlti6Rt6q_AKIw-dJY39nsqWU5HiKV1_zfU55_rpiy-AFcWZxcvN0hOFYX2VKNbQkbcl9m4813HTY_TwjUXtQfGDJ5x6bmzRWVrdX87NVwmajSuwuViD1ykrPgP1JbmYBHFQj_s44P7WXuZLsYzUWMu96Es6CCavC9-2JINUqmWAyeSFBaQX9VEm1WMYTm5-6i0syhkERPgUYy8eo3FJ9c4Va59dP1E5I0-__v0313AtlVhvRDmsS--6VP9N7Itx35COcKaCR2YEhNkeEg&amp;animation=true">
          <a:extLst>
            <a:ext uri="{FF2B5EF4-FFF2-40B4-BE49-F238E27FC236}">
              <a16:creationId xmlns:a16="http://schemas.microsoft.com/office/drawing/2014/main" id="{1C06ADE1-72F2-4C4D-87FF-ED5E2F01F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1004" y="283149"/>
          <a:ext cx="3564670" cy="2362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G/Desktop/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PL&amp;CF"/>
      <sheetName val="SE"/>
      <sheetName val="Projection"/>
      <sheetName val="DCF"/>
    </sheetNames>
    <sheetDataSet>
      <sheetData sheetId="0"/>
      <sheetData sheetId="1">
        <row r="74">
          <cell r="D74">
            <v>3064491784</v>
          </cell>
          <cell r="F74">
            <v>3065840157</v>
          </cell>
        </row>
        <row r="102">
          <cell r="D102">
            <v>8724970012</v>
          </cell>
          <cell r="F102">
            <v>7525552764</v>
          </cell>
        </row>
        <row r="117">
          <cell r="D117">
            <v>-2249121255</v>
          </cell>
          <cell r="F117">
            <v>-2713560704</v>
          </cell>
        </row>
        <row r="134">
          <cell r="D134">
            <v>-4338636413</v>
          </cell>
          <cell r="F134">
            <v>-3682930734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workbookViewId="0">
      <selection activeCell="A12" sqref="A12"/>
    </sheetView>
    <sheetView workbookViewId="1">
      <selection activeCell="A50" sqref="A43:F50"/>
    </sheetView>
  </sheetViews>
  <sheetFormatPr defaultRowHeight="14.4"/>
  <cols>
    <col min="1" max="1" width="47.6640625" customWidth="1"/>
    <col min="2" max="6" width="27.6640625" customWidth="1"/>
  </cols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6</v>
      </c>
      <c r="B2">
        <v>49155.57</v>
      </c>
      <c r="C2">
        <v>53989.95</v>
      </c>
      <c r="D2">
        <v>58753.01</v>
      </c>
      <c r="E2">
        <v>61784.79</v>
      </c>
      <c r="F2">
        <v>63556.04</v>
      </c>
    </row>
    <row r="3" spans="1:6">
      <c r="A3" s="1" t="s">
        <v>7</v>
      </c>
      <c r="B3">
        <v>35472.879999999997</v>
      </c>
      <c r="C3">
        <v>38999.730000000003</v>
      </c>
      <c r="D3">
        <v>42404.65</v>
      </c>
      <c r="E3">
        <v>44049.760000000002</v>
      </c>
      <c r="F3">
        <v>44644.21</v>
      </c>
    </row>
    <row r="4" spans="1:6">
      <c r="A4" s="1" t="s">
        <v>8</v>
      </c>
      <c r="B4">
        <v>15735.71</v>
      </c>
      <c r="C4">
        <v>17243.439999999999</v>
      </c>
      <c r="D4">
        <v>18739.419999999998</v>
      </c>
      <c r="E4">
        <v>20184.72</v>
      </c>
      <c r="F4">
        <v>21405.7</v>
      </c>
    </row>
    <row r="5" spans="1:6">
      <c r="A5" s="1" t="s">
        <v>9</v>
      </c>
      <c r="B5">
        <v>11058.32</v>
      </c>
      <c r="C5">
        <v>12259.91</v>
      </c>
      <c r="D5">
        <v>13128.92</v>
      </c>
      <c r="E5">
        <v>13745.58</v>
      </c>
      <c r="F5">
        <v>14039.67</v>
      </c>
    </row>
    <row r="6" spans="1:6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s="1" t="s">
        <v>14</v>
      </c>
      <c r="B10">
        <v>11058.32</v>
      </c>
      <c r="C10">
        <v>12259.91</v>
      </c>
      <c r="D10">
        <v>13128.92</v>
      </c>
      <c r="E10">
        <v>13745.58</v>
      </c>
      <c r="F10">
        <v>14039.67</v>
      </c>
    </row>
    <row r="11" spans="1:6">
      <c r="A11" s="1" t="s">
        <v>15</v>
      </c>
      <c r="B11">
        <v>4677.38</v>
      </c>
      <c r="C11">
        <v>4983.53</v>
      </c>
      <c r="D11">
        <v>5610.5</v>
      </c>
      <c r="E11">
        <v>6439.14</v>
      </c>
      <c r="F11">
        <v>7366.03</v>
      </c>
    </row>
    <row r="12" spans="1:6">
      <c r="A12" s="1" t="s">
        <v>16</v>
      </c>
      <c r="B12">
        <v>-466.02</v>
      </c>
      <c r="C12">
        <v>-543.67999999999995</v>
      </c>
      <c r="D12">
        <v>-503.68</v>
      </c>
      <c r="E12">
        <v>-447.68</v>
      </c>
      <c r="F12">
        <v>-400.05</v>
      </c>
    </row>
    <row r="13" spans="1:6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1" t="s">
        <v>18</v>
      </c>
      <c r="B14">
        <v>-466.02</v>
      </c>
      <c r="C14">
        <v>-543.67999999999995</v>
      </c>
      <c r="D14">
        <v>-503.68</v>
      </c>
      <c r="E14">
        <v>-447.68</v>
      </c>
      <c r="F14">
        <v>-400.05</v>
      </c>
    </row>
    <row r="15" spans="1:6">
      <c r="A15" s="1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 t="s">
        <v>21</v>
      </c>
      <c r="B17">
        <v>-60.39</v>
      </c>
      <c r="C17">
        <v>-23.05</v>
      </c>
      <c r="D17">
        <v>-11.9</v>
      </c>
      <c r="E17">
        <v>-4.7</v>
      </c>
      <c r="F17">
        <v>-43.84</v>
      </c>
    </row>
    <row r="18" spans="1:6">
      <c r="A18" s="1" t="s">
        <v>22</v>
      </c>
      <c r="B18">
        <v>4150.9799999999996</v>
      </c>
      <c r="C18">
        <v>4416.8</v>
      </c>
      <c r="D18">
        <v>5094.92</v>
      </c>
      <c r="E18">
        <v>5986.76</v>
      </c>
      <c r="F18">
        <v>6922.14</v>
      </c>
    </row>
    <row r="19" spans="1:6">
      <c r="A19" s="1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 t="s">
        <v>30</v>
      </c>
      <c r="B26">
        <v>4150.9799999999996</v>
      </c>
      <c r="C26">
        <v>4416.8</v>
      </c>
      <c r="D26">
        <v>5094.92</v>
      </c>
      <c r="E26">
        <v>5986.76</v>
      </c>
      <c r="F26">
        <v>6922.14</v>
      </c>
    </row>
    <row r="27" spans="1:6">
      <c r="A27" s="1" t="s">
        <v>31</v>
      </c>
      <c r="B27">
        <v>837.65</v>
      </c>
      <c r="C27">
        <v>918</v>
      </c>
      <c r="D27">
        <v>969.72</v>
      </c>
      <c r="E27">
        <v>1100.3699999999999</v>
      </c>
      <c r="F27">
        <v>1309.51</v>
      </c>
    </row>
    <row r="28" spans="1:6">
      <c r="A28" s="1" t="s">
        <v>32</v>
      </c>
      <c r="B28">
        <v>3313.33</v>
      </c>
      <c r="C28">
        <v>3498.81</v>
      </c>
      <c r="D28">
        <v>4125.2</v>
      </c>
      <c r="E28">
        <v>4886.3900000000003</v>
      </c>
      <c r="F28">
        <v>5612.62</v>
      </c>
    </row>
    <row r="29" spans="1:6">
      <c r="A29" s="1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 t="s">
        <v>35</v>
      </c>
      <c r="B31">
        <v>3313.33</v>
      </c>
      <c r="C31">
        <v>3498.81</v>
      </c>
      <c r="D31">
        <v>4125.2</v>
      </c>
      <c r="E31">
        <v>4886.3900000000003</v>
      </c>
      <c r="F31">
        <v>5612.62</v>
      </c>
    </row>
    <row r="32" spans="1:6">
      <c r="A32" s="1" t="s">
        <v>36</v>
      </c>
      <c r="B32">
        <v>-0.01</v>
      </c>
      <c r="C32">
        <v>0</v>
      </c>
      <c r="D32">
        <v>0</v>
      </c>
      <c r="E32">
        <v>0</v>
      </c>
      <c r="F32">
        <v>0</v>
      </c>
    </row>
    <row r="33" spans="1:6">
      <c r="A33" s="1" t="s">
        <v>37</v>
      </c>
      <c r="B33">
        <v>3313.33</v>
      </c>
      <c r="C33">
        <v>3498.81</v>
      </c>
      <c r="D33">
        <v>4125.2</v>
      </c>
      <c r="E33">
        <v>4886.3900000000003</v>
      </c>
      <c r="F33">
        <v>5612.62</v>
      </c>
    </row>
    <row r="34" spans="1:6">
      <c r="A34" s="1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 t="s">
        <v>39</v>
      </c>
      <c r="B35">
        <v>3313.33</v>
      </c>
      <c r="C35">
        <v>3498.81</v>
      </c>
      <c r="D35">
        <v>4125.2</v>
      </c>
      <c r="E35">
        <v>4886.3900000000003</v>
      </c>
      <c r="F35">
        <v>5612.62</v>
      </c>
    </row>
    <row r="36" spans="1:6">
      <c r="A36" s="1" t="s">
        <v>40</v>
      </c>
      <c r="B36">
        <v>3313.33</v>
      </c>
      <c r="C36">
        <v>3498.81</v>
      </c>
      <c r="D36">
        <v>4125.2</v>
      </c>
      <c r="E36">
        <v>4886.3900000000003</v>
      </c>
      <c r="F36">
        <v>5612.62</v>
      </c>
    </row>
    <row r="37" spans="1:6">
      <c r="A37" s="1" t="s">
        <v>41</v>
      </c>
      <c r="B37">
        <v>0.25</v>
      </c>
      <c r="C37">
        <v>0.27</v>
      </c>
      <c r="D37">
        <v>0.31</v>
      </c>
      <c r="E37">
        <v>0.37</v>
      </c>
      <c r="F37">
        <v>0.43</v>
      </c>
    </row>
    <row r="38" spans="1:6">
      <c r="A38" s="1" t="s">
        <v>42</v>
      </c>
      <c r="B38">
        <v>0.25</v>
      </c>
      <c r="C38">
        <v>0.27</v>
      </c>
      <c r="D38">
        <v>0.31</v>
      </c>
      <c r="E38">
        <v>0.37</v>
      </c>
      <c r="F38">
        <v>0.43</v>
      </c>
    </row>
    <row r="39" spans="1:6">
      <c r="A39" s="1" t="s">
        <v>43</v>
      </c>
      <c r="B39">
        <v>13151.2</v>
      </c>
      <c r="C39">
        <v>13151.2</v>
      </c>
      <c r="D39">
        <v>13151.2</v>
      </c>
      <c r="E39">
        <v>13151.2</v>
      </c>
      <c r="F39">
        <v>13151.2</v>
      </c>
    </row>
    <row r="40" spans="1:6">
      <c r="A40" s="1" t="s">
        <v>44</v>
      </c>
      <c r="B40">
        <v>0.25</v>
      </c>
      <c r="C40">
        <v>0.27</v>
      </c>
      <c r="D40">
        <v>0.31</v>
      </c>
      <c r="E40">
        <v>0.37</v>
      </c>
      <c r="F40">
        <v>0.43</v>
      </c>
    </row>
    <row r="41" spans="1:6">
      <c r="A41" s="1" t="s">
        <v>45</v>
      </c>
      <c r="B41">
        <v>0.25</v>
      </c>
      <c r="C41">
        <v>0.27</v>
      </c>
      <c r="D41">
        <v>0.31</v>
      </c>
      <c r="E41">
        <v>0.37</v>
      </c>
      <c r="F41">
        <v>0.43</v>
      </c>
    </row>
    <row r="42" spans="1:6">
      <c r="A42" s="1" t="s">
        <v>46</v>
      </c>
      <c r="B42">
        <v>13151.2</v>
      </c>
      <c r="C42">
        <v>13151.2</v>
      </c>
      <c r="D42">
        <v>13151.2</v>
      </c>
      <c r="E42">
        <v>13151.2</v>
      </c>
      <c r="F42">
        <v>13151.2</v>
      </c>
    </row>
    <row r="43" spans="1:6">
      <c r="A43" s="1" t="s">
        <v>47</v>
      </c>
      <c r="B43">
        <v>0.2</v>
      </c>
      <c r="C43">
        <v>0.21</v>
      </c>
      <c r="D43">
        <v>0.24</v>
      </c>
      <c r="E43">
        <v>0.28000000000000003</v>
      </c>
      <c r="F43">
        <v>0.33</v>
      </c>
    </row>
    <row r="44" spans="1:6">
      <c r="A44" s="1" t="s">
        <v>48</v>
      </c>
      <c r="B44">
        <v>0.2</v>
      </c>
      <c r="C44">
        <v>0.21</v>
      </c>
      <c r="D44">
        <v>0.24</v>
      </c>
      <c r="E44">
        <v>0.28000000000000003</v>
      </c>
      <c r="F44">
        <v>0.33</v>
      </c>
    </row>
    <row r="45" spans="1:6">
      <c r="A45" s="1" t="s">
        <v>49</v>
      </c>
      <c r="B45">
        <v>0.08</v>
      </c>
      <c r="C45">
        <v>0.25</v>
      </c>
      <c r="D45">
        <v>0.27</v>
      </c>
      <c r="E45">
        <v>0.31</v>
      </c>
      <c r="F45">
        <v>0.35</v>
      </c>
    </row>
    <row r="46" spans="1:6">
      <c r="A46" s="1" t="s">
        <v>50</v>
      </c>
      <c r="B46">
        <v>9.1999999999999993</v>
      </c>
      <c r="C46">
        <v>63.41</v>
      </c>
      <c r="D46">
        <v>86.05</v>
      </c>
      <c r="E46">
        <v>75.37</v>
      </c>
      <c r="F46">
        <v>77.3</v>
      </c>
    </row>
    <row r="47" spans="1:6">
      <c r="A47" s="1" t="s">
        <v>51</v>
      </c>
      <c r="B47">
        <v>6907.75</v>
      </c>
      <c r="C47">
        <v>7664.09</v>
      </c>
      <c r="D47">
        <v>8473.15</v>
      </c>
      <c r="E47">
        <v>9461.59</v>
      </c>
      <c r="F47">
        <v>10336.07</v>
      </c>
    </row>
    <row r="48" spans="1:6">
      <c r="A48" s="1" t="s">
        <v>52</v>
      </c>
      <c r="B48">
        <v>4737.07</v>
      </c>
      <c r="C48">
        <v>5055.66</v>
      </c>
      <c r="D48">
        <v>5692.02</v>
      </c>
      <c r="E48">
        <v>6535.04</v>
      </c>
      <c r="F48">
        <v>7466.97</v>
      </c>
    </row>
    <row r="49" spans="1:6">
      <c r="A49" s="1" t="s">
        <v>53</v>
      </c>
      <c r="B49">
        <v>4677.38</v>
      </c>
      <c r="C49">
        <v>4983.53</v>
      </c>
      <c r="D49">
        <v>5610.5</v>
      </c>
      <c r="E49">
        <v>6439.14</v>
      </c>
      <c r="F49">
        <v>7366.03</v>
      </c>
    </row>
    <row r="50" spans="1:6">
      <c r="A50" s="1" t="s">
        <v>54</v>
      </c>
      <c r="B50">
        <v>8584.75</v>
      </c>
      <c r="C50">
        <v>9158.09</v>
      </c>
      <c r="D50">
        <v>10203.15</v>
      </c>
      <c r="E50">
        <v>11262.59</v>
      </c>
      <c r="F50">
        <v>12191.07</v>
      </c>
    </row>
    <row r="51" spans="1:6">
      <c r="A51" s="1" t="s">
        <v>55</v>
      </c>
      <c r="B51">
        <v>51208.59</v>
      </c>
      <c r="C51">
        <v>56243.17</v>
      </c>
      <c r="D51">
        <v>61144.07</v>
      </c>
      <c r="E51">
        <v>64234.49</v>
      </c>
      <c r="F51">
        <v>66049.91</v>
      </c>
    </row>
    <row r="52" spans="1:6">
      <c r="A52" s="1" t="s">
        <v>56</v>
      </c>
      <c r="B52">
        <v>20.18</v>
      </c>
      <c r="C52">
        <v>20.78</v>
      </c>
      <c r="D52">
        <v>19.03</v>
      </c>
      <c r="E52">
        <v>18.38</v>
      </c>
      <c r="F52">
        <v>18.920000000000002</v>
      </c>
    </row>
    <row r="53" spans="1:6">
      <c r="A53" s="1" t="s">
        <v>57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 t="s">
        <v>58</v>
      </c>
      <c r="B54">
        <v>874.43</v>
      </c>
      <c r="C54">
        <v>926.48</v>
      </c>
      <c r="D54">
        <v>1013.34</v>
      </c>
      <c r="E54">
        <v>1096.75</v>
      </c>
      <c r="F54">
        <v>1304.81</v>
      </c>
    </row>
    <row r="55" spans="1:6">
      <c r="A55" s="1" t="s">
        <v>59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 t="s">
        <v>60</v>
      </c>
      <c r="B56">
        <v>-31.77</v>
      </c>
      <c r="C56">
        <v>-8.69</v>
      </c>
      <c r="D56">
        <v>-43.68</v>
      </c>
      <c r="E56">
        <v>3.62</v>
      </c>
      <c r="F56">
        <v>4.7</v>
      </c>
    </row>
    <row r="57" spans="1:6">
      <c r="A57" s="1" t="s">
        <v>61</v>
      </c>
      <c r="B57">
        <v>2594.36</v>
      </c>
      <c r="C57">
        <v>2760.5</v>
      </c>
      <c r="D57">
        <v>3184.32</v>
      </c>
      <c r="E57">
        <v>3741.72</v>
      </c>
      <c r="F57">
        <v>4326.34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0"/>
  <sheetViews>
    <sheetView topLeftCell="A8" workbookViewId="0">
      <selection activeCell="A11" sqref="A11"/>
    </sheetView>
    <sheetView topLeftCell="A36" workbookViewId="1">
      <selection activeCell="A61" sqref="A61"/>
    </sheetView>
  </sheetViews>
  <sheetFormatPr defaultRowHeight="14.4"/>
  <cols>
    <col min="1" max="1" width="52.6640625" customWidth="1"/>
    <col min="2" max="6" width="27.6640625" customWidth="1"/>
  </cols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62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s="1" t="s">
        <v>63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s="1" t="s">
        <v>64</v>
      </c>
      <c r="B4">
        <v>2434.7600000000002</v>
      </c>
      <c r="C4">
        <v>2698.06</v>
      </c>
      <c r="D4">
        <v>3720.58</v>
      </c>
      <c r="E4">
        <v>2504.91</v>
      </c>
      <c r="F4">
        <v>6237.75</v>
      </c>
    </row>
    <row r="5" spans="1:6">
      <c r="A5" s="1" t="s">
        <v>65</v>
      </c>
      <c r="B5">
        <v>2434.7600000000002</v>
      </c>
      <c r="C5">
        <v>2698.06</v>
      </c>
      <c r="D5">
        <v>3720.58</v>
      </c>
      <c r="E5">
        <v>2504.91</v>
      </c>
      <c r="F5">
        <v>6237.75</v>
      </c>
    </row>
    <row r="6" spans="1:6">
      <c r="A6" s="1" t="s">
        <v>66</v>
      </c>
      <c r="B6">
        <v>262.55</v>
      </c>
      <c r="C6">
        <v>302.72000000000003</v>
      </c>
      <c r="D6">
        <v>337.93</v>
      </c>
      <c r="E6">
        <v>160.72</v>
      </c>
      <c r="F6">
        <v>286.23</v>
      </c>
    </row>
    <row r="7" spans="1:6">
      <c r="A7" s="1" t="s">
        <v>67</v>
      </c>
      <c r="B7">
        <v>1749.98</v>
      </c>
      <c r="C7">
        <v>1742.49</v>
      </c>
      <c r="D7">
        <v>1979.92</v>
      </c>
      <c r="E7">
        <v>2031.65</v>
      </c>
      <c r="F7">
        <v>2056.81</v>
      </c>
    </row>
    <row r="8" spans="1:6">
      <c r="A8" s="1" t="s">
        <v>68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1" t="s">
        <v>69</v>
      </c>
      <c r="B9">
        <v>2012.53</v>
      </c>
      <c r="C9">
        <v>2045.21</v>
      </c>
      <c r="D9">
        <v>2317.84</v>
      </c>
      <c r="E9">
        <v>2192.38</v>
      </c>
      <c r="F9">
        <v>2343.0500000000002</v>
      </c>
    </row>
    <row r="10" spans="1:6">
      <c r="A10" s="1" t="s">
        <v>70</v>
      </c>
      <c r="B10">
        <v>8030.82</v>
      </c>
      <c r="C10">
        <v>8364.76</v>
      </c>
      <c r="D10">
        <v>9671.5400000000009</v>
      </c>
      <c r="E10">
        <v>10342.99</v>
      </c>
      <c r="F10">
        <v>10245.450000000001</v>
      </c>
    </row>
    <row r="11" spans="1:6">
      <c r="A11" s="1" t="s">
        <v>71</v>
      </c>
      <c r="B11">
        <v>61.31</v>
      </c>
      <c r="C11">
        <v>117.01</v>
      </c>
      <c r="D11">
        <v>128.63</v>
      </c>
      <c r="E11">
        <v>138.38</v>
      </c>
      <c r="F11">
        <v>105.55</v>
      </c>
    </row>
    <row r="12" spans="1:6">
      <c r="A12" s="1" t="s">
        <v>72</v>
      </c>
      <c r="B12">
        <v>251.29</v>
      </c>
      <c r="C12">
        <v>142.18</v>
      </c>
      <c r="D12">
        <v>61.57</v>
      </c>
      <c r="E12">
        <v>63.02</v>
      </c>
      <c r="F12">
        <v>74.459999999999994</v>
      </c>
    </row>
    <row r="13" spans="1:6">
      <c r="A13" s="1" t="s">
        <v>73</v>
      </c>
      <c r="B13">
        <v>12790.71</v>
      </c>
      <c r="C13">
        <v>13367.21</v>
      </c>
      <c r="D13">
        <v>15900.18</v>
      </c>
      <c r="E13">
        <v>15241.68</v>
      </c>
      <c r="F13">
        <v>19006.259999999998</v>
      </c>
    </row>
    <row r="14" spans="1:6">
      <c r="A14" s="1" t="s">
        <v>74</v>
      </c>
      <c r="B14">
        <v>34715.599999999999</v>
      </c>
      <c r="C14">
        <v>38226.910000000003</v>
      </c>
      <c r="D14">
        <v>42477.07</v>
      </c>
      <c r="E14">
        <v>44848.06</v>
      </c>
      <c r="F14">
        <v>47206.43</v>
      </c>
    </row>
    <row r="15" spans="1:6">
      <c r="A15" s="1" t="s">
        <v>75</v>
      </c>
      <c r="B15">
        <v>-8363.69</v>
      </c>
      <c r="C15">
        <v>-10571.78</v>
      </c>
      <c r="D15">
        <v>-12937.36</v>
      </c>
      <c r="E15">
        <v>-15425.59</v>
      </c>
      <c r="F15">
        <v>-17879.25</v>
      </c>
    </row>
    <row r="16" spans="1:6">
      <c r="A16" s="1" t="s">
        <v>76</v>
      </c>
      <c r="B16">
        <v>26351.91</v>
      </c>
      <c r="C16">
        <v>27655.13</v>
      </c>
      <c r="D16">
        <v>29539.71</v>
      </c>
      <c r="E16">
        <v>29422.47</v>
      </c>
      <c r="F16">
        <v>29327.19</v>
      </c>
    </row>
    <row r="17" spans="1:6">
      <c r="A17" s="1" t="s">
        <v>77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 t="s">
        <v>78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 t="s">
        <v>79</v>
      </c>
      <c r="B19">
        <v>2213.58</v>
      </c>
      <c r="C19">
        <v>2510.04</v>
      </c>
      <c r="D19">
        <v>2943.46</v>
      </c>
      <c r="E19">
        <v>3110.88</v>
      </c>
      <c r="F19">
        <v>3456.29</v>
      </c>
    </row>
    <row r="20" spans="1:6">
      <c r="A20" s="1" t="s">
        <v>80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 t="s">
        <v>81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 t="s">
        <v>82</v>
      </c>
      <c r="B22">
        <v>118.29</v>
      </c>
      <c r="C22">
        <v>135.38999999999999</v>
      </c>
      <c r="D22">
        <v>179.06</v>
      </c>
      <c r="E22">
        <v>189.72</v>
      </c>
      <c r="F22">
        <v>186.04</v>
      </c>
    </row>
    <row r="23" spans="1:6">
      <c r="A23" s="1" t="s">
        <v>83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 t="s">
        <v>84</v>
      </c>
      <c r="B24">
        <v>2838.33</v>
      </c>
      <c r="C24">
        <v>3323.27</v>
      </c>
      <c r="D24">
        <v>3183.82</v>
      </c>
      <c r="E24">
        <v>2984.59</v>
      </c>
      <c r="F24">
        <v>2835.58</v>
      </c>
    </row>
    <row r="25" spans="1:6">
      <c r="A25" s="1" t="s">
        <v>85</v>
      </c>
      <c r="B25">
        <v>44312.82</v>
      </c>
      <c r="C25">
        <v>46991.040000000001</v>
      </c>
      <c r="D25">
        <v>51746.23</v>
      </c>
      <c r="E25">
        <v>50949.35</v>
      </c>
      <c r="F25">
        <v>54811.35</v>
      </c>
    </row>
    <row r="26" spans="1:6">
      <c r="A26" s="1" t="s">
        <v>86</v>
      </c>
      <c r="B26">
        <v>9656.7900000000009</v>
      </c>
      <c r="C26">
        <v>10859.89</v>
      </c>
      <c r="D26">
        <v>11894.82</v>
      </c>
      <c r="E26">
        <v>11900.89</v>
      </c>
      <c r="F26">
        <v>12151.25</v>
      </c>
    </row>
    <row r="27" spans="1:6">
      <c r="A27" s="1" t="s">
        <v>87</v>
      </c>
      <c r="B27">
        <v>975.53</v>
      </c>
      <c r="C27">
        <v>1001.07</v>
      </c>
      <c r="D27">
        <v>1256.5899999999999</v>
      </c>
      <c r="E27">
        <v>1402.23</v>
      </c>
      <c r="F27">
        <v>1236.47</v>
      </c>
    </row>
    <row r="28" spans="1:6">
      <c r="A28" s="1" t="s">
        <v>88</v>
      </c>
      <c r="B28">
        <v>0</v>
      </c>
      <c r="C28">
        <v>0</v>
      </c>
      <c r="D28">
        <v>1507.4</v>
      </c>
      <c r="E28">
        <v>341.14</v>
      </c>
      <c r="F28">
        <v>340.18</v>
      </c>
    </row>
    <row r="29" spans="1:6">
      <c r="A29" s="1" t="s">
        <v>89</v>
      </c>
      <c r="B29">
        <v>3000</v>
      </c>
      <c r="C29">
        <v>4700</v>
      </c>
      <c r="D29">
        <v>4750</v>
      </c>
      <c r="E29">
        <v>3800</v>
      </c>
      <c r="F29">
        <v>6907.64</v>
      </c>
    </row>
    <row r="30" spans="1:6">
      <c r="A30" s="1" t="s">
        <v>90</v>
      </c>
      <c r="B30">
        <v>10.45</v>
      </c>
      <c r="C30">
        <v>17.739999999999998</v>
      </c>
      <c r="D30">
        <v>7.19</v>
      </c>
      <c r="E30">
        <v>4.76</v>
      </c>
      <c r="F30">
        <v>4.2699999999999996</v>
      </c>
    </row>
    <row r="31" spans="1:6">
      <c r="A31" s="1" t="s">
        <v>91</v>
      </c>
      <c r="B31">
        <v>364.57</v>
      </c>
      <c r="C31">
        <v>380.18</v>
      </c>
      <c r="D31">
        <v>405.99</v>
      </c>
      <c r="E31">
        <v>454.07</v>
      </c>
      <c r="F31">
        <v>544.70000000000005</v>
      </c>
    </row>
    <row r="32" spans="1:6">
      <c r="A32" s="1" t="s">
        <v>92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 t="s">
        <v>93</v>
      </c>
      <c r="B33">
        <v>2769.23</v>
      </c>
      <c r="C33">
        <v>2504.7399999999998</v>
      </c>
      <c r="D33">
        <v>2669.41</v>
      </c>
      <c r="E33">
        <v>2474.6999999999998</v>
      </c>
      <c r="F33">
        <v>2466.71</v>
      </c>
    </row>
    <row r="34" spans="1:6">
      <c r="A34" s="1" t="s">
        <v>94</v>
      </c>
      <c r="B34">
        <v>16776.560000000001</v>
      </c>
      <c r="C34">
        <v>19463.63</v>
      </c>
      <c r="D34">
        <v>22491.41</v>
      </c>
      <c r="E34">
        <v>20377.78</v>
      </c>
      <c r="F34">
        <v>23651.21</v>
      </c>
    </row>
    <row r="35" spans="1:6">
      <c r="A35" s="1" t="s">
        <v>95</v>
      </c>
      <c r="B35">
        <v>10850</v>
      </c>
      <c r="C35">
        <v>9650</v>
      </c>
      <c r="D35">
        <v>10600</v>
      </c>
      <c r="E35">
        <v>10911.17</v>
      </c>
      <c r="F35">
        <v>10000</v>
      </c>
    </row>
    <row r="36" spans="1:6">
      <c r="A36" s="1" t="s">
        <v>96</v>
      </c>
      <c r="B36">
        <v>15.73</v>
      </c>
      <c r="C36">
        <v>9.36</v>
      </c>
      <c r="D36">
        <v>10.49</v>
      </c>
      <c r="E36">
        <v>5.72</v>
      </c>
      <c r="F36">
        <v>10.130000000000001</v>
      </c>
    </row>
    <row r="37" spans="1:6">
      <c r="A37" s="1" t="s">
        <v>97</v>
      </c>
      <c r="B37">
        <v>404.03</v>
      </c>
      <c r="C37">
        <v>396.27</v>
      </c>
      <c r="D37">
        <v>383.16</v>
      </c>
      <c r="E37">
        <v>359.39</v>
      </c>
      <c r="F37">
        <v>336.71</v>
      </c>
    </row>
    <row r="38" spans="1:6">
      <c r="A38" s="1" t="s">
        <v>98</v>
      </c>
      <c r="B38">
        <v>106.76</v>
      </c>
      <c r="C38">
        <v>165.05</v>
      </c>
      <c r="D38">
        <v>185.75</v>
      </c>
      <c r="E38">
        <v>262.24</v>
      </c>
      <c r="F38">
        <v>340.11</v>
      </c>
    </row>
    <row r="39" spans="1:6">
      <c r="A39" s="1" t="s">
        <v>99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 t="s">
        <v>100</v>
      </c>
      <c r="B40">
        <v>458.1</v>
      </c>
      <c r="C40">
        <v>404.09</v>
      </c>
      <c r="D40">
        <v>585.04</v>
      </c>
      <c r="E40">
        <v>398.25</v>
      </c>
      <c r="F40">
        <v>559.1</v>
      </c>
    </row>
    <row r="41" spans="1:6">
      <c r="A41" s="1" t="s">
        <v>101</v>
      </c>
      <c r="B41">
        <v>28611.19</v>
      </c>
      <c r="C41">
        <v>30088.41</v>
      </c>
      <c r="D41">
        <v>34255.86</v>
      </c>
      <c r="E41">
        <v>32314.55</v>
      </c>
      <c r="F41">
        <v>34897.26</v>
      </c>
    </row>
    <row r="42" spans="1:6">
      <c r="A42" s="1" t="s">
        <v>102</v>
      </c>
      <c r="B42">
        <v>12329.32</v>
      </c>
      <c r="C42">
        <v>13151.2</v>
      </c>
      <c r="D42">
        <v>13151.2</v>
      </c>
      <c r="E42">
        <v>13151.2</v>
      </c>
      <c r="F42">
        <v>13151.2</v>
      </c>
    </row>
    <row r="43" spans="1:6">
      <c r="A43" s="1" t="s">
        <v>103</v>
      </c>
      <c r="B43">
        <v>646.32000000000005</v>
      </c>
      <c r="C43">
        <v>646.32000000000005</v>
      </c>
      <c r="D43">
        <v>646.32000000000005</v>
      </c>
      <c r="E43">
        <v>646.32000000000005</v>
      </c>
      <c r="F43">
        <v>646.32000000000005</v>
      </c>
    </row>
    <row r="44" spans="1:6">
      <c r="A44" s="1" t="s">
        <v>104</v>
      </c>
      <c r="B44">
        <v>2749.87</v>
      </c>
      <c r="C44">
        <v>3174.08</v>
      </c>
      <c r="D44">
        <v>3748.59</v>
      </c>
      <c r="E44">
        <v>4904.87</v>
      </c>
      <c r="F44">
        <v>6177.62</v>
      </c>
    </row>
    <row r="45" spans="1:6">
      <c r="A45" s="1" t="s">
        <v>105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 t="s">
        <v>106</v>
      </c>
      <c r="B46">
        <v>-23.89</v>
      </c>
      <c r="C46">
        <v>-68.98</v>
      </c>
      <c r="D46">
        <v>-55.75</v>
      </c>
      <c r="E46">
        <v>-67.599999999999994</v>
      </c>
      <c r="F46">
        <v>-61.05</v>
      </c>
    </row>
    <row r="47" spans="1:6">
      <c r="A47" s="1" t="s">
        <v>107</v>
      </c>
      <c r="B47">
        <v>15701.62</v>
      </c>
      <c r="C47">
        <v>16902.62</v>
      </c>
      <c r="D47">
        <v>17490.37</v>
      </c>
      <c r="E47">
        <v>18634.79</v>
      </c>
      <c r="F47">
        <v>19914.09</v>
      </c>
    </row>
    <row r="48" spans="1:6">
      <c r="A48" s="1" t="s">
        <v>108</v>
      </c>
      <c r="B48">
        <v>15701.63</v>
      </c>
      <c r="C48">
        <v>16902.63</v>
      </c>
      <c r="D48">
        <v>17490.37</v>
      </c>
      <c r="E48">
        <v>18634.79</v>
      </c>
      <c r="F48">
        <v>19914.099999999999</v>
      </c>
    </row>
    <row r="49" spans="1:6">
      <c r="A49" s="1" t="s">
        <v>109</v>
      </c>
      <c r="B49">
        <v>0.01</v>
      </c>
      <c r="C49">
        <v>0.01</v>
      </c>
      <c r="D49">
        <v>0</v>
      </c>
      <c r="E49">
        <v>0</v>
      </c>
      <c r="F49">
        <v>0</v>
      </c>
    </row>
    <row r="50" spans="1:6">
      <c r="A50" s="1" t="s">
        <v>110</v>
      </c>
      <c r="B50">
        <v>44312.82</v>
      </c>
      <c r="C50">
        <v>46991.040000000001</v>
      </c>
      <c r="D50">
        <v>51746.23</v>
      </c>
      <c r="E50">
        <v>50949.35</v>
      </c>
      <c r="F50">
        <v>54811.35</v>
      </c>
    </row>
    <row r="51" spans="1:6">
      <c r="A51" s="1" t="s">
        <v>111</v>
      </c>
      <c r="B51">
        <v>13151.27</v>
      </c>
      <c r="C51">
        <v>13151.2</v>
      </c>
      <c r="D51">
        <v>13151.2</v>
      </c>
      <c r="E51">
        <v>13151.2</v>
      </c>
      <c r="F51">
        <v>13151.2</v>
      </c>
    </row>
    <row r="52" spans="1:6">
      <c r="A52" s="1" t="s">
        <v>112</v>
      </c>
      <c r="B52">
        <v>13151.27</v>
      </c>
      <c r="C52">
        <v>13151.2</v>
      </c>
      <c r="D52">
        <v>13151.2</v>
      </c>
      <c r="E52">
        <v>13151.2</v>
      </c>
      <c r="F52">
        <v>13151.2</v>
      </c>
    </row>
    <row r="53" spans="1:6">
      <c r="A53" s="1" t="s">
        <v>113</v>
      </c>
      <c r="B53">
        <v>1.19</v>
      </c>
      <c r="C53">
        <v>1.29</v>
      </c>
      <c r="D53">
        <v>1.33</v>
      </c>
      <c r="E53">
        <v>1.42</v>
      </c>
      <c r="F53">
        <v>1.51</v>
      </c>
    </row>
    <row r="54" spans="1:6">
      <c r="A54" s="1" t="s">
        <v>114</v>
      </c>
      <c r="B54">
        <v>13488.05</v>
      </c>
      <c r="C54">
        <v>14392.58</v>
      </c>
      <c r="D54">
        <v>14546.91</v>
      </c>
      <c r="E54">
        <v>15523.91</v>
      </c>
      <c r="F54">
        <v>16457.8</v>
      </c>
    </row>
    <row r="55" spans="1:6">
      <c r="A55" s="1" t="s">
        <v>115</v>
      </c>
      <c r="B55">
        <v>1.03</v>
      </c>
      <c r="C55">
        <v>1.0900000000000001</v>
      </c>
      <c r="D55">
        <v>1.1100000000000001</v>
      </c>
      <c r="E55">
        <v>1.18</v>
      </c>
      <c r="F55">
        <v>1.25</v>
      </c>
    </row>
    <row r="56" spans="1:6">
      <c r="A56" s="1" t="s">
        <v>116</v>
      </c>
      <c r="B56">
        <v>13876.18</v>
      </c>
      <c r="C56">
        <v>14377.11</v>
      </c>
      <c r="D56">
        <v>16875.09</v>
      </c>
      <c r="E56">
        <v>15062.79</v>
      </c>
      <c r="F56">
        <v>17262.21</v>
      </c>
    </row>
    <row r="57" spans="1:6">
      <c r="A57" s="1" t="s">
        <v>117</v>
      </c>
      <c r="B57">
        <v>11441.42</v>
      </c>
      <c r="C57">
        <v>11679.05</v>
      </c>
      <c r="D57">
        <v>13154.5</v>
      </c>
      <c r="E57">
        <v>12557.88</v>
      </c>
      <c r="F57">
        <v>11024.46</v>
      </c>
    </row>
    <row r="58" spans="1:6">
      <c r="A58" s="1" t="s">
        <v>118</v>
      </c>
      <c r="B58">
        <v>106.76</v>
      </c>
      <c r="C58">
        <v>165.05</v>
      </c>
      <c r="D58">
        <v>185.75</v>
      </c>
      <c r="E58">
        <v>262.24</v>
      </c>
      <c r="F58">
        <v>340.11</v>
      </c>
    </row>
    <row r="59" spans="1:6">
      <c r="A59" s="1" t="s">
        <v>119</v>
      </c>
      <c r="B59">
        <v>13416</v>
      </c>
      <c r="C59">
        <v>11952</v>
      </c>
      <c r="D59">
        <v>13840</v>
      </c>
      <c r="E59">
        <v>14408</v>
      </c>
      <c r="F59">
        <v>14840</v>
      </c>
    </row>
    <row r="60" spans="1:6">
      <c r="A60" s="1" t="s">
        <v>120</v>
      </c>
      <c r="B60">
        <v>0.01</v>
      </c>
      <c r="C60">
        <v>0.01</v>
      </c>
      <c r="D60">
        <v>0</v>
      </c>
      <c r="E60">
        <v>0</v>
      </c>
      <c r="F6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4"/>
  <sheetViews>
    <sheetView workbookViewId="0">
      <selection activeCell="B23" sqref="B23"/>
    </sheetView>
    <sheetView tabSelected="1" workbookViewId="1"/>
  </sheetViews>
  <sheetFormatPr defaultRowHeight="14.4"/>
  <cols>
    <col min="1" max="1" width="47.6640625" customWidth="1"/>
    <col min="2" max="6" width="27.6640625" customWidth="1"/>
  </cols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37</v>
      </c>
      <c r="B2">
        <v>3313.33</v>
      </c>
      <c r="C2">
        <v>3498.81</v>
      </c>
      <c r="D2">
        <v>4125.2</v>
      </c>
      <c r="E2">
        <v>4886.3900000000003</v>
      </c>
      <c r="F2">
        <v>5612.62</v>
      </c>
    </row>
    <row r="3" spans="1:6">
      <c r="A3" s="1" t="s">
        <v>12</v>
      </c>
      <c r="B3">
        <v>2170.6799999999998</v>
      </c>
      <c r="C3">
        <v>2608.4299999999998</v>
      </c>
      <c r="D3">
        <v>2781.13</v>
      </c>
      <c r="E3">
        <v>2926.55</v>
      </c>
      <c r="F3">
        <v>2869.1</v>
      </c>
    </row>
    <row r="4" spans="1:6">
      <c r="A4" s="1" t="s">
        <v>121</v>
      </c>
      <c r="B4">
        <v>59.69</v>
      </c>
      <c r="C4">
        <v>72.13</v>
      </c>
      <c r="D4">
        <v>81.52</v>
      </c>
      <c r="E4">
        <v>95.9</v>
      </c>
      <c r="F4">
        <v>100.94</v>
      </c>
    </row>
    <row r="5" spans="1:6">
      <c r="A5" s="1" t="s">
        <v>122</v>
      </c>
      <c r="B5">
        <v>34.130000000000003</v>
      </c>
      <c r="C5">
        <v>40.15</v>
      </c>
      <c r="D5">
        <v>42.31</v>
      </c>
      <c r="E5">
        <v>43.39</v>
      </c>
      <c r="F5">
        <v>94.45</v>
      </c>
    </row>
    <row r="6" spans="1:6">
      <c r="A6" s="1" t="s">
        <v>123</v>
      </c>
      <c r="B6">
        <v>2230.36</v>
      </c>
      <c r="C6">
        <v>2680.56</v>
      </c>
      <c r="D6">
        <v>2862.64</v>
      </c>
      <c r="E6">
        <v>3022.45</v>
      </c>
      <c r="F6">
        <v>2970.05</v>
      </c>
    </row>
    <row r="7" spans="1:6">
      <c r="A7" s="1" t="s">
        <v>124</v>
      </c>
      <c r="B7">
        <v>54.71</v>
      </c>
      <c r="C7">
        <v>17.41</v>
      </c>
      <c r="D7">
        <v>0.5</v>
      </c>
      <c r="E7">
        <v>0.01</v>
      </c>
      <c r="F7">
        <v>8.89</v>
      </c>
    </row>
    <row r="8" spans="1:6">
      <c r="A8" s="1" t="s">
        <v>125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1" t="s">
        <v>126</v>
      </c>
      <c r="B9">
        <v>-51.87</v>
      </c>
      <c r="C9">
        <v>-8.42</v>
      </c>
      <c r="D9">
        <v>69.900000000000006</v>
      </c>
      <c r="E9">
        <v>-4.32</v>
      </c>
      <c r="F9">
        <v>-58</v>
      </c>
    </row>
    <row r="10" spans="1:6">
      <c r="A10" s="1" t="s">
        <v>127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 t="s">
        <v>128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1" t="s">
        <v>129</v>
      </c>
      <c r="B12">
        <v>0</v>
      </c>
      <c r="C12">
        <v>5.34</v>
      </c>
      <c r="D12">
        <v>13.78</v>
      </c>
      <c r="E12">
        <v>1.77</v>
      </c>
      <c r="F12">
        <v>-14.13</v>
      </c>
    </row>
    <row r="13" spans="1:6">
      <c r="A13" s="1" t="s">
        <v>130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1" t="s">
        <v>131</v>
      </c>
      <c r="B14">
        <v>99.3</v>
      </c>
      <c r="C14">
        <v>175.54</v>
      </c>
      <c r="D14">
        <v>124.46</v>
      </c>
      <c r="E14">
        <v>169.35</v>
      </c>
      <c r="F14">
        <v>354.41</v>
      </c>
    </row>
    <row r="15" spans="1:6">
      <c r="A15" s="1" t="s">
        <v>132</v>
      </c>
      <c r="B15">
        <v>-209.37</v>
      </c>
      <c r="C15">
        <v>-89.28</v>
      </c>
      <c r="D15">
        <v>-204.49</v>
      </c>
      <c r="E15">
        <v>96.88</v>
      </c>
      <c r="F15">
        <v>-186.22</v>
      </c>
    </row>
    <row r="16" spans="1:6">
      <c r="A16" s="1" t="s">
        <v>133</v>
      </c>
      <c r="B16">
        <v>-1550.74</v>
      </c>
      <c r="C16">
        <v>-474.6</v>
      </c>
      <c r="D16">
        <v>-1455.9</v>
      </c>
      <c r="E16">
        <v>-829.29</v>
      </c>
      <c r="F16">
        <v>-53.27</v>
      </c>
    </row>
    <row r="17" spans="1:6">
      <c r="A17" s="1" t="s">
        <v>134</v>
      </c>
      <c r="B17">
        <v>966.36</v>
      </c>
      <c r="C17">
        <v>692.8</v>
      </c>
      <c r="D17">
        <v>1268.22</v>
      </c>
      <c r="E17">
        <v>300.98</v>
      </c>
      <c r="F17">
        <v>1.47</v>
      </c>
    </row>
    <row r="18" spans="1:6">
      <c r="A18" s="1" t="s">
        <v>135</v>
      </c>
      <c r="B18">
        <v>-30.58</v>
      </c>
      <c r="C18">
        <v>-7.77</v>
      </c>
      <c r="D18">
        <v>-13.1</v>
      </c>
      <c r="E18">
        <v>-23.77</v>
      </c>
      <c r="F18">
        <v>-22.69</v>
      </c>
    </row>
    <row r="19" spans="1:6">
      <c r="A19" s="1" t="s">
        <v>136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 t="s">
        <v>137</v>
      </c>
      <c r="B20">
        <v>57.17</v>
      </c>
      <c r="C20">
        <v>362.27</v>
      </c>
      <c r="D20">
        <v>153.06</v>
      </c>
      <c r="E20">
        <v>-138.28</v>
      </c>
      <c r="F20">
        <v>17.39</v>
      </c>
    </row>
    <row r="21" spans="1:6">
      <c r="A21" s="1" t="s">
        <v>138</v>
      </c>
      <c r="B21">
        <v>4912.8</v>
      </c>
      <c r="C21">
        <v>6892.81</v>
      </c>
      <c r="D21">
        <v>6986.57</v>
      </c>
      <c r="E21">
        <v>7525.55</v>
      </c>
      <c r="F21">
        <v>8724.9699999999993</v>
      </c>
    </row>
    <row r="22" spans="1:6">
      <c r="A22" s="1" t="s">
        <v>139</v>
      </c>
      <c r="B22">
        <v>-5501.92</v>
      </c>
      <c r="C22">
        <v>-3794.49</v>
      </c>
      <c r="D22">
        <v>-4435.84</v>
      </c>
      <c r="E22">
        <v>-2713.56</v>
      </c>
      <c r="F22">
        <v>-2249.12</v>
      </c>
    </row>
    <row r="23" spans="1:6">
      <c r="A23" s="1" t="s">
        <v>140</v>
      </c>
      <c r="B23">
        <v>6.99</v>
      </c>
      <c r="C23">
        <v>4.6500000000000004</v>
      </c>
      <c r="D23">
        <v>8.19</v>
      </c>
      <c r="E23">
        <v>5.47</v>
      </c>
      <c r="F23">
        <v>18.649999999999999</v>
      </c>
    </row>
    <row r="24" spans="1:6">
      <c r="A24" s="1" t="s">
        <v>141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 t="s">
        <v>142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 t="s">
        <v>143</v>
      </c>
      <c r="B26">
        <v>-1020.5</v>
      </c>
      <c r="C26">
        <v>-603.59</v>
      </c>
      <c r="D26">
        <v>-150.16</v>
      </c>
      <c r="E26">
        <v>-52.55</v>
      </c>
      <c r="F26">
        <v>-53.13</v>
      </c>
    </row>
    <row r="27" spans="1:6">
      <c r="A27" s="1" t="s">
        <v>144</v>
      </c>
      <c r="B27">
        <v>-535.15</v>
      </c>
      <c r="C27">
        <v>-408.79</v>
      </c>
      <c r="D27">
        <v>-557.27</v>
      </c>
      <c r="E27">
        <v>-306.70999999999998</v>
      </c>
      <c r="F27">
        <v>-540.82000000000005</v>
      </c>
    </row>
    <row r="28" spans="1:6">
      <c r="A28" s="1" t="s">
        <v>145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 t="s">
        <v>146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 t="s">
        <v>147</v>
      </c>
      <c r="B30">
        <v>-10.33</v>
      </c>
      <c r="C30">
        <v>-83.62</v>
      </c>
      <c r="D30">
        <v>185.12</v>
      </c>
      <c r="E30">
        <v>-165.56</v>
      </c>
      <c r="F30">
        <v>-45.26</v>
      </c>
    </row>
    <row r="31" spans="1:6">
      <c r="A31" s="1" t="s">
        <v>148</v>
      </c>
      <c r="B31">
        <v>-7060.91</v>
      </c>
      <c r="C31">
        <v>-4885.84</v>
      </c>
      <c r="D31">
        <v>-4949.97</v>
      </c>
      <c r="E31">
        <v>-3232.91</v>
      </c>
      <c r="F31">
        <v>-2869.67</v>
      </c>
    </row>
    <row r="32" spans="1:6">
      <c r="A32" s="1" t="s">
        <v>149</v>
      </c>
      <c r="B32">
        <v>0</v>
      </c>
      <c r="C32">
        <v>5460</v>
      </c>
      <c r="D32">
        <v>2507.4</v>
      </c>
      <c r="E32">
        <v>9948.75</v>
      </c>
      <c r="F32">
        <v>3440.74</v>
      </c>
    </row>
    <row r="33" spans="1:6">
      <c r="A33" s="1" t="s">
        <v>150</v>
      </c>
      <c r="B33">
        <v>6050</v>
      </c>
      <c r="C33">
        <v>3500.93</v>
      </c>
      <c r="D33">
        <v>5700</v>
      </c>
      <c r="E33">
        <v>4111.17</v>
      </c>
      <c r="F33">
        <v>6003.91</v>
      </c>
    </row>
    <row r="34" spans="1:6">
      <c r="A34" s="1" t="s">
        <v>151</v>
      </c>
      <c r="B34">
        <v>6050</v>
      </c>
      <c r="C34">
        <v>8960.93</v>
      </c>
      <c r="D34">
        <v>8207.4</v>
      </c>
      <c r="E34">
        <v>14059.92</v>
      </c>
      <c r="F34">
        <v>9444.65</v>
      </c>
    </row>
    <row r="35" spans="1:6">
      <c r="A35" s="1" t="s">
        <v>152</v>
      </c>
      <c r="B35">
        <v>-1360</v>
      </c>
      <c r="C35">
        <v>-5460</v>
      </c>
      <c r="D35">
        <v>-1000</v>
      </c>
      <c r="E35">
        <v>-11115.02</v>
      </c>
      <c r="F35">
        <v>-3430.95</v>
      </c>
    </row>
    <row r="36" spans="1:6">
      <c r="A36" s="1" t="s">
        <v>153</v>
      </c>
      <c r="B36">
        <v>-600.91</v>
      </c>
      <c r="C36">
        <v>-3000</v>
      </c>
      <c r="D36">
        <v>-4709.43</v>
      </c>
      <c r="E36">
        <v>-4757.1899999999996</v>
      </c>
      <c r="F36">
        <v>-3800</v>
      </c>
    </row>
    <row r="37" spans="1:6">
      <c r="A37" s="1" t="s">
        <v>154</v>
      </c>
      <c r="B37">
        <v>-1960.91</v>
      </c>
      <c r="C37">
        <v>-8460</v>
      </c>
      <c r="D37">
        <v>-5709.43</v>
      </c>
      <c r="E37">
        <v>-15872.21</v>
      </c>
      <c r="F37">
        <v>-7230.95</v>
      </c>
    </row>
    <row r="38" spans="1:6">
      <c r="A38" s="1" t="s">
        <v>155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 t="s">
        <v>156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 t="s">
        <v>157</v>
      </c>
      <c r="B40">
        <v>-304.72000000000003</v>
      </c>
      <c r="C40">
        <v>-2218.67</v>
      </c>
      <c r="D40">
        <v>-3549.56</v>
      </c>
      <c r="E40">
        <v>-3682.93</v>
      </c>
      <c r="F40">
        <v>-4338.6400000000003</v>
      </c>
    </row>
    <row r="41" spans="1:6">
      <c r="A41" s="1" t="s">
        <v>158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 t="s">
        <v>159</v>
      </c>
      <c r="B42">
        <v>-304.72000000000003</v>
      </c>
      <c r="C42">
        <v>-2218.67</v>
      </c>
      <c r="D42">
        <v>-3549.56</v>
      </c>
      <c r="E42">
        <v>-3682.93</v>
      </c>
      <c r="F42">
        <v>-4338.6400000000003</v>
      </c>
    </row>
    <row r="43" spans="1:6">
      <c r="A43" s="1" t="s">
        <v>160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 t="s">
        <v>161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 t="s">
        <v>162</v>
      </c>
      <c r="B45">
        <v>3784.37</v>
      </c>
      <c r="C45">
        <v>-1717.74</v>
      </c>
      <c r="D45">
        <v>-1051.5899999999999</v>
      </c>
      <c r="E45">
        <v>-5495.22</v>
      </c>
      <c r="F45">
        <v>-2124.9299999999998</v>
      </c>
    </row>
    <row r="46" spans="1:6">
      <c r="A46" s="1" t="s">
        <v>163</v>
      </c>
      <c r="B46">
        <v>-8.9600000000000009</v>
      </c>
      <c r="C46">
        <v>-25.92</v>
      </c>
      <c r="D46">
        <v>37.51</v>
      </c>
      <c r="E46">
        <v>-13.09</v>
      </c>
      <c r="F46">
        <v>2.48</v>
      </c>
    </row>
    <row r="47" spans="1:6">
      <c r="A47" s="1" t="s">
        <v>164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 t="s">
        <v>165</v>
      </c>
      <c r="B48">
        <v>1627.3</v>
      </c>
      <c r="C48">
        <v>263.3</v>
      </c>
      <c r="D48">
        <v>1022.52</v>
      </c>
      <c r="E48">
        <v>-1215.67</v>
      </c>
      <c r="F48">
        <v>3732.84</v>
      </c>
    </row>
    <row r="49" spans="1:6">
      <c r="A49" s="1" t="s">
        <v>166</v>
      </c>
      <c r="B49">
        <v>407.17</v>
      </c>
      <c r="C49">
        <v>529.12</v>
      </c>
      <c r="D49">
        <v>504.63</v>
      </c>
      <c r="E49">
        <v>473.36</v>
      </c>
      <c r="F49">
        <v>382.13</v>
      </c>
    </row>
    <row r="50" spans="1:6">
      <c r="A50" s="1" t="s">
        <v>167</v>
      </c>
      <c r="B50">
        <v>831.44</v>
      </c>
      <c r="C50">
        <v>911.08</v>
      </c>
      <c r="D50">
        <v>998.94</v>
      </c>
      <c r="E50">
        <v>1051.24</v>
      </c>
      <c r="F50">
        <v>1215.2</v>
      </c>
    </row>
    <row r="51" spans="1:6">
      <c r="A51" s="1" t="s">
        <v>168</v>
      </c>
      <c r="B51">
        <v>-1780.16</v>
      </c>
      <c r="C51">
        <v>1958.9</v>
      </c>
      <c r="D51">
        <v>1074.08</v>
      </c>
      <c r="E51">
        <v>3238.12</v>
      </c>
      <c r="F51">
        <v>4763.8</v>
      </c>
    </row>
    <row r="52" spans="1:6">
      <c r="A52" s="1" t="s">
        <v>169</v>
      </c>
      <c r="B52">
        <v>-1488.9</v>
      </c>
      <c r="C52">
        <v>2298.6999999999998</v>
      </c>
      <c r="D52">
        <v>1388.88</v>
      </c>
      <c r="E52">
        <v>3517.92</v>
      </c>
      <c r="F52">
        <v>5013.83</v>
      </c>
    </row>
    <row r="53" spans="1:6">
      <c r="A53" s="1" t="s">
        <v>170</v>
      </c>
      <c r="B53">
        <v>639.69000000000005</v>
      </c>
      <c r="C53">
        <v>-666.57</v>
      </c>
      <c r="D53">
        <v>29.51</v>
      </c>
      <c r="E53">
        <v>552.11</v>
      </c>
      <c r="F53">
        <v>-135.51</v>
      </c>
    </row>
    <row r="54" spans="1:6">
      <c r="A54" s="1" t="s">
        <v>171</v>
      </c>
      <c r="B54">
        <v>4089.09</v>
      </c>
      <c r="C54">
        <v>500.93</v>
      </c>
      <c r="D54">
        <v>2497.98</v>
      </c>
      <c r="E54">
        <v>-1812.29</v>
      </c>
      <c r="F54">
        <v>2213.6999999999998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CDC25-FC19-47E5-92B3-00AE3C64A1C0}">
  <sheetPr>
    <tabColor rgb="FFFFFF00"/>
  </sheetPr>
  <dimension ref="A1:U227"/>
  <sheetViews>
    <sheetView tabSelected="1" topLeftCell="A64" zoomScale="130" zoomScaleNormal="130" workbookViewId="0">
      <selection activeCell="O96" sqref="O96"/>
    </sheetView>
    <sheetView workbookViewId="1">
      <selection activeCell="L23" sqref="L23"/>
    </sheetView>
  </sheetViews>
  <sheetFormatPr defaultColWidth="8.88671875" defaultRowHeight="10.199999999999999"/>
  <cols>
    <col min="1" max="1" width="42.33203125" style="12" bestFit="1" customWidth="1"/>
    <col min="2" max="3" width="8.44140625" style="12" customWidth="1"/>
    <col min="4" max="8" width="8.44140625" style="59" customWidth="1"/>
    <col min="9" max="13" width="8.44140625" style="12" customWidth="1"/>
    <col min="14" max="14" width="1.44140625" style="12" customWidth="1"/>
    <col min="15" max="15" width="51.77734375" style="12" bestFit="1" customWidth="1"/>
    <col min="16" max="16384" width="8.88671875" style="12"/>
  </cols>
  <sheetData>
    <row r="1" spans="1:15" s="5" customFormat="1" ht="13.8">
      <c r="A1" s="2" t="s">
        <v>172</v>
      </c>
      <c r="B1" s="3"/>
      <c r="C1" s="3"/>
      <c r="D1" s="4"/>
      <c r="E1" s="4"/>
      <c r="F1" s="4"/>
      <c r="G1" s="4"/>
      <c r="H1" s="4"/>
    </row>
    <row r="2" spans="1:15" s="5" customFormat="1" ht="13.8">
      <c r="A2" s="6" t="s">
        <v>173</v>
      </c>
      <c r="B2" s="7"/>
      <c r="C2" s="7"/>
      <c r="D2" s="4"/>
      <c r="E2" s="4"/>
      <c r="F2" s="4"/>
      <c r="G2" s="4"/>
      <c r="H2" s="8"/>
    </row>
    <row r="3" spans="1:15">
      <c r="A3" s="9"/>
      <c r="B3" s="9"/>
      <c r="C3" s="9"/>
      <c r="D3" s="10" t="s">
        <v>174</v>
      </c>
      <c r="E3" s="10" t="s">
        <v>174</v>
      </c>
      <c r="F3" s="10" t="s">
        <v>174</v>
      </c>
      <c r="G3" s="10" t="s">
        <v>174</v>
      </c>
      <c r="H3" s="10" t="s">
        <v>174</v>
      </c>
      <c r="I3" s="11" t="s">
        <v>175</v>
      </c>
      <c r="J3" s="11" t="s">
        <v>175</v>
      </c>
      <c r="K3" s="11" t="s">
        <v>175</v>
      </c>
      <c r="L3" s="11" t="s">
        <v>175</v>
      </c>
      <c r="M3" s="11" t="s">
        <v>175</v>
      </c>
    </row>
    <row r="4" spans="1:15">
      <c r="A4" s="13" t="s">
        <v>176</v>
      </c>
      <c r="B4" s="13"/>
      <c r="C4" s="13"/>
      <c r="D4" s="14">
        <f>2014+543</f>
        <v>2557</v>
      </c>
      <c r="E4" s="14">
        <f t="shared" ref="E4:G4" si="0">D4+1</f>
        <v>2558</v>
      </c>
      <c r="F4" s="14">
        <f t="shared" si="0"/>
        <v>2559</v>
      </c>
      <c r="G4" s="14">
        <f t="shared" si="0"/>
        <v>2560</v>
      </c>
      <c r="H4" s="14">
        <f>G4+1</f>
        <v>2561</v>
      </c>
      <c r="I4" s="151">
        <f>H4+1</f>
        <v>2562</v>
      </c>
      <c r="J4" s="14">
        <f t="shared" ref="J4:M4" si="1">I4+1</f>
        <v>2563</v>
      </c>
      <c r="K4" s="14">
        <f t="shared" si="1"/>
        <v>2564</v>
      </c>
      <c r="L4" s="14">
        <f t="shared" si="1"/>
        <v>2565</v>
      </c>
      <c r="M4" s="14">
        <f t="shared" si="1"/>
        <v>2566</v>
      </c>
      <c r="O4" s="14" t="s">
        <v>177</v>
      </c>
    </row>
    <row r="5" spans="1:15" ht="3" customHeight="1">
      <c r="A5" s="15"/>
      <c r="B5" s="15"/>
      <c r="C5" s="15"/>
      <c r="D5" s="16"/>
      <c r="E5" s="16"/>
      <c r="F5" s="16"/>
      <c r="G5" s="16"/>
      <c r="H5" s="135"/>
      <c r="I5" s="152"/>
      <c r="J5" s="17"/>
      <c r="K5" s="17"/>
      <c r="L5" s="17"/>
      <c r="M5" s="17"/>
    </row>
    <row r="6" spans="1:15">
      <c r="A6" s="12" t="s">
        <v>6</v>
      </c>
      <c r="C6" s="175"/>
      <c r="D6" s="23">
        <f>IS!B2</f>
        <v>49155.57</v>
      </c>
      <c r="E6" s="23">
        <f>IS!C2</f>
        <v>53989.95</v>
      </c>
      <c r="F6" s="23">
        <f>IS!D2</f>
        <v>58753.01</v>
      </c>
      <c r="G6" s="23">
        <f>IS!E2</f>
        <v>61784.79</v>
      </c>
      <c r="H6" s="23">
        <f>IS!F2</f>
        <v>63556.04</v>
      </c>
      <c r="I6" s="152">
        <f>H6*(1+I7)</f>
        <v>65971.169519999996</v>
      </c>
      <c r="J6" s="17">
        <f>I6*(1+J7)</f>
        <v>68227.383517583992</v>
      </c>
      <c r="K6" s="17">
        <f>J6*(1+K7)</f>
        <v>70327.42238225523</v>
      </c>
      <c r="L6" s="17">
        <f>K6*(1+L7)</f>
        <v>72275.632637088464</v>
      </c>
      <c r="M6" s="17">
        <f>L6*(1+M7)</f>
        <v>74077.594254869837</v>
      </c>
    </row>
    <row r="7" spans="1:15">
      <c r="A7" s="19" t="s">
        <v>178</v>
      </c>
      <c r="B7" s="19"/>
      <c r="C7" s="19"/>
      <c r="D7" s="20" t="s">
        <v>179</v>
      </c>
      <c r="E7" s="136">
        <f>IFERROR(E6/D6-1,"")</f>
        <v>9.834856965344918E-2</v>
      </c>
      <c r="F7" s="136">
        <f t="shared" ref="F7:H7" si="2">IFERROR(F6/E6-1,"")</f>
        <v>8.8221233766654805E-2</v>
      </c>
      <c r="G7" s="136">
        <f t="shared" si="2"/>
        <v>5.1602122172123677E-2</v>
      </c>
      <c r="H7" s="136">
        <f t="shared" si="2"/>
        <v>2.866805891870805E-2</v>
      </c>
      <c r="I7" s="154">
        <v>3.7999999999999999E-2</v>
      </c>
      <c r="J7" s="21">
        <f>I7*0.9</f>
        <v>3.4200000000000001E-2</v>
      </c>
      <c r="K7" s="21">
        <f t="shared" ref="K7:M7" si="3">J7*0.9</f>
        <v>3.0780000000000002E-2</v>
      </c>
      <c r="L7" s="21">
        <f t="shared" si="3"/>
        <v>2.7702000000000001E-2</v>
      </c>
      <c r="M7" s="21">
        <f t="shared" si="3"/>
        <v>2.49318E-2</v>
      </c>
      <c r="O7" s="12" t="s">
        <v>180</v>
      </c>
    </row>
    <row r="8" spans="1:15" ht="3" customHeight="1">
      <c r="D8" s="22"/>
      <c r="E8" s="22"/>
      <c r="F8" s="22"/>
      <c r="G8" s="22"/>
      <c r="H8" s="137"/>
      <c r="I8" s="155"/>
    </row>
    <row r="9" spans="1:15">
      <c r="A9" s="12" t="s">
        <v>334</v>
      </c>
      <c r="D9" s="23">
        <f>IS!B51-IS!B2</f>
        <v>2053.0199999999968</v>
      </c>
      <c r="E9" s="23">
        <f>IS!C51-IS!C2</f>
        <v>2253.2200000000012</v>
      </c>
      <c r="F9" s="23">
        <f>IS!D51-IS!D2</f>
        <v>2391.0599999999977</v>
      </c>
      <c r="G9" s="23">
        <f>IS!E51-IS!E2</f>
        <v>2449.6999999999971</v>
      </c>
      <c r="H9" s="23">
        <f>IS!F51-IS!F2</f>
        <v>2493.8700000000026</v>
      </c>
      <c r="I9" s="152">
        <f>H9*(1+I10)</f>
        <v>2493.8700000000026</v>
      </c>
      <c r="J9" s="17">
        <f>I9*(1+J10)</f>
        <v>2493.8700000000026</v>
      </c>
      <c r="K9" s="17">
        <f>J9*(1+K10)</f>
        <v>2493.8700000000026</v>
      </c>
      <c r="L9" s="17">
        <f>K9*(1+L10)</f>
        <v>2493.8700000000026</v>
      </c>
      <c r="M9" s="17">
        <f>L9*(1+M10)</f>
        <v>2493.8700000000026</v>
      </c>
    </row>
    <row r="10" spans="1:15">
      <c r="A10" s="19" t="s">
        <v>178</v>
      </c>
      <c r="B10" s="19"/>
      <c r="C10" s="19"/>
      <c r="D10" s="20" t="s">
        <v>179</v>
      </c>
      <c r="E10" s="136">
        <f>IFERROR(E9/D9-1,"")</f>
        <v>9.7514880517483915E-2</v>
      </c>
      <c r="F10" s="136">
        <f t="shared" ref="F10" si="4">IFERROR(F9/E9-1,"")</f>
        <v>6.1174674465873879E-2</v>
      </c>
      <c r="G10" s="136">
        <f t="shared" ref="G10" si="5">IFERROR(G9/F9-1,"")</f>
        <v>2.452468779537087E-2</v>
      </c>
      <c r="H10" s="136">
        <f t="shared" ref="H10" si="6">IFERROR(H9/G9-1,"")</f>
        <v>1.8030779279097686E-2</v>
      </c>
      <c r="I10" s="154">
        <v>0</v>
      </c>
      <c r="J10" s="21">
        <v>0</v>
      </c>
      <c r="K10" s="21">
        <v>0</v>
      </c>
      <c r="L10" s="21">
        <v>0</v>
      </c>
      <c r="M10" s="21">
        <v>0</v>
      </c>
    </row>
    <row r="11" spans="1:15" ht="3" customHeight="1">
      <c r="D11" s="22"/>
      <c r="E11" s="22"/>
      <c r="F11" s="22"/>
      <c r="G11" s="22"/>
      <c r="H11" s="137"/>
      <c r="I11" s="155"/>
    </row>
    <row r="12" spans="1:15">
      <c r="A12" s="9" t="s">
        <v>335</v>
      </c>
      <c r="B12" s="9"/>
      <c r="C12" s="9"/>
      <c r="D12" s="171">
        <f>SUM(D6,D9)</f>
        <v>51208.59</v>
      </c>
      <c r="E12" s="171">
        <f t="shared" ref="E12:M12" si="7">SUM(E6,E9)</f>
        <v>56243.17</v>
      </c>
      <c r="F12" s="171">
        <f t="shared" si="7"/>
        <v>61144.07</v>
      </c>
      <c r="G12" s="171">
        <f t="shared" si="7"/>
        <v>64234.49</v>
      </c>
      <c r="H12" s="171">
        <f t="shared" si="7"/>
        <v>66049.91</v>
      </c>
      <c r="I12" s="172">
        <f t="shared" si="7"/>
        <v>68465.039519999991</v>
      </c>
      <c r="J12" s="171">
        <f t="shared" si="7"/>
        <v>70721.253517584002</v>
      </c>
      <c r="K12" s="171">
        <f t="shared" si="7"/>
        <v>72821.292382255226</v>
      </c>
      <c r="L12" s="171">
        <f t="shared" si="7"/>
        <v>74769.502637088473</v>
      </c>
      <c r="M12" s="171">
        <f t="shared" si="7"/>
        <v>76571.464254869847</v>
      </c>
    </row>
    <row r="13" spans="1:15">
      <c r="A13" s="19" t="s">
        <v>178</v>
      </c>
      <c r="B13" s="19"/>
      <c r="C13" s="19"/>
      <c r="D13" s="173" t="s">
        <v>179</v>
      </c>
      <c r="E13" s="174">
        <f>IFERROR(E12/D12-1,"")</f>
        <v>9.8315145955004901E-2</v>
      </c>
      <c r="F13" s="174">
        <f t="shared" ref="F13" si="8">IFERROR(F12/E12-1,"")</f>
        <v>8.7137691563260011E-2</v>
      </c>
      <c r="G13" s="174">
        <f t="shared" ref="G13" si="9">IFERROR(G12/F12-1,"")</f>
        <v>5.0543249737873053E-2</v>
      </c>
      <c r="H13" s="174">
        <f t="shared" ref="H13" si="10">IFERROR(H12/G12-1,"")</f>
        <v>2.8262386764493774E-2</v>
      </c>
      <c r="I13" s="176">
        <f t="shared" ref="I13" si="11">IFERROR(I12/H12-1,"")</f>
        <v>3.6565220452230651E-2</v>
      </c>
      <c r="J13" s="174">
        <f t="shared" ref="J13" si="12">IFERROR(J12/I12-1,"")</f>
        <v>3.2954249546951919E-2</v>
      </c>
      <c r="K13" s="174">
        <f t="shared" ref="K13" si="13">IFERROR(K12/J12-1,"")</f>
        <v>2.9694593353737364E-2</v>
      </c>
      <c r="L13" s="174">
        <f t="shared" ref="L13" si="14">IFERROR(L12/K12-1,"")</f>
        <v>2.6753305126839155E-2</v>
      </c>
      <c r="M13" s="174">
        <f t="shared" ref="M13" si="15">IFERROR(M12/L12-1,"")</f>
        <v>2.4100222072194644E-2</v>
      </c>
    </row>
    <row r="14" spans="1:15" ht="3" customHeight="1">
      <c r="D14" s="22"/>
      <c r="E14" s="22"/>
      <c r="F14" s="22"/>
      <c r="G14" s="22"/>
      <c r="H14" s="137"/>
      <c r="I14" s="155"/>
    </row>
    <row r="15" spans="1:15">
      <c r="A15" s="12" t="s">
        <v>181</v>
      </c>
      <c r="C15" s="126" t="s">
        <v>6</v>
      </c>
      <c r="D15" s="23">
        <f>IS!B3</f>
        <v>35472.879999999997</v>
      </c>
      <c r="E15" s="23">
        <f>IS!C3</f>
        <v>38999.730000000003</v>
      </c>
      <c r="F15" s="23">
        <f>IS!D3</f>
        <v>42404.65</v>
      </c>
      <c r="G15" s="23">
        <f>IS!E3</f>
        <v>44049.760000000002</v>
      </c>
      <c r="H15" s="23">
        <f>IS!F3</f>
        <v>44644.21</v>
      </c>
      <c r="I15" s="152">
        <f>I6*I16</f>
        <v>47250.324950693379</v>
      </c>
      <c r="J15" s="17">
        <f>J6*J16</f>
        <v>48866.286064007094</v>
      </c>
      <c r="K15" s="17">
        <f>K6*K16</f>
        <v>50370.390349057234</v>
      </c>
      <c r="L15" s="17">
        <f>L6*L16</f>
        <v>51765.750902506814</v>
      </c>
      <c r="M15" s="17">
        <f>M6*M16</f>
        <v>53056.364250857943</v>
      </c>
    </row>
    <row r="16" spans="1:15">
      <c r="A16" s="19" t="s">
        <v>182</v>
      </c>
      <c r="B16" s="19"/>
      <c r="C16" s="19"/>
      <c r="D16" s="24">
        <f>D15/D6</f>
        <v>0.72164517673175177</v>
      </c>
      <c r="E16" s="24">
        <f>E15/E6</f>
        <v>0.7223516598922578</v>
      </c>
      <c r="F16" s="24">
        <f>F15/F6</f>
        <v>0.72174429871763168</v>
      </c>
      <c r="G16" s="24">
        <f>G15/G6</f>
        <v>0.71295475795903818</v>
      </c>
      <c r="H16" s="136">
        <f>H15/H6</f>
        <v>0.70243850938478858</v>
      </c>
      <c r="I16" s="154">
        <f>AVERAGE($D16:$H16)</f>
        <v>0.71622688053709349</v>
      </c>
      <c r="J16" s="177">
        <f t="shared" ref="J16:M16" si="16">AVERAGE($D16:$H16)</f>
        <v>0.71622688053709349</v>
      </c>
      <c r="K16" s="177">
        <f t="shared" si="16"/>
        <v>0.71622688053709349</v>
      </c>
      <c r="L16" s="177">
        <f t="shared" si="16"/>
        <v>0.71622688053709349</v>
      </c>
      <c r="M16" s="177">
        <f t="shared" si="16"/>
        <v>0.71622688053709349</v>
      </c>
    </row>
    <row r="17" spans="1:15" ht="3" customHeight="1">
      <c r="D17" s="22"/>
      <c r="E17" s="22"/>
      <c r="F17" s="22"/>
      <c r="G17" s="22"/>
      <c r="H17" s="137"/>
      <c r="I17" s="155"/>
    </row>
    <row r="18" spans="1:15">
      <c r="A18" s="9" t="s">
        <v>8</v>
      </c>
      <c r="B18" s="9"/>
      <c r="C18" s="9"/>
      <c r="D18" s="25">
        <f>D12-D15</f>
        <v>15735.71</v>
      </c>
      <c r="E18" s="25">
        <f t="shared" ref="E18:M18" si="17">E12-E15</f>
        <v>17243.439999999995</v>
      </c>
      <c r="F18" s="25">
        <f t="shared" si="17"/>
        <v>18739.419999999998</v>
      </c>
      <c r="G18" s="25">
        <f t="shared" si="17"/>
        <v>20184.729999999996</v>
      </c>
      <c r="H18" s="25">
        <f t="shared" si="17"/>
        <v>21405.700000000004</v>
      </c>
      <c r="I18" s="156">
        <f t="shared" si="17"/>
        <v>21214.714569306612</v>
      </c>
      <c r="J18" s="25">
        <f t="shared" si="17"/>
        <v>21854.967453576908</v>
      </c>
      <c r="K18" s="25">
        <f t="shared" si="17"/>
        <v>22450.902033197992</v>
      </c>
      <c r="L18" s="25">
        <f t="shared" si="17"/>
        <v>23003.75173458166</v>
      </c>
      <c r="M18" s="25">
        <f t="shared" si="17"/>
        <v>23515.100004011903</v>
      </c>
    </row>
    <row r="19" spans="1:15">
      <c r="A19" s="19" t="s">
        <v>182</v>
      </c>
      <c r="B19" s="19"/>
      <c r="C19" s="19"/>
      <c r="D19" s="24">
        <f t="shared" ref="D19" si="18">D18/D6</f>
        <v>0.32012058857215975</v>
      </c>
      <c r="E19" s="24">
        <f t="shared" ref="E19:F19" si="19">E18/E6</f>
        <v>0.31938240357696196</v>
      </c>
      <c r="F19" s="24">
        <f t="shared" si="19"/>
        <v>0.31895250983736828</v>
      </c>
      <c r="G19" s="24">
        <f t="shared" ref="G19:M19" si="20">G18/G6</f>
        <v>0.32669415886984476</v>
      </c>
      <c r="H19" s="136">
        <f t="shared" si="20"/>
        <v>0.33680040480810325</v>
      </c>
      <c r="I19" s="157">
        <f t="shared" si="20"/>
        <v>0.32157554161405466</v>
      </c>
      <c r="J19" s="24">
        <f t="shared" si="20"/>
        <v>0.32032545184653471</v>
      </c>
      <c r="K19" s="24">
        <f t="shared" si="20"/>
        <v>0.31923396696055684</v>
      </c>
      <c r="L19" s="24">
        <f t="shared" si="20"/>
        <v>0.31827810972044279</v>
      </c>
      <c r="M19" s="24">
        <f t="shared" si="20"/>
        <v>0.31743876458928105</v>
      </c>
    </row>
    <row r="20" spans="1:15" ht="3" customHeight="1">
      <c r="D20" s="22"/>
      <c r="E20" s="22"/>
      <c r="F20" s="22"/>
      <c r="G20" s="22"/>
      <c r="H20" s="137"/>
      <c r="I20" s="155"/>
    </row>
    <row r="21" spans="1:15">
      <c r="A21" s="12" t="s">
        <v>183</v>
      </c>
      <c r="B21" s="26"/>
      <c r="C21" s="126" t="s">
        <v>6</v>
      </c>
      <c r="D21" s="23">
        <f>IS!B5</f>
        <v>11058.32</v>
      </c>
      <c r="E21" s="23">
        <f>IS!C5</f>
        <v>12259.91</v>
      </c>
      <c r="F21" s="23">
        <f>IS!D5</f>
        <v>13128.92</v>
      </c>
      <c r="G21" s="23">
        <f>IS!E5</f>
        <v>13745.58</v>
      </c>
      <c r="H21" s="23">
        <f>IS!F5</f>
        <v>14039.67</v>
      </c>
      <c r="I21" s="158">
        <f>I6*I22</f>
        <v>14762.768080861404</v>
      </c>
      <c r="J21" s="27">
        <f>J6*J22</f>
        <v>15267.654749226864</v>
      </c>
      <c r="K21" s="27">
        <f>K6*K22</f>
        <v>15737.593162408066</v>
      </c>
      <c r="L21" s="27">
        <f>L6*L22</f>
        <v>16173.555968193095</v>
      </c>
      <c r="M21" s="27">
        <f>M6*M22</f>
        <v>16576.791830880895</v>
      </c>
    </row>
    <row r="22" spans="1:15">
      <c r="A22" s="19" t="s">
        <v>182</v>
      </c>
      <c r="B22" s="26"/>
      <c r="C22" s="26"/>
      <c r="D22" s="24">
        <f>D21/D6</f>
        <v>0.22496575667823604</v>
      </c>
      <c r="E22" s="24">
        <f>E21/E6</f>
        <v>0.22707763204077797</v>
      </c>
      <c r="F22" s="24">
        <f>F21/F6</f>
        <v>0.2234595299883359</v>
      </c>
      <c r="G22" s="24">
        <f>G21/G6</f>
        <v>0.22247514315416464</v>
      </c>
      <c r="H22" s="136">
        <f>H21/H6</f>
        <v>0.22090221480129976</v>
      </c>
      <c r="I22" s="154">
        <f>AVERAGE($D22:$H22)</f>
        <v>0.22377605533256287</v>
      </c>
      <c r="J22" s="177">
        <f t="shared" ref="J22:M22" si="21">AVERAGE($D22:$H22)</f>
        <v>0.22377605533256287</v>
      </c>
      <c r="K22" s="177">
        <f t="shared" si="21"/>
        <v>0.22377605533256287</v>
      </c>
      <c r="L22" s="177">
        <f t="shared" si="21"/>
        <v>0.22377605533256287</v>
      </c>
      <c r="M22" s="177">
        <f t="shared" si="21"/>
        <v>0.22377605533256287</v>
      </c>
    </row>
    <row r="23" spans="1:15" ht="3" customHeight="1">
      <c r="D23" s="22"/>
      <c r="E23" s="22"/>
      <c r="F23" s="22"/>
      <c r="G23" s="22"/>
      <c r="H23" s="137"/>
      <c r="I23" s="155"/>
    </row>
    <row r="24" spans="1:15">
      <c r="A24" s="28" t="s">
        <v>184</v>
      </c>
      <c r="B24" s="28"/>
      <c r="C24" s="28"/>
      <c r="D24" s="29">
        <f t="shared" ref="D24" si="22">D18-D21</f>
        <v>4677.3899999999994</v>
      </c>
      <c r="E24" s="29">
        <f t="shared" ref="E24:F24" si="23">E18-E21</f>
        <v>4983.5299999999952</v>
      </c>
      <c r="F24" s="29">
        <f t="shared" si="23"/>
        <v>5610.4999999999982</v>
      </c>
      <c r="G24" s="29">
        <f t="shared" ref="G24:M24" si="24">G18-G21</f>
        <v>6439.149999999996</v>
      </c>
      <c r="H24" s="29">
        <f t="shared" si="24"/>
        <v>7366.0300000000043</v>
      </c>
      <c r="I24" s="159">
        <f t="shared" si="24"/>
        <v>6451.9464884452082</v>
      </c>
      <c r="J24" s="29">
        <f t="shared" si="24"/>
        <v>6587.3127043500444</v>
      </c>
      <c r="K24" s="29">
        <f t="shared" si="24"/>
        <v>6713.308870789926</v>
      </c>
      <c r="L24" s="29">
        <f t="shared" si="24"/>
        <v>6830.1957663885642</v>
      </c>
      <c r="M24" s="29">
        <f t="shared" si="24"/>
        <v>6938.3081731310085</v>
      </c>
    </row>
    <row r="25" spans="1:15">
      <c r="A25" s="19" t="s">
        <v>185</v>
      </c>
      <c r="B25" s="9"/>
      <c r="C25" s="9"/>
      <c r="D25" s="24">
        <f t="shared" ref="D25" si="25">D24/D$6</f>
        <v>9.5154831893923708E-2</v>
      </c>
      <c r="E25" s="24">
        <f t="shared" ref="E25:F25" si="26">E24/E$6</f>
        <v>9.2304771536183966E-2</v>
      </c>
      <c r="F25" s="24">
        <f t="shared" si="26"/>
        <v>9.5492979849032378E-2</v>
      </c>
      <c r="G25" s="24">
        <f t="shared" ref="G25:M25" si="27">G24/G$6</f>
        <v>0.10421901571568012</v>
      </c>
      <c r="H25" s="136">
        <f t="shared" si="27"/>
        <v>0.11589819000680351</v>
      </c>
      <c r="I25" s="157">
        <f t="shared" si="27"/>
        <v>9.7799486281491779E-2</v>
      </c>
      <c r="J25" s="24">
        <f t="shared" si="27"/>
        <v>9.6549396513971847E-2</v>
      </c>
      <c r="K25" s="24">
        <f t="shared" si="27"/>
        <v>9.5457911627993983E-2</v>
      </c>
      <c r="L25" s="24">
        <f t="shared" si="27"/>
        <v>9.4502054387879939E-2</v>
      </c>
      <c r="M25" s="24">
        <f t="shared" si="27"/>
        <v>9.3662709256718157E-2</v>
      </c>
    </row>
    <row r="26" spans="1:15" ht="3" customHeight="1">
      <c r="A26" s="30"/>
      <c r="D26" s="27"/>
      <c r="E26" s="27"/>
      <c r="F26" s="27"/>
      <c r="G26" s="27"/>
      <c r="H26" s="140"/>
      <c r="I26" s="152"/>
      <c r="J26" s="17"/>
      <c r="K26" s="17"/>
      <c r="L26" s="17"/>
      <c r="M26" s="17"/>
    </row>
    <row r="27" spans="1:15">
      <c r="A27" s="12" t="s">
        <v>337</v>
      </c>
      <c r="B27" s="9"/>
      <c r="C27" s="9"/>
      <c r="D27" s="27"/>
      <c r="E27" s="27"/>
      <c r="F27" s="27"/>
      <c r="G27" s="27"/>
      <c r="H27" s="140"/>
      <c r="I27" s="152"/>
      <c r="J27" s="17"/>
      <c r="K27" s="17"/>
      <c r="L27" s="17"/>
      <c r="M27" s="17"/>
    </row>
    <row r="28" spans="1:15">
      <c r="A28" s="26" t="s">
        <v>16</v>
      </c>
      <c r="B28" s="31" t="s">
        <v>188</v>
      </c>
      <c r="D28" s="23">
        <f>-IS!B12</f>
        <v>466.02</v>
      </c>
      <c r="E28" s="23">
        <f>-IS!C12</f>
        <v>543.67999999999995</v>
      </c>
      <c r="F28" s="23">
        <f>-IS!D12</f>
        <v>503.68</v>
      </c>
      <c r="G28" s="23">
        <f>-IS!E12</f>
        <v>447.68</v>
      </c>
      <c r="H28" s="23">
        <f>-IS!F12</f>
        <v>400.05</v>
      </c>
      <c r="I28" s="152" t="e">
        <f ca="1">IF($B$28="ON",I182,0)</f>
        <v>#REF!</v>
      </c>
      <c r="J28" s="17" t="e">
        <f ca="1">IF($B$28="ON",J182,0)</f>
        <v>#REF!</v>
      </c>
      <c r="K28" s="17" t="e">
        <f ca="1">IF($B$28="ON",K182,0)</f>
        <v>#REF!</v>
      </c>
      <c r="L28" s="17" t="e">
        <f ca="1">IF($B$28="ON",L182,0)</f>
        <v>#REF!</v>
      </c>
      <c r="M28" s="17" t="e">
        <f ca="1">IF($B$28="ON",M182,0)</f>
        <v>#REF!</v>
      </c>
      <c r="O28" s="32" t="s">
        <v>189</v>
      </c>
    </row>
    <row r="29" spans="1:15">
      <c r="A29" s="26" t="s">
        <v>186</v>
      </c>
      <c r="B29" s="26"/>
      <c r="C29" s="26"/>
      <c r="D29" s="23">
        <f>-IS!B13</f>
        <v>0</v>
      </c>
      <c r="E29" s="23">
        <f>-IS!C13</f>
        <v>0</v>
      </c>
      <c r="F29" s="23">
        <f>-IS!D13</f>
        <v>0</v>
      </c>
      <c r="G29" s="23">
        <f>-IS!E13</f>
        <v>0</v>
      </c>
      <c r="H29" s="23">
        <f>-IS!F13</f>
        <v>0</v>
      </c>
      <c r="I29" s="178">
        <f>AVERAGE($D29:$H29)</f>
        <v>0</v>
      </c>
      <c r="J29" s="179">
        <f t="shared" ref="J29:M30" si="28">AVERAGE($D29:$H29)</f>
        <v>0</v>
      </c>
      <c r="K29" s="179">
        <f t="shared" si="28"/>
        <v>0</v>
      </c>
      <c r="L29" s="179">
        <f t="shared" si="28"/>
        <v>0</v>
      </c>
      <c r="M29" s="179">
        <f t="shared" si="28"/>
        <v>0</v>
      </c>
      <c r="O29" s="12" t="s">
        <v>187</v>
      </c>
    </row>
    <row r="30" spans="1:15">
      <c r="A30" s="26" t="s">
        <v>190</v>
      </c>
      <c r="B30" s="26"/>
      <c r="C30" s="26"/>
      <c r="D30" s="23">
        <f>-SUM(IS!B15:B17,IS!B19:B25)</f>
        <v>60.39</v>
      </c>
      <c r="E30" s="23">
        <f>-SUM(IS!C15:C17,IS!C19:C25)</f>
        <v>23.05</v>
      </c>
      <c r="F30" s="23">
        <f>-SUM(IS!D15:D17,IS!D19:D25)</f>
        <v>11.9</v>
      </c>
      <c r="G30" s="23">
        <f>-SUM(IS!E15:E17,IS!E19:E25)</f>
        <v>4.7</v>
      </c>
      <c r="H30" s="23">
        <f>-SUM(IS!F15:F17,IS!F19:F25)</f>
        <v>43.84</v>
      </c>
      <c r="I30" s="178">
        <f>AVERAGE($D30:$H30)</f>
        <v>28.776</v>
      </c>
      <c r="J30" s="179">
        <f t="shared" si="28"/>
        <v>28.776</v>
      </c>
      <c r="K30" s="179">
        <f t="shared" si="28"/>
        <v>28.776</v>
      </c>
      <c r="L30" s="179">
        <f t="shared" si="28"/>
        <v>28.776</v>
      </c>
      <c r="M30" s="179">
        <f t="shared" si="28"/>
        <v>28.776</v>
      </c>
      <c r="O30" s="12" t="s">
        <v>191</v>
      </c>
    </row>
    <row r="31" spans="1:15" ht="3" customHeight="1">
      <c r="A31" s="33"/>
      <c r="B31" s="33"/>
      <c r="C31" s="33"/>
      <c r="D31" s="25"/>
      <c r="E31" s="25"/>
      <c r="F31" s="25"/>
      <c r="G31" s="25"/>
      <c r="H31" s="139"/>
      <c r="I31" s="153"/>
      <c r="J31" s="18"/>
      <c r="K31" s="18"/>
      <c r="L31" s="18"/>
      <c r="M31" s="18"/>
    </row>
    <row r="32" spans="1:15">
      <c r="A32" s="12" t="s">
        <v>336</v>
      </c>
      <c r="D32" s="27">
        <f>SUM(D28:D30)</f>
        <v>526.41</v>
      </c>
      <c r="E32" s="27">
        <f t="shared" ref="E32:M32" si="29">SUM(E28:E30)</f>
        <v>566.7299999999999</v>
      </c>
      <c r="F32" s="27">
        <f t="shared" si="29"/>
        <v>515.58000000000004</v>
      </c>
      <c r="G32" s="27">
        <f t="shared" si="29"/>
        <v>452.38</v>
      </c>
      <c r="H32" s="27">
        <f t="shared" si="29"/>
        <v>443.89</v>
      </c>
      <c r="I32" s="158" t="e">
        <f t="shared" ca="1" si="29"/>
        <v>#REF!</v>
      </c>
      <c r="J32" s="27" t="e">
        <f t="shared" ca="1" si="29"/>
        <v>#REF!</v>
      </c>
      <c r="K32" s="27" t="e">
        <f t="shared" ca="1" si="29"/>
        <v>#REF!</v>
      </c>
      <c r="L32" s="27" t="e">
        <f t="shared" ca="1" si="29"/>
        <v>#REF!</v>
      </c>
      <c r="M32" s="27" t="e">
        <f t="shared" ca="1" si="29"/>
        <v>#REF!</v>
      </c>
    </row>
    <row r="33" spans="1:15" ht="3" customHeight="1">
      <c r="D33" s="27"/>
      <c r="E33" s="27"/>
      <c r="F33" s="27"/>
      <c r="G33" s="27"/>
      <c r="H33" s="140"/>
      <c r="I33" s="152"/>
      <c r="J33" s="17"/>
      <c r="K33" s="17"/>
      <c r="L33" s="17"/>
      <c r="M33" s="17"/>
    </row>
    <row r="34" spans="1:15">
      <c r="A34" s="34" t="s">
        <v>192</v>
      </c>
      <c r="B34" s="28"/>
      <c r="C34" s="28"/>
      <c r="D34" s="29">
        <f>D24-D32</f>
        <v>4150.9799999999996</v>
      </c>
      <c r="E34" s="29">
        <f t="shared" ref="E34:M34" si="30">E24-E32</f>
        <v>4416.7999999999956</v>
      </c>
      <c r="F34" s="29">
        <f t="shared" si="30"/>
        <v>5094.9199999999983</v>
      </c>
      <c r="G34" s="29">
        <f t="shared" si="30"/>
        <v>5986.7699999999959</v>
      </c>
      <c r="H34" s="29">
        <f t="shared" si="30"/>
        <v>6922.140000000004</v>
      </c>
      <c r="I34" s="159" t="e">
        <f t="shared" ca="1" si="30"/>
        <v>#REF!</v>
      </c>
      <c r="J34" s="29" t="e">
        <f t="shared" ca="1" si="30"/>
        <v>#REF!</v>
      </c>
      <c r="K34" s="29" t="e">
        <f t="shared" ca="1" si="30"/>
        <v>#REF!</v>
      </c>
      <c r="L34" s="29" t="e">
        <f t="shared" ca="1" si="30"/>
        <v>#REF!</v>
      </c>
      <c r="M34" s="29" t="e">
        <f t="shared" ca="1" si="30"/>
        <v>#REF!</v>
      </c>
    </row>
    <row r="35" spans="1:15" ht="3" customHeight="1">
      <c r="D35" s="27"/>
      <c r="E35" s="27"/>
      <c r="F35" s="27"/>
      <c r="G35" s="27"/>
      <c r="H35" s="140"/>
      <c r="I35" s="152"/>
      <c r="J35" s="17"/>
      <c r="K35" s="17"/>
      <c r="L35" s="17"/>
      <c r="M35" s="17"/>
    </row>
    <row r="36" spans="1:15">
      <c r="A36" s="12" t="s">
        <v>31</v>
      </c>
      <c r="D36" s="23">
        <f>IS!B27</f>
        <v>837.65</v>
      </c>
      <c r="E36" s="23">
        <f>IS!C27</f>
        <v>918</v>
      </c>
      <c r="F36" s="23">
        <f>IS!D27</f>
        <v>969.72</v>
      </c>
      <c r="G36" s="23">
        <f>IS!E27</f>
        <v>1100.3699999999999</v>
      </c>
      <c r="H36" s="23">
        <f>IS!F27</f>
        <v>1309.51</v>
      </c>
      <c r="I36" s="158" t="e">
        <f ca="1">I34*I37</f>
        <v>#REF!</v>
      </c>
      <c r="J36" s="27" t="e">
        <f t="shared" ref="J36:M36" ca="1" si="31">J34*J37</f>
        <v>#REF!</v>
      </c>
      <c r="K36" s="27" t="e">
        <f t="shared" ca="1" si="31"/>
        <v>#REF!</v>
      </c>
      <c r="L36" s="27" t="e">
        <f t="shared" ca="1" si="31"/>
        <v>#REF!</v>
      </c>
      <c r="M36" s="27" t="e">
        <f t="shared" ca="1" si="31"/>
        <v>#REF!</v>
      </c>
    </row>
    <row r="37" spans="1:15">
      <c r="A37" s="19" t="s">
        <v>193</v>
      </c>
      <c r="D37" s="35">
        <f>D36/D34</f>
        <v>0.20179572052864625</v>
      </c>
      <c r="E37" s="35">
        <f>E36/E34</f>
        <v>0.2078427821046914</v>
      </c>
      <c r="F37" s="35">
        <f>F36/F34</f>
        <v>0.19033076083628406</v>
      </c>
      <c r="G37" s="35">
        <f>G36/G34</f>
        <v>0.18380027961655462</v>
      </c>
      <c r="H37" s="136">
        <f>H36/H34</f>
        <v>0.18917704640472444</v>
      </c>
      <c r="I37" s="154">
        <v>0.2</v>
      </c>
      <c r="J37" s="36">
        <v>0.2</v>
      </c>
      <c r="K37" s="36">
        <v>0.2</v>
      </c>
      <c r="L37" s="36">
        <v>0.2</v>
      </c>
      <c r="M37" s="36">
        <v>0.2</v>
      </c>
    </row>
    <row r="38" spans="1:15" ht="3" customHeight="1">
      <c r="D38" s="22"/>
      <c r="E38" s="22"/>
      <c r="F38" s="22"/>
      <c r="G38" s="22"/>
      <c r="H38" s="137"/>
      <c r="I38" s="155"/>
    </row>
    <row r="39" spans="1:15">
      <c r="A39" s="9" t="s">
        <v>37</v>
      </c>
      <c r="B39" s="9"/>
      <c r="C39" s="9"/>
      <c r="D39" s="25">
        <f>D34-D36</f>
        <v>3313.3299999999995</v>
      </c>
      <c r="E39" s="25">
        <f>E34-E36</f>
        <v>3498.7999999999956</v>
      </c>
      <c r="F39" s="25">
        <f>F34-F36</f>
        <v>4125.199999999998</v>
      </c>
      <c r="G39" s="25">
        <f>G34-G36</f>
        <v>4886.399999999996</v>
      </c>
      <c r="H39" s="139">
        <f>H34-H36</f>
        <v>5612.6300000000037</v>
      </c>
      <c r="I39" s="156" t="e">
        <f ca="1">I34-I36</f>
        <v>#REF!</v>
      </c>
      <c r="J39" s="25" t="e">
        <f t="shared" ref="J39:M39" ca="1" si="32">J34-J36</f>
        <v>#REF!</v>
      </c>
      <c r="K39" s="25" t="e">
        <f t="shared" ca="1" si="32"/>
        <v>#REF!</v>
      </c>
      <c r="L39" s="25" t="e">
        <f t="shared" ca="1" si="32"/>
        <v>#REF!</v>
      </c>
      <c r="M39" s="25" t="e">
        <f t="shared" ca="1" si="32"/>
        <v>#REF!</v>
      </c>
    </row>
    <row r="40" spans="1:15">
      <c r="A40" s="19" t="s">
        <v>194</v>
      </c>
      <c r="B40" s="9"/>
      <c r="C40" s="9"/>
      <c r="D40" s="37">
        <f>D39/D$6</f>
        <v>6.7404975672136436E-2</v>
      </c>
      <c r="E40" s="37">
        <f>E39/E$6</f>
        <v>6.4804653458652869E-2</v>
      </c>
      <c r="F40" s="37">
        <f>F39/F$6</f>
        <v>7.0212572938816206E-2</v>
      </c>
      <c r="G40" s="37">
        <f>G39/G$6</f>
        <v>7.9087425885885437E-2</v>
      </c>
      <c r="H40" s="141">
        <f>H39/H$6</f>
        <v>8.8309938756410938E-2</v>
      </c>
      <c r="I40" s="160" t="e">
        <f t="shared" ref="I40:M40" ca="1" si="33">I39/I$6</f>
        <v>#REF!</v>
      </c>
      <c r="J40" s="37" t="e">
        <f t="shared" ca="1" si="33"/>
        <v>#REF!</v>
      </c>
      <c r="K40" s="37" t="e">
        <f t="shared" ca="1" si="33"/>
        <v>#REF!</v>
      </c>
      <c r="L40" s="37" t="e">
        <f t="shared" ca="1" si="33"/>
        <v>#REF!</v>
      </c>
      <c r="M40" s="37" t="e">
        <f t="shared" ca="1" si="33"/>
        <v>#REF!</v>
      </c>
    </row>
    <row r="41" spans="1:15" ht="3" customHeight="1">
      <c r="D41" s="27"/>
      <c r="E41" s="27"/>
      <c r="F41" s="27"/>
      <c r="G41" s="27"/>
      <c r="H41" s="140"/>
      <c r="I41" s="152"/>
      <c r="J41" s="17"/>
      <c r="K41" s="17"/>
      <c r="L41" s="17"/>
      <c r="M41" s="17"/>
    </row>
    <row r="42" spans="1:15">
      <c r="A42" s="38" t="s">
        <v>184</v>
      </c>
      <c r="B42" s="38"/>
      <c r="C42" s="38"/>
      <c r="D42" s="39">
        <f>D24</f>
        <v>4677.3899999999994</v>
      </c>
      <c r="E42" s="39">
        <f>E24</f>
        <v>4983.5299999999952</v>
      </c>
      <c r="F42" s="39">
        <f>F24</f>
        <v>5610.4999999999982</v>
      </c>
      <c r="G42" s="39">
        <f>G24</f>
        <v>6439.149999999996</v>
      </c>
      <c r="H42" s="39">
        <f>H24</f>
        <v>7366.0300000000043</v>
      </c>
      <c r="I42" s="161">
        <f>I24</f>
        <v>6451.9464884452082</v>
      </c>
      <c r="J42" s="40">
        <f>J24</f>
        <v>6587.3127043500444</v>
      </c>
      <c r="K42" s="40">
        <f>K24</f>
        <v>6713.308870789926</v>
      </c>
      <c r="L42" s="40">
        <f>L24</f>
        <v>6830.1957663885642</v>
      </c>
      <c r="M42" s="40">
        <f>M24</f>
        <v>6938.3081731310085</v>
      </c>
    </row>
    <row r="43" spans="1:15">
      <c r="A43" s="41" t="s">
        <v>195</v>
      </c>
      <c r="B43" s="41"/>
      <c r="C43" s="41"/>
      <c r="D43" s="42">
        <f>D190</f>
        <v>0</v>
      </c>
      <c r="E43" s="42">
        <f>E190</f>
        <v>3064.4917839999998</v>
      </c>
      <c r="F43" s="42">
        <f>F190</f>
        <v>0</v>
      </c>
      <c r="G43" s="42">
        <f>G190</f>
        <v>3065.8401570000001</v>
      </c>
      <c r="H43" s="142">
        <f>H190</f>
        <v>3064.4917839999998</v>
      </c>
      <c r="I43" s="162" t="e">
        <f ca="1">I$190</f>
        <v>#REF!</v>
      </c>
      <c r="J43" s="43" t="e">
        <f t="shared" ref="J43:M43" ca="1" si="34">J$190</f>
        <v>#REF!</v>
      </c>
      <c r="K43" s="43" t="e">
        <f t="shared" ca="1" si="34"/>
        <v>#REF!</v>
      </c>
      <c r="L43" s="43" t="e">
        <f t="shared" ca="1" si="34"/>
        <v>#REF!</v>
      </c>
      <c r="M43" s="43" t="e">
        <f t="shared" ca="1" si="34"/>
        <v>#REF!</v>
      </c>
    </row>
    <row r="44" spans="1:15">
      <c r="A44" s="41" t="s">
        <v>51</v>
      </c>
      <c r="B44" s="44"/>
      <c r="C44" s="44"/>
      <c r="D44" s="42">
        <f t="shared" ref="D44" si="35">SUM(D42:D43)</f>
        <v>4677.3899999999994</v>
      </c>
      <c r="E44" s="42">
        <f t="shared" ref="E44:F44" si="36">SUM(E42:E43)</f>
        <v>8048.021783999995</v>
      </c>
      <c r="F44" s="42">
        <f t="shared" si="36"/>
        <v>5610.4999999999982</v>
      </c>
      <c r="G44" s="42">
        <f t="shared" ref="G44:M44" si="37">SUM(G42:G43)</f>
        <v>9504.9901569999965</v>
      </c>
      <c r="H44" s="142">
        <f t="shared" si="37"/>
        <v>10430.521784000004</v>
      </c>
      <c r="I44" s="163" t="e">
        <f t="shared" ca="1" si="37"/>
        <v>#REF!</v>
      </c>
      <c r="J44" s="42" t="e">
        <f t="shared" ca="1" si="37"/>
        <v>#REF!</v>
      </c>
      <c r="K44" s="42" t="e">
        <f t="shared" ca="1" si="37"/>
        <v>#REF!</v>
      </c>
      <c r="L44" s="42" t="e">
        <f t="shared" ca="1" si="37"/>
        <v>#REF!</v>
      </c>
      <c r="M44" s="42" t="e">
        <f t="shared" ca="1" si="37"/>
        <v>#REF!</v>
      </c>
      <c r="O44" s="45"/>
    </row>
    <row r="45" spans="1:15">
      <c r="A45" s="46" t="s">
        <v>196</v>
      </c>
      <c r="B45" s="44"/>
      <c r="C45" s="44"/>
      <c r="D45" s="47">
        <f t="shared" ref="D45" si="38">D44/D$6</f>
        <v>9.5154831893923708E-2</v>
      </c>
      <c r="E45" s="47">
        <f t="shared" ref="E45:F45" si="39">E44/E$6</f>
        <v>0.1490651831313049</v>
      </c>
      <c r="F45" s="47">
        <f t="shared" si="39"/>
        <v>9.5492979849032378E-2</v>
      </c>
      <c r="G45" s="47">
        <f t="shared" ref="G45:M45" si="40">G44/G$6</f>
        <v>0.15384029235998045</v>
      </c>
      <c r="H45" s="143">
        <f t="shared" si="40"/>
        <v>0.16411535054732806</v>
      </c>
      <c r="I45" s="164" t="e">
        <f t="shared" ca="1" si="40"/>
        <v>#REF!</v>
      </c>
      <c r="J45" s="47" t="e">
        <f t="shared" ca="1" si="40"/>
        <v>#REF!</v>
      </c>
      <c r="K45" s="47" t="e">
        <f t="shared" ca="1" si="40"/>
        <v>#REF!</v>
      </c>
      <c r="L45" s="47" t="e">
        <f t="shared" ca="1" si="40"/>
        <v>#REF!</v>
      </c>
      <c r="M45" s="47" t="e">
        <f t="shared" ca="1" si="40"/>
        <v>#REF!</v>
      </c>
      <c r="O45" s="45"/>
    </row>
    <row r="46" spans="1:15" ht="3" customHeight="1">
      <c r="A46" s="44"/>
      <c r="B46" s="44"/>
      <c r="C46" s="44"/>
      <c r="D46" s="48"/>
      <c r="E46" s="48"/>
      <c r="F46" s="48"/>
      <c r="G46" s="48"/>
      <c r="H46" s="144"/>
      <c r="I46" s="165"/>
      <c r="J46" s="48"/>
      <c r="K46" s="48"/>
      <c r="L46" s="48"/>
      <c r="M46" s="48"/>
      <c r="O46" s="45"/>
    </row>
    <row r="47" spans="1:15">
      <c r="A47" s="41" t="s">
        <v>197</v>
      </c>
      <c r="B47" s="41"/>
      <c r="C47" s="41"/>
      <c r="D47" s="23">
        <f>'[1]PL&amp;CF'!C102/1000000</f>
        <v>0</v>
      </c>
      <c r="E47" s="23">
        <f>'[1]PL&amp;CF'!D102/1000000</f>
        <v>8724.9700119999998</v>
      </c>
      <c r="F47" s="23">
        <f>'[1]PL&amp;CF'!B102/1000000</f>
        <v>0</v>
      </c>
      <c r="G47" s="23">
        <f>'[1]PL&amp;CF'!F102/1000000</f>
        <v>7525.552764</v>
      </c>
      <c r="H47" s="138">
        <f>'[1]PL&amp;CF'!D102/1000000</f>
        <v>8724.9700119999998</v>
      </c>
      <c r="I47" s="162" t="e">
        <f ca="1">I136</f>
        <v>#REF!</v>
      </c>
      <c r="J47" s="43" t="e">
        <f t="shared" ref="J47:M47" ca="1" si="41">J136</f>
        <v>#REF!</v>
      </c>
      <c r="K47" s="43" t="e">
        <f t="shared" ca="1" si="41"/>
        <v>#REF!</v>
      </c>
      <c r="L47" s="43" t="e">
        <f t="shared" ca="1" si="41"/>
        <v>#REF!</v>
      </c>
      <c r="M47" s="43" t="e">
        <f t="shared" ca="1" si="41"/>
        <v>#REF!</v>
      </c>
      <c r="O47" s="49"/>
    </row>
    <row r="48" spans="1:15">
      <c r="A48" s="41" t="s">
        <v>198</v>
      </c>
      <c r="B48" s="41"/>
      <c r="C48" s="41"/>
      <c r="D48" s="42">
        <f>D28*(1-$I$37)</f>
        <v>372.81600000000003</v>
      </c>
      <c r="E48" s="42">
        <f>E28*(1-$I$37)</f>
        <v>434.94399999999996</v>
      </c>
      <c r="F48" s="42">
        <f>F28*(1-$I$37)</f>
        <v>402.94400000000002</v>
      </c>
      <c r="G48" s="42">
        <f>G28*(1-$I$37)</f>
        <v>358.14400000000001</v>
      </c>
      <c r="H48" s="142">
        <f>H28*(1-$I$37)</f>
        <v>320.04000000000002</v>
      </c>
      <c r="I48" s="162" t="e">
        <f ca="1">I28*(1-$I$37)</f>
        <v>#REF!</v>
      </c>
      <c r="J48" s="43" t="e">
        <f ca="1">J28*(1-$I$37)</f>
        <v>#REF!</v>
      </c>
      <c r="K48" s="43" t="e">
        <f ca="1">K28*(1-$I$37)</f>
        <v>#REF!</v>
      </c>
      <c r="L48" s="43" t="e">
        <f ca="1">L28*(1-$I$37)</f>
        <v>#REF!</v>
      </c>
      <c r="M48" s="43" t="e">
        <f ca="1">M28*(1-$I$37)</f>
        <v>#REF!</v>
      </c>
    </row>
    <row r="49" spans="1:21">
      <c r="A49" s="41" t="s">
        <v>199</v>
      </c>
      <c r="B49" s="41"/>
      <c r="C49" s="41"/>
      <c r="D49" s="42">
        <f>-D187</f>
        <v>0</v>
      </c>
      <c r="E49" s="42">
        <f>-E187</f>
        <v>-2249.121255</v>
      </c>
      <c r="F49" s="42">
        <f t="shared" ref="F49" si="42">-F187</f>
        <v>0</v>
      </c>
      <c r="G49" s="42">
        <f>-G187</f>
        <v>-2713.560704</v>
      </c>
      <c r="H49" s="142">
        <f t="shared" ref="H49:M49" si="43">-H187</f>
        <v>-2249.121255</v>
      </c>
      <c r="I49" s="163" t="e">
        <f t="shared" ca="1" si="43"/>
        <v>#REF!</v>
      </c>
      <c r="J49" s="42" t="e">
        <f t="shared" ca="1" si="43"/>
        <v>#REF!</v>
      </c>
      <c r="K49" s="42" t="e">
        <f t="shared" ca="1" si="43"/>
        <v>#REF!</v>
      </c>
      <c r="L49" s="42" t="e">
        <f t="shared" ca="1" si="43"/>
        <v>#REF!</v>
      </c>
      <c r="M49" s="42" t="e">
        <f t="shared" ca="1" si="43"/>
        <v>#REF!</v>
      </c>
    </row>
    <row r="50" spans="1:21" ht="10.8" thickBot="1">
      <c r="A50" s="50" t="s">
        <v>200</v>
      </c>
      <c r="B50" s="51"/>
      <c r="C50" s="51"/>
      <c r="D50" s="52">
        <f t="shared" ref="D50:E50" si="44">SUM(D47:D49)</f>
        <v>372.81600000000003</v>
      </c>
      <c r="E50" s="52">
        <f t="shared" si="44"/>
        <v>6910.7927569999993</v>
      </c>
      <c r="F50" s="52">
        <f t="shared" ref="F50" si="45">SUM(F47:F49)</f>
        <v>402.94400000000002</v>
      </c>
      <c r="G50" s="52">
        <f t="shared" ref="G50:M50" si="46">SUM(G47:G49)</f>
        <v>5170.1360600000007</v>
      </c>
      <c r="H50" s="52">
        <f t="shared" si="46"/>
        <v>6795.8887570000006</v>
      </c>
      <c r="I50" s="166" t="e">
        <f t="shared" ca="1" si="46"/>
        <v>#REF!</v>
      </c>
      <c r="J50" s="52" t="e">
        <f t="shared" ca="1" si="46"/>
        <v>#REF!</v>
      </c>
      <c r="K50" s="52" t="e">
        <f t="shared" ca="1" si="46"/>
        <v>#REF!</v>
      </c>
      <c r="L50" s="52" t="e">
        <f t="shared" ca="1" si="46"/>
        <v>#REF!</v>
      </c>
      <c r="M50" s="52" t="e">
        <f t="shared" ca="1" si="46"/>
        <v>#REF!</v>
      </c>
      <c r="O50" s="53"/>
      <c r="P50" s="54"/>
      <c r="Q50" s="54"/>
      <c r="R50" s="54"/>
      <c r="S50" s="54"/>
      <c r="T50" s="49"/>
      <c r="U50" s="49"/>
    </row>
    <row r="51" spans="1:21" ht="3" customHeight="1" thickTop="1">
      <c r="A51" s="44"/>
      <c r="B51" s="44"/>
      <c r="C51" s="44"/>
      <c r="D51" s="48"/>
      <c r="E51" s="48"/>
      <c r="F51" s="48"/>
      <c r="G51" s="48"/>
      <c r="H51" s="144"/>
      <c r="I51" s="165"/>
      <c r="J51" s="48"/>
      <c r="K51" s="48"/>
      <c r="L51" s="48"/>
      <c r="M51" s="48"/>
      <c r="O51" s="45"/>
    </row>
    <row r="52" spans="1:21">
      <c r="A52" s="41" t="s">
        <v>201</v>
      </c>
      <c r="B52" s="41"/>
      <c r="C52" s="44"/>
      <c r="D52" s="55">
        <f>D39/D76</f>
        <v>7.4771364133449411E-2</v>
      </c>
      <c r="E52" s="55">
        <f>E39/E76</f>
        <v>7.44567474990976E-2</v>
      </c>
      <c r="F52" s="55">
        <f>F39/F76</f>
        <v>7.9719817269779808E-2</v>
      </c>
      <c r="G52" s="55">
        <f>G39/G76</f>
        <v>9.5907013534029306E-2</v>
      </c>
      <c r="H52" s="145">
        <f>H39/H76</f>
        <v>0.10239904691272893</v>
      </c>
      <c r="I52" s="167" t="e">
        <f ca="1">I39/I76</f>
        <v>#REF!</v>
      </c>
      <c r="J52" s="55" t="e">
        <f ca="1">J39/J76</f>
        <v>#REF!</v>
      </c>
      <c r="K52" s="55" t="e">
        <f ca="1">K39/K76</f>
        <v>#REF!</v>
      </c>
      <c r="L52" s="55" t="e">
        <f ca="1">L39/L76</f>
        <v>#REF!</v>
      </c>
      <c r="M52" s="55" t="e">
        <f ca="1">M39/M76</f>
        <v>#REF!</v>
      </c>
      <c r="O52" s="32"/>
    </row>
    <row r="53" spans="1:21">
      <c r="A53" s="41" t="s">
        <v>202</v>
      </c>
      <c r="B53" s="41"/>
      <c r="C53" s="41"/>
      <c r="D53" s="55">
        <f>D39/D101</f>
        <v>0.21101821912756827</v>
      </c>
      <c r="E53" s="55">
        <f>E39/E101</f>
        <v>0.20699737259822856</v>
      </c>
      <c r="F53" s="55">
        <f>F39/F101</f>
        <v>0.23585563704806523</v>
      </c>
      <c r="G53" s="55">
        <f>G39/G101</f>
        <v>0.26221921470539761</v>
      </c>
      <c r="H53" s="145">
        <f>H39/H101</f>
        <v>0.28184215296807452</v>
      </c>
      <c r="I53" s="167" t="e">
        <f ca="1">I39/I101</f>
        <v>#REF!</v>
      </c>
      <c r="J53" s="55" t="e">
        <f ca="1">J39/J101</f>
        <v>#REF!</v>
      </c>
      <c r="K53" s="55" t="e">
        <f ca="1">K39/K101</f>
        <v>#REF!</v>
      </c>
      <c r="L53" s="55" t="e">
        <f ca="1">L39/L101</f>
        <v>#REF!</v>
      </c>
      <c r="M53" s="55" t="e">
        <f ca="1">M39/M101</f>
        <v>#REF!</v>
      </c>
    </row>
    <row r="54" spans="1:21">
      <c r="A54" s="41" t="s">
        <v>203</v>
      </c>
      <c r="B54" s="41"/>
      <c r="C54" s="41"/>
      <c r="D54" s="55">
        <f>D42*(1-D37)/(D81+D89+D101)</f>
        <v>0.12622681377547951</v>
      </c>
      <c r="E54" s="55">
        <f>E42*(1-E37)/(E81+E89+E101)</f>
        <v>0.12620758747271169</v>
      </c>
      <c r="F54" s="55">
        <f>F42*(1-F37)/(F81+F89+F101)</f>
        <v>0.13218655912242144</v>
      </c>
      <c r="G54" s="55">
        <f>G42*(1-G37)/(G81+G89+G101)</f>
        <v>0.15596468439297595</v>
      </c>
      <c r="H54" s="145">
        <f>H42*(1-H37)/(H81+H89+H101)</f>
        <v>0.16065462658535534</v>
      </c>
      <c r="I54" s="167" t="e">
        <f ca="1">I42*(1-I37)/(I81+I89+I101)</f>
        <v>#REF!</v>
      </c>
      <c r="J54" s="55" t="e">
        <f ca="1">J42*(1-J37)/(J81+J89+J101)</f>
        <v>#REF!</v>
      </c>
      <c r="K54" s="55" t="e">
        <f ca="1">K42*(1-K37)/(K81+K89+K101)</f>
        <v>#REF!</v>
      </c>
      <c r="L54" s="55" t="e">
        <f ca="1">L42*(1-L37)/(L81+L89+L101)</f>
        <v>#REF!</v>
      </c>
      <c r="M54" s="55" t="e">
        <f ca="1">M42*(1-M37)/(M81+M89+M101)</f>
        <v>#REF!</v>
      </c>
      <c r="O54" s="56" t="str">
        <f>"g = RR x ROIC = "&amp;TEXT(AVERAGE(G54:H54)*(1-AVERAGE(G218:H218)),"0.00%")</f>
        <v>g = RR x ROIC = 3.75%</v>
      </c>
    </row>
    <row r="55" spans="1:21" ht="3" customHeight="1">
      <c r="A55" s="44"/>
      <c r="B55" s="44"/>
      <c r="C55" s="44"/>
      <c r="D55" s="48"/>
      <c r="E55" s="48"/>
      <c r="F55" s="48"/>
      <c r="G55" s="48"/>
      <c r="H55" s="144"/>
      <c r="I55" s="165"/>
      <c r="J55" s="48"/>
      <c r="K55" s="48"/>
      <c r="L55" s="48"/>
      <c r="M55" s="48"/>
      <c r="O55" s="45"/>
    </row>
    <row r="56" spans="1:21">
      <c r="A56" s="41" t="s">
        <v>204</v>
      </c>
      <c r="B56" s="57" t="s">
        <v>188</v>
      </c>
      <c r="C56" s="44"/>
      <c r="D56" s="42">
        <f>IS!B39</f>
        <v>13151.2</v>
      </c>
      <c r="E56" s="42">
        <f>IS!C39</f>
        <v>13151.2</v>
      </c>
      <c r="F56" s="42">
        <f>IS!D39</f>
        <v>13151.2</v>
      </c>
      <c r="G56" s="42">
        <f>IS!E39</f>
        <v>13151.2</v>
      </c>
      <c r="H56" s="42">
        <f>IS!F39</f>
        <v>13151.2</v>
      </c>
      <c r="I56" s="163">
        <f>IF($B$56="ON",I226,$H$56)</f>
        <v>13151.2</v>
      </c>
      <c r="J56" s="42">
        <f>IF($B$56="ON",J226,$H$56)</f>
        <v>13151.2</v>
      </c>
      <c r="K56" s="42">
        <f>IF($B$56="ON",K226,$H$56)</f>
        <v>13151.2</v>
      </c>
      <c r="L56" s="42">
        <f>IF($B$56="ON",L226,$H$56)</f>
        <v>13151.2</v>
      </c>
      <c r="M56" s="42">
        <f>IF($B$56="ON",M226,$H$56)</f>
        <v>13151.2</v>
      </c>
      <c r="O56" s="32" t="s">
        <v>205</v>
      </c>
    </row>
    <row r="57" spans="1:21">
      <c r="A57" s="41" t="s">
        <v>206</v>
      </c>
      <c r="B57" s="41"/>
      <c r="C57" s="41"/>
      <c r="D57" s="58">
        <f>D6/D$56</f>
        <v>3.7377250745179147</v>
      </c>
      <c r="E57" s="58">
        <f>E6/E$56</f>
        <v>4.1053249893545836</v>
      </c>
      <c r="F57" s="58">
        <f>F6/F$56</f>
        <v>4.4675018249285232</v>
      </c>
      <c r="G57" s="58">
        <f>G6/G$56</f>
        <v>4.6980343999026699</v>
      </c>
      <c r="H57" s="146">
        <f>H6/H$56</f>
        <v>4.8327179268811973</v>
      </c>
      <c r="I57" s="168">
        <f>I6/I$56</f>
        <v>5.0163612081026825</v>
      </c>
      <c r="J57" s="58">
        <f>J6/J$56</f>
        <v>5.1879207614197931</v>
      </c>
      <c r="K57" s="58">
        <f>K6/K$56</f>
        <v>5.3476049624562947</v>
      </c>
      <c r="L57" s="58">
        <f>L6/L$56</f>
        <v>5.4957443151262595</v>
      </c>
      <c r="M57" s="58">
        <f>M6/M$56</f>
        <v>5.6327631132421248</v>
      </c>
    </row>
    <row r="58" spans="1:21">
      <c r="A58" s="41" t="s">
        <v>207</v>
      </c>
      <c r="B58" s="41"/>
      <c r="C58" s="41"/>
      <c r="D58" s="58">
        <f t="shared" ref="D58" si="47">D39/D$56</f>
        <v>0.25194126771701436</v>
      </c>
      <c r="E58" s="58">
        <f t="shared" ref="E58:F58" si="48">E39/E$56</f>
        <v>0.26604416327027158</v>
      </c>
      <c r="F58" s="58">
        <f t="shared" si="48"/>
        <v>0.31367479773708845</v>
      </c>
      <c r="G58" s="58">
        <f t="shared" ref="G58:M58" si="49">G39/G$56</f>
        <v>0.3715554474116427</v>
      </c>
      <c r="H58" s="146">
        <f t="shared" si="49"/>
        <v>0.42677702414988772</v>
      </c>
      <c r="I58" s="168" t="e">
        <f t="shared" ca="1" si="49"/>
        <v>#REF!</v>
      </c>
      <c r="J58" s="58" t="e">
        <f t="shared" ca="1" si="49"/>
        <v>#REF!</v>
      </c>
      <c r="K58" s="58" t="e">
        <f t="shared" ca="1" si="49"/>
        <v>#REF!</v>
      </c>
      <c r="L58" s="58" t="e">
        <f t="shared" ca="1" si="49"/>
        <v>#REF!</v>
      </c>
      <c r="M58" s="58" t="e">
        <f t="shared" ca="1" si="49"/>
        <v>#REF!</v>
      </c>
    </row>
    <row r="59" spans="1:21">
      <c r="A59" s="41" t="s">
        <v>208</v>
      </c>
      <c r="B59" s="41"/>
      <c r="C59" s="41"/>
      <c r="D59" s="58">
        <f>D219/D$56</f>
        <v>0</v>
      </c>
      <c r="E59" s="58">
        <f>E219/E$56</f>
        <v>0.32990422265648761</v>
      </c>
      <c r="F59" s="58">
        <f>F219/F$56</f>
        <v>0</v>
      </c>
      <c r="G59" s="58">
        <f>G219/G$56</f>
        <v>0.28004522279335725</v>
      </c>
      <c r="H59" s="146">
        <f>H219/H$56</f>
        <v>0.32990422265648761</v>
      </c>
      <c r="I59" s="168" t="e">
        <f ca="1">I219/I$56</f>
        <v>#REF!</v>
      </c>
      <c r="J59" s="58" t="e">
        <f ca="1">J219/J$56</f>
        <v>#REF!</v>
      </c>
      <c r="K59" s="58" t="e">
        <f ca="1">K219/K$56</f>
        <v>#REF!</v>
      </c>
      <c r="L59" s="58" t="e">
        <f ca="1">L219/L$56</f>
        <v>#REF!</v>
      </c>
      <c r="M59" s="58" t="e">
        <f ca="1">M219/M$56</f>
        <v>#REF!</v>
      </c>
    </row>
    <row r="60" spans="1:21" ht="3" customHeight="1">
      <c r="H60" s="147"/>
      <c r="I60" s="155"/>
    </row>
    <row r="61" spans="1:21">
      <c r="A61" s="13" t="s">
        <v>209</v>
      </c>
      <c r="B61" s="13"/>
      <c r="C61" s="13"/>
      <c r="D61" s="14">
        <f>D4</f>
        <v>2557</v>
      </c>
      <c r="E61" s="14">
        <f>E4</f>
        <v>2558</v>
      </c>
      <c r="F61" s="14">
        <f>F4</f>
        <v>2559</v>
      </c>
      <c r="G61" s="14">
        <f>G4</f>
        <v>2560</v>
      </c>
      <c r="H61" s="14">
        <f>H4</f>
        <v>2561</v>
      </c>
      <c r="I61" s="151">
        <f>I4</f>
        <v>2562</v>
      </c>
      <c r="J61" s="14">
        <f>J4</f>
        <v>2563</v>
      </c>
      <c r="K61" s="14">
        <f>K4</f>
        <v>2564</v>
      </c>
      <c r="L61" s="14">
        <f>L4</f>
        <v>2565</v>
      </c>
      <c r="M61" s="14">
        <f>M4</f>
        <v>2566</v>
      </c>
    </row>
    <row r="62" spans="1:21" ht="3" customHeight="1">
      <c r="H62" s="147"/>
      <c r="I62" s="155"/>
    </row>
    <row r="63" spans="1:21">
      <c r="A63" s="33" t="s">
        <v>210</v>
      </c>
      <c r="B63" s="33"/>
      <c r="C63" s="33"/>
      <c r="D63" s="60"/>
      <c r="E63" s="60"/>
      <c r="F63" s="60"/>
      <c r="G63" s="60"/>
      <c r="H63" s="148"/>
      <c r="I63" s="155"/>
    </row>
    <row r="64" spans="1:21">
      <c r="A64" s="61" t="s">
        <v>211</v>
      </c>
      <c r="B64" s="61"/>
      <c r="C64" s="61"/>
      <c r="D64" s="23">
        <f>BS!B5</f>
        <v>2434.7600000000002</v>
      </c>
      <c r="E64" s="23">
        <f>BS!C5</f>
        <v>2698.06</v>
      </c>
      <c r="F64" s="23">
        <f>BS!D5</f>
        <v>3720.58</v>
      </c>
      <c r="G64" s="23">
        <f>BS!E5</f>
        <v>2504.91</v>
      </c>
      <c r="H64" s="23">
        <f>BS!F5</f>
        <v>6237.75</v>
      </c>
      <c r="I64" s="152" t="e">
        <f ca="1">I154</f>
        <v>#REF!</v>
      </c>
      <c r="J64" s="17" t="e">
        <f ca="1">J154</f>
        <v>#REF!</v>
      </c>
      <c r="K64" s="17" t="e">
        <f ca="1">K154</f>
        <v>#REF!</v>
      </c>
      <c r="L64" s="17" t="e">
        <f ca="1">L154</f>
        <v>#REF!</v>
      </c>
      <c r="M64" s="17" t="e">
        <f ca="1">M154</f>
        <v>#REF!</v>
      </c>
      <c r="N64" s="17"/>
      <c r="O64" s="62"/>
    </row>
    <row r="65" spans="1:15">
      <c r="A65" s="61" t="s">
        <v>66</v>
      </c>
      <c r="B65" s="61"/>
      <c r="C65" s="61"/>
      <c r="D65" s="23">
        <f>BS!B9</f>
        <v>2012.53</v>
      </c>
      <c r="E65" s="23">
        <f>BS!C9</f>
        <v>2045.21</v>
      </c>
      <c r="F65" s="23">
        <f>BS!D9</f>
        <v>2317.84</v>
      </c>
      <c r="G65" s="23">
        <f>BS!E9</f>
        <v>2192.38</v>
      </c>
      <c r="H65" s="23">
        <f>BS!F9</f>
        <v>2343.0500000000002</v>
      </c>
      <c r="I65" s="158">
        <f>I6/365*I107</f>
        <v>2515.1371948808865</v>
      </c>
      <c r="J65" s="27">
        <f>J6/365*J107</f>
        <v>2601.1548869458124</v>
      </c>
      <c r="K65" s="27">
        <f>K6/365*K107</f>
        <v>2681.2184343660051</v>
      </c>
      <c r="L65" s="27">
        <f>L6/365*L107</f>
        <v>2755.4935474348122</v>
      </c>
      <c r="M65" s="27">
        <f>M6/365*M107</f>
        <v>2824.1929614607475</v>
      </c>
      <c r="N65" s="17"/>
      <c r="O65" s="62"/>
    </row>
    <row r="66" spans="1:15">
      <c r="A66" s="61" t="s">
        <v>338</v>
      </c>
      <c r="B66" s="61"/>
      <c r="C66" s="61"/>
      <c r="D66" s="23">
        <f>BS!B10</f>
        <v>8030.82</v>
      </c>
      <c r="E66" s="23">
        <f>BS!C10</f>
        <v>8364.76</v>
      </c>
      <c r="F66" s="23">
        <f>BS!D10</f>
        <v>9671.5400000000009</v>
      </c>
      <c r="G66" s="23">
        <f>BS!E10</f>
        <v>10342.99</v>
      </c>
      <c r="H66" s="23">
        <f>BS!F10</f>
        <v>10245.450000000001</v>
      </c>
      <c r="I66" s="158">
        <f>I15/365*I108</f>
        <v>10709.254294268358</v>
      </c>
      <c r="J66" s="27">
        <f>J15/365*J108</f>
        <v>11075.510791132338</v>
      </c>
      <c r="K66" s="27">
        <f>K15/365*K108</f>
        <v>11416.415013283391</v>
      </c>
      <c r="L66" s="27">
        <f>L15/365*L108</f>
        <v>11732.672541981368</v>
      </c>
      <c r="M66" s="27">
        <f>M15/365*M108</f>
        <v>12025.189187263541</v>
      </c>
      <c r="N66" s="17"/>
      <c r="O66" s="62"/>
    </row>
    <row r="67" spans="1:15">
      <c r="A67" s="61" t="s">
        <v>339</v>
      </c>
      <c r="B67" s="61"/>
      <c r="C67" s="61"/>
      <c r="D67" s="23">
        <f>BS!B11</f>
        <v>61.31</v>
      </c>
      <c r="E67" s="23">
        <f>BS!C11</f>
        <v>117.01</v>
      </c>
      <c r="F67" s="23">
        <f>BS!D11</f>
        <v>128.63</v>
      </c>
      <c r="G67" s="23">
        <f>BS!E11</f>
        <v>138.38</v>
      </c>
      <c r="H67" s="23">
        <f>BS!F11</f>
        <v>105.55</v>
      </c>
      <c r="I67" s="158">
        <f>I16/365*I110</f>
        <v>4.3111944866725899E-6</v>
      </c>
      <c r="J67" s="27">
        <f>J16/365*J110</f>
        <v>4.3111944866725899E-6</v>
      </c>
      <c r="K67" s="27">
        <f>K16/365*K110</f>
        <v>4.3111944866725899E-6</v>
      </c>
      <c r="L67" s="27">
        <f>L16/365*L110</f>
        <v>4.3111944866725899E-6</v>
      </c>
      <c r="M67" s="27">
        <f>M16/365*M110</f>
        <v>4.3111944866725899E-6</v>
      </c>
      <c r="N67" s="17"/>
      <c r="O67" s="62"/>
    </row>
    <row r="68" spans="1:15">
      <c r="A68" s="61" t="s">
        <v>72</v>
      </c>
      <c r="B68" s="61"/>
      <c r="C68" s="61"/>
      <c r="D68" s="23">
        <f>BS!B13-SUM(D64:D67)</f>
        <v>251.28999999999905</v>
      </c>
      <c r="E68" s="23">
        <f>BS!C13-SUM(E64:E67)</f>
        <v>142.16999999999825</v>
      </c>
      <c r="F68" s="23">
        <f>BS!D13-SUM(F64:F67)</f>
        <v>61.590000000000146</v>
      </c>
      <c r="G68" s="23">
        <f>BS!E13-SUM(G64:G67)</f>
        <v>63.020000000002256</v>
      </c>
      <c r="H68" s="23">
        <f>BS!F13-SUM(H64:H67)</f>
        <v>74.459999999999127</v>
      </c>
      <c r="I68" s="158">
        <f>I110*I6</f>
        <v>144.94193218041542</v>
      </c>
      <c r="J68" s="27">
        <f>J110*J6</f>
        <v>149.89894626098561</v>
      </c>
      <c r="K68" s="27">
        <f>K110*K6</f>
        <v>154.51283582689877</v>
      </c>
      <c r="L68" s="27">
        <f>L110*L6</f>
        <v>158.79315040497551</v>
      </c>
      <c r="M68" s="27">
        <f>M110*M6</f>
        <v>162.75214947224228</v>
      </c>
      <c r="N68" s="17"/>
      <c r="O68" s="62"/>
    </row>
    <row r="69" spans="1:15" ht="3" customHeight="1">
      <c r="A69" s="61"/>
      <c r="B69" s="61"/>
      <c r="C69" s="61"/>
      <c r="D69" s="27"/>
      <c r="E69" s="27"/>
      <c r="F69" s="27"/>
      <c r="G69" s="27"/>
      <c r="H69" s="27"/>
      <c r="I69" s="152"/>
      <c r="J69" s="17"/>
      <c r="K69" s="17"/>
      <c r="L69" s="17"/>
      <c r="M69" s="17"/>
      <c r="N69" s="17"/>
      <c r="O69" s="62"/>
    </row>
    <row r="70" spans="1:15">
      <c r="A70" s="63" t="s">
        <v>73</v>
      </c>
      <c r="B70" s="63"/>
      <c r="C70" s="63"/>
      <c r="D70" s="29">
        <f>SUM(D64:D68)</f>
        <v>12790.71</v>
      </c>
      <c r="E70" s="29">
        <f t="shared" ref="E70:H70" si="50">SUM(E64:E68)</f>
        <v>13367.21</v>
      </c>
      <c r="F70" s="29">
        <f t="shared" si="50"/>
        <v>15900.18</v>
      </c>
      <c r="G70" s="29">
        <f t="shared" si="50"/>
        <v>15241.68</v>
      </c>
      <c r="H70" s="29">
        <f t="shared" si="50"/>
        <v>19006.259999999998</v>
      </c>
      <c r="I70" s="159" t="e">
        <f t="shared" ref="I70:M70" ca="1" si="51">SUM(I64:I68)</f>
        <v>#REF!</v>
      </c>
      <c r="J70" s="29" t="e">
        <f t="shared" ca="1" si="51"/>
        <v>#REF!</v>
      </c>
      <c r="K70" s="29" t="e">
        <f t="shared" ca="1" si="51"/>
        <v>#REF!</v>
      </c>
      <c r="L70" s="29" t="e">
        <f t="shared" ca="1" si="51"/>
        <v>#REF!</v>
      </c>
      <c r="M70" s="29" t="e">
        <f t="shared" ca="1" si="51"/>
        <v>#REF!</v>
      </c>
      <c r="N70" s="17"/>
      <c r="O70" s="62"/>
    </row>
    <row r="71" spans="1:15" ht="3" customHeight="1">
      <c r="A71" s="26"/>
      <c r="B71" s="26"/>
      <c r="C71" s="26"/>
      <c r="D71" s="25"/>
      <c r="E71" s="25"/>
      <c r="F71" s="25"/>
      <c r="G71" s="25"/>
      <c r="H71" s="25"/>
      <c r="I71" s="152"/>
      <c r="J71" s="17"/>
      <c r="K71" s="17"/>
      <c r="L71" s="17"/>
      <c r="M71" s="17"/>
      <c r="N71" s="17"/>
      <c r="O71" s="62"/>
    </row>
    <row r="72" spans="1:15">
      <c r="A72" s="33" t="s">
        <v>213</v>
      </c>
      <c r="B72" s="33"/>
      <c r="C72" s="33"/>
      <c r="D72" s="25"/>
      <c r="E72" s="25"/>
      <c r="F72" s="25"/>
      <c r="G72" s="25"/>
      <c r="H72" s="25"/>
      <c r="I72" s="152"/>
      <c r="J72" s="17"/>
      <c r="K72" s="17"/>
      <c r="L72" s="17"/>
      <c r="M72" s="17"/>
      <c r="N72" s="17"/>
      <c r="O72" s="62"/>
    </row>
    <row r="73" spans="1:15">
      <c r="A73" s="61" t="s">
        <v>214</v>
      </c>
      <c r="B73" s="61"/>
      <c r="C73" s="61"/>
      <c r="D73" s="23">
        <f>BS!B16</f>
        <v>26351.91</v>
      </c>
      <c r="E73" s="23">
        <f>BS!C16</f>
        <v>27655.13</v>
      </c>
      <c r="F73" s="23">
        <f>BS!D16</f>
        <v>29539.71</v>
      </c>
      <c r="G73" s="23">
        <f>BS!E16</f>
        <v>29422.47</v>
      </c>
      <c r="H73" s="23">
        <f>BS!F16</f>
        <v>29327.19</v>
      </c>
      <c r="I73" s="152" t="e">
        <f ca="1">I193</f>
        <v>#REF!</v>
      </c>
      <c r="J73" s="17" t="e">
        <f t="shared" ref="J73:M73" ca="1" si="52">J193</f>
        <v>#REF!</v>
      </c>
      <c r="K73" s="17" t="e">
        <f t="shared" ca="1" si="52"/>
        <v>#REF!</v>
      </c>
      <c r="L73" s="17" t="e">
        <f t="shared" ca="1" si="52"/>
        <v>#REF!</v>
      </c>
      <c r="M73" s="17" t="e">
        <f t="shared" ca="1" si="52"/>
        <v>#REF!</v>
      </c>
      <c r="N73" s="17"/>
      <c r="O73" s="62"/>
    </row>
    <row r="74" spans="1:15">
      <c r="A74" s="61" t="s">
        <v>216</v>
      </c>
      <c r="B74" s="61"/>
      <c r="C74" s="61"/>
      <c r="D74" s="23">
        <f>BS!B25-D70-D73</f>
        <v>5170.2000000000007</v>
      </c>
      <c r="E74" s="23">
        <f>BS!C25-E70-E73</f>
        <v>5968.7000000000007</v>
      </c>
      <c r="F74" s="23">
        <f>BS!D25-F70-F73</f>
        <v>6306.3400000000038</v>
      </c>
      <c r="G74" s="23">
        <f>BS!E25-G70-G73</f>
        <v>6285.1999999999971</v>
      </c>
      <c r="H74" s="23">
        <f>BS!F25-H70-H73</f>
        <v>6477.8999999999978</v>
      </c>
      <c r="I74" s="152">
        <f>H74</f>
        <v>6477.8999999999978</v>
      </c>
      <c r="J74" s="17">
        <f t="shared" ref="J74:M74" si="53">I74</f>
        <v>6477.8999999999978</v>
      </c>
      <c r="K74" s="17">
        <f t="shared" si="53"/>
        <v>6477.8999999999978</v>
      </c>
      <c r="L74" s="17">
        <f t="shared" si="53"/>
        <v>6477.8999999999978</v>
      </c>
      <c r="M74" s="17">
        <f t="shared" si="53"/>
        <v>6477.8999999999978</v>
      </c>
      <c r="N74" s="17"/>
      <c r="O74" s="12" t="s">
        <v>215</v>
      </c>
    </row>
    <row r="75" spans="1:15" ht="3" customHeight="1">
      <c r="D75" s="25"/>
      <c r="E75" s="25"/>
      <c r="F75" s="25"/>
      <c r="G75" s="25"/>
      <c r="H75" s="25"/>
      <c r="I75" s="152"/>
      <c r="J75" s="17"/>
      <c r="K75" s="17"/>
      <c r="L75" s="17"/>
      <c r="M75" s="17"/>
      <c r="N75" s="17"/>
      <c r="O75" s="62"/>
    </row>
    <row r="76" spans="1:15" ht="10.8" thickBot="1">
      <c r="A76" s="64" t="s">
        <v>217</v>
      </c>
      <c r="B76" s="64"/>
      <c r="C76" s="64"/>
      <c r="D76" s="65">
        <f>D70+SUM(D73:D74)</f>
        <v>44312.82</v>
      </c>
      <c r="E76" s="65">
        <f t="shared" ref="E76:H76" si="54">E70+SUM(E73:E74)</f>
        <v>46991.040000000001</v>
      </c>
      <c r="F76" s="65">
        <f t="shared" si="54"/>
        <v>51746.23</v>
      </c>
      <c r="G76" s="65">
        <f t="shared" si="54"/>
        <v>50949.35</v>
      </c>
      <c r="H76" s="65">
        <f t="shared" si="54"/>
        <v>54811.349999999991</v>
      </c>
      <c r="I76" s="169" t="e">
        <f ca="1">I70+SUM(I73:I74)</f>
        <v>#REF!</v>
      </c>
      <c r="J76" s="65" t="e">
        <f ca="1">J70+SUM(J73:J74)</f>
        <v>#REF!</v>
      </c>
      <c r="K76" s="65" t="e">
        <f ca="1">K70+SUM(K73:K74)</f>
        <v>#REF!</v>
      </c>
      <c r="L76" s="65" t="e">
        <f ca="1">L70+SUM(L73:L74)</f>
        <v>#REF!</v>
      </c>
      <c r="M76" s="65" t="e">
        <f ca="1">M70+SUM(M73:M74)</f>
        <v>#REF!</v>
      </c>
      <c r="N76" s="17"/>
      <c r="O76" s="62"/>
    </row>
    <row r="77" spans="1:15" ht="3" customHeight="1" thickTop="1">
      <c r="D77" s="25"/>
      <c r="E77" s="25"/>
      <c r="F77" s="25"/>
      <c r="G77" s="25"/>
      <c r="H77" s="25"/>
      <c r="I77" s="152"/>
      <c r="J77" s="17"/>
      <c r="K77" s="17"/>
      <c r="L77" s="17"/>
      <c r="M77" s="17"/>
      <c r="N77" s="17"/>
      <c r="O77" s="62"/>
    </row>
    <row r="78" spans="1:15">
      <c r="A78" s="33" t="s">
        <v>218</v>
      </c>
      <c r="B78" s="33"/>
      <c r="C78" s="33"/>
      <c r="D78" s="25"/>
      <c r="E78" s="25"/>
      <c r="F78" s="25"/>
      <c r="G78" s="25"/>
      <c r="H78" s="25"/>
      <c r="I78" s="170"/>
      <c r="J78" s="66"/>
      <c r="K78" s="66"/>
      <c r="L78" s="66"/>
      <c r="M78" s="66"/>
      <c r="N78" s="17"/>
      <c r="O78" s="62"/>
    </row>
    <row r="79" spans="1:15">
      <c r="A79" s="61" t="s">
        <v>86</v>
      </c>
      <c r="B79" s="61"/>
      <c r="C79" s="61"/>
      <c r="D79" s="23">
        <f>BS!B26</f>
        <v>9656.7900000000009</v>
      </c>
      <c r="E79" s="23">
        <f>BS!C26</f>
        <v>10859.89</v>
      </c>
      <c r="F79" s="23">
        <f>BS!D26</f>
        <v>11894.82</v>
      </c>
      <c r="G79" s="23">
        <f>BS!E26</f>
        <v>11900.89</v>
      </c>
      <c r="H79" s="23">
        <f>BS!F26</f>
        <v>12151.25</v>
      </c>
      <c r="I79" s="158">
        <f>I15/365*I111</f>
        <v>12980.111251300606</v>
      </c>
      <c r="J79" s="27">
        <f>J15/365*J111</f>
        <v>13424.031056095089</v>
      </c>
      <c r="K79" s="27">
        <f>K15/365*K111</f>
        <v>13837.222732001697</v>
      </c>
      <c r="L79" s="27">
        <f>L15/365*L111</f>
        <v>14220.541476123608</v>
      </c>
      <c r="M79" s="27">
        <f>M15/365*M111</f>
        <v>14575.085172098028</v>
      </c>
      <c r="N79" s="17"/>
      <c r="O79" s="62"/>
    </row>
    <row r="80" spans="1:15">
      <c r="A80" s="61" t="s">
        <v>340</v>
      </c>
      <c r="B80" s="61"/>
      <c r="C80" s="61"/>
      <c r="D80" s="23">
        <f>BS!B27</f>
        <v>975.53</v>
      </c>
      <c r="E80" s="23">
        <f>BS!C27</f>
        <v>1001.07</v>
      </c>
      <c r="F80" s="23">
        <f>BS!D27</f>
        <v>1256.5899999999999</v>
      </c>
      <c r="G80" s="23">
        <f>BS!E27</f>
        <v>1402.23</v>
      </c>
      <c r="H80" s="23">
        <f>BS!F27</f>
        <v>1236.47</v>
      </c>
      <c r="I80" s="158">
        <f>I21/365*I112</f>
        <v>1345.3761528925199</v>
      </c>
      <c r="J80" s="27">
        <f>J21/365*J112</f>
        <v>1391.3880173214441</v>
      </c>
      <c r="K80" s="27">
        <f>K21/365*K112</f>
        <v>1434.2149404945981</v>
      </c>
      <c r="L80" s="27">
        <f>L21/365*L112</f>
        <v>1473.9455627761795</v>
      </c>
      <c r="M80" s="27">
        <f>M21/365*M112</f>
        <v>1510.6936787582029</v>
      </c>
      <c r="N80" s="17"/>
      <c r="O80" s="62"/>
    </row>
    <row r="81" spans="1:15">
      <c r="A81" s="67" t="s">
        <v>341</v>
      </c>
      <c r="B81" s="61"/>
      <c r="C81" s="61"/>
      <c r="D81" s="23">
        <f>SUM(BS!B28:B30)</f>
        <v>3010.45</v>
      </c>
      <c r="E81" s="23">
        <f>SUM(BS!C28:C30)</f>
        <v>4717.74</v>
      </c>
      <c r="F81" s="23">
        <f>SUM(BS!D28:D30)</f>
        <v>6264.5899999999992</v>
      </c>
      <c r="G81" s="23">
        <f>SUM(BS!E28:E30)</f>
        <v>4145.9000000000005</v>
      </c>
      <c r="H81" s="23">
        <f>SUM(BS!F28:F30)</f>
        <v>7252.0900000000011</v>
      </c>
      <c r="I81" s="158">
        <f>I176</f>
        <v>6086.7610230530481</v>
      </c>
      <c r="J81" s="27" t="e">
        <f ca="1">J176</f>
        <v>#REF!</v>
      </c>
      <c r="K81" s="27" t="e">
        <f ca="1">K176</f>
        <v>#REF!</v>
      </c>
      <c r="L81" s="27" t="e">
        <f ca="1">L176</f>
        <v>#REF!</v>
      </c>
      <c r="M81" s="27" t="e">
        <f ca="1">M176</f>
        <v>#REF!</v>
      </c>
      <c r="N81" s="17"/>
      <c r="O81" s="62"/>
    </row>
    <row r="82" spans="1:15">
      <c r="A82" s="61" t="s">
        <v>222</v>
      </c>
      <c r="B82" s="61"/>
      <c r="C82" s="61"/>
      <c r="D82" s="23">
        <f>BS!B31</f>
        <v>364.57</v>
      </c>
      <c r="E82" s="23">
        <f>BS!C31</f>
        <v>380.18</v>
      </c>
      <c r="F82" s="23">
        <f>BS!D31</f>
        <v>405.99</v>
      </c>
      <c r="G82" s="23">
        <f>BS!E31</f>
        <v>454.07</v>
      </c>
      <c r="H82" s="23">
        <f>BS!F31</f>
        <v>544.70000000000005</v>
      </c>
      <c r="I82" s="158">
        <f>H82</f>
        <v>544.70000000000005</v>
      </c>
      <c r="J82" s="27">
        <f t="shared" ref="J82:M82" si="55">I82</f>
        <v>544.70000000000005</v>
      </c>
      <c r="K82" s="27">
        <f t="shared" si="55"/>
        <v>544.70000000000005</v>
      </c>
      <c r="L82" s="27">
        <f t="shared" si="55"/>
        <v>544.70000000000005</v>
      </c>
      <c r="M82" s="27">
        <f t="shared" si="55"/>
        <v>544.70000000000005</v>
      </c>
      <c r="N82" s="17"/>
      <c r="O82" s="12" t="s">
        <v>215</v>
      </c>
    </row>
    <row r="83" spans="1:15">
      <c r="A83" s="61" t="s">
        <v>221</v>
      </c>
      <c r="B83" s="61"/>
      <c r="C83" s="61"/>
      <c r="D83" s="23">
        <f>BS!B32</f>
        <v>0</v>
      </c>
      <c r="E83" s="23">
        <f>BS!C32</f>
        <v>0</v>
      </c>
      <c r="F83" s="23">
        <f>BS!D32</f>
        <v>0</v>
      </c>
      <c r="G83" s="23">
        <f>BS!E32</f>
        <v>0</v>
      </c>
      <c r="H83" s="23">
        <f>BS!F32</f>
        <v>0</v>
      </c>
      <c r="I83" s="158">
        <f>I6/365*I113</f>
        <v>0</v>
      </c>
      <c r="J83" s="27">
        <f>J6/365*J113</f>
        <v>0</v>
      </c>
      <c r="K83" s="27">
        <f>K6/365*K113</f>
        <v>0</v>
      </c>
      <c r="L83" s="27">
        <f>L6/365*L113</f>
        <v>0</v>
      </c>
      <c r="M83" s="27">
        <f>M6/365*M113</f>
        <v>0</v>
      </c>
      <c r="N83" s="17"/>
      <c r="O83" s="62"/>
    </row>
    <row r="84" spans="1:15">
      <c r="A84" s="61" t="s">
        <v>93</v>
      </c>
      <c r="B84" s="61"/>
      <c r="C84" s="61"/>
      <c r="D84" s="23">
        <f>BS!B34-SUM(D79:D83)</f>
        <v>2769.2200000000012</v>
      </c>
      <c r="E84" s="23">
        <f>BS!C34-SUM(E79:E83)</f>
        <v>2504.7500000000036</v>
      </c>
      <c r="F84" s="23">
        <f>BS!D34-SUM(F79:F83)</f>
        <v>2669.4199999999983</v>
      </c>
      <c r="G84" s="23">
        <f>BS!E34-SUM(G79:G83)</f>
        <v>2474.6899999999987</v>
      </c>
      <c r="H84" s="23">
        <f>BS!F34-SUM(H79:H83)</f>
        <v>2466.6999999999971</v>
      </c>
      <c r="I84" s="158">
        <f>I15/365*I114</f>
        <v>2992.5859124214535</v>
      </c>
      <c r="J84" s="27">
        <f>J15/365*J114</f>
        <v>3094.9323506262676</v>
      </c>
      <c r="K84" s="27">
        <f>K15/365*K114</f>
        <v>3190.1943683785444</v>
      </c>
      <c r="L84" s="27">
        <f>L15/365*L114</f>
        <v>3278.5691327713666</v>
      </c>
      <c r="M84" s="27">
        <f>M15/365*M114</f>
        <v>3360.3097626757967</v>
      </c>
      <c r="N84" s="17"/>
      <c r="O84" s="62"/>
    </row>
    <row r="85" spans="1:15" ht="3" customHeight="1">
      <c r="A85" s="61"/>
      <c r="B85" s="61"/>
      <c r="C85" s="61"/>
      <c r="D85" s="27"/>
      <c r="E85" s="27"/>
      <c r="F85" s="27"/>
      <c r="G85" s="27"/>
      <c r="H85" s="27"/>
      <c r="I85" s="152"/>
      <c r="J85" s="17"/>
      <c r="K85" s="17"/>
      <c r="L85" s="17"/>
      <c r="M85" s="17"/>
      <c r="N85" s="17"/>
      <c r="O85" s="62"/>
    </row>
    <row r="86" spans="1:15">
      <c r="A86" s="63" t="s">
        <v>94</v>
      </c>
      <c r="B86" s="63"/>
      <c r="C86" s="63"/>
      <c r="D86" s="29">
        <f>SUM(D79:D84)</f>
        <v>16776.560000000001</v>
      </c>
      <c r="E86" s="29">
        <f t="shared" ref="E86:H86" si="56">SUM(E79:E84)</f>
        <v>19463.63</v>
      </c>
      <c r="F86" s="29">
        <f t="shared" si="56"/>
        <v>22491.41</v>
      </c>
      <c r="G86" s="29">
        <f t="shared" si="56"/>
        <v>20377.78</v>
      </c>
      <c r="H86" s="29">
        <f t="shared" si="56"/>
        <v>23651.21</v>
      </c>
      <c r="I86" s="159">
        <f>SUM(I79:I84)</f>
        <v>23949.534339667629</v>
      </c>
      <c r="J86" s="29" t="e">
        <f ca="1">SUM(J79:J84)</f>
        <v>#REF!</v>
      </c>
      <c r="K86" s="29" t="e">
        <f ca="1">SUM(K79:K84)</f>
        <v>#REF!</v>
      </c>
      <c r="L86" s="29" t="e">
        <f ca="1">SUM(L79:L84)</f>
        <v>#REF!</v>
      </c>
      <c r="M86" s="29" t="e">
        <f ca="1">SUM(M79:M84)</f>
        <v>#REF!</v>
      </c>
      <c r="N86" s="17"/>
      <c r="O86" s="62"/>
    </row>
    <row r="87" spans="1:15" ht="3" customHeight="1">
      <c r="A87" s="26"/>
      <c r="B87" s="26"/>
      <c r="C87" s="26"/>
      <c r="D87" s="25"/>
      <c r="E87" s="25"/>
      <c r="F87" s="25"/>
      <c r="G87" s="25"/>
      <c r="H87" s="25"/>
      <c r="I87" s="152"/>
      <c r="J87" s="17"/>
      <c r="K87" s="17"/>
      <c r="L87" s="17"/>
      <c r="M87" s="17"/>
      <c r="N87" s="17"/>
      <c r="O87" s="62"/>
    </row>
    <row r="88" spans="1:15">
      <c r="A88" s="33" t="s">
        <v>225</v>
      </c>
      <c r="B88" s="33"/>
      <c r="C88" s="33"/>
      <c r="D88" s="25"/>
      <c r="E88" s="25"/>
      <c r="F88" s="25"/>
      <c r="G88" s="25"/>
      <c r="H88" s="25"/>
      <c r="I88" s="152"/>
      <c r="J88" s="17"/>
      <c r="K88" s="17"/>
      <c r="L88" s="17"/>
      <c r="M88" s="17"/>
      <c r="N88" s="17"/>
      <c r="O88" s="62"/>
    </row>
    <row r="89" spans="1:15">
      <c r="A89" s="67" t="s">
        <v>342</v>
      </c>
      <c r="B89" s="61"/>
      <c r="C89" s="61"/>
      <c r="D89" s="23">
        <f>SUM(BS!B35:B36)</f>
        <v>10865.73</v>
      </c>
      <c r="E89" s="23">
        <f>SUM(BS!C35:C36)</f>
        <v>9659.36</v>
      </c>
      <c r="F89" s="23">
        <f>SUM(BS!D35:D36)</f>
        <v>10610.49</v>
      </c>
      <c r="G89" s="23">
        <f>SUM(BS!E35:E36)</f>
        <v>10916.89</v>
      </c>
      <c r="H89" s="23">
        <f>SUM(BS!F35:F36)</f>
        <v>10010.129999999999</v>
      </c>
      <c r="I89" s="152" t="e">
        <f ca="1">I177</f>
        <v>#REF!</v>
      </c>
      <c r="J89" s="17" t="e">
        <f t="shared" ref="J89:M89" ca="1" si="57">J177</f>
        <v>#REF!</v>
      </c>
      <c r="K89" s="17" t="e">
        <f t="shared" ca="1" si="57"/>
        <v>#REF!</v>
      </c>
      <c r="L89" s="17" t="e">
        <f t="shared" ca="1" si="57"/>
        <v>#REF!</v>
      </c>
      <c r="M89" s="17" t="e">
        <f t="shared" ca="1" si="57"/>
        <v>#REF!</v>
      </c>
      <c r="N89" s="17"/>
      <c r="O89" s="62"/>
    </row>
    <row r="90" spans="1:15">
      <c r="A90" s="61" t="s">
        <v>226</v>
      </c>
      <c r="B90" s="61"/>
      <c r="C90" s="61"/>
      <c r="D90" s="23">
        <f>BS!B41-D86-D89</f>
        <v>968.89999999999782</v>
      </c>
      <c r="E90" s="23">
        <f>BS!C41-E86-E89</f>
        <v>965.41999999999825</v>
      </c>
      <c r="F90" s="23">
        <f>BS!D41-F86-F89</f>
        <v>1153.9600000000009</v>
      </c>
      <c r="G90" s="23">
        <f>BS!E41-G86-G89</f>
        <v>1019.880000000001</v>
      </c>
      <c r="H90" s="23">
        <f>BS!F41-H86-H89</f>
        <v>1235.9200000000037</v>
      </c>
      <c r="I90" s="152">
        <f>H90</f>
        <v>1235.9200000000037</v>
      </c>
      <c r="J90" s="17">
        <f t="shared" ref="J90:M90" si="58">I90</f>
        <v>1235.9200000000037</v>
      </c>
      <c r="K90" s="17">
        <f t="shared" si="58"/>
        <v>1235.9200000000037</v>
      </c>
      <c r="L90" s="17">
        <f t="shared" si="58"/>
        <v>1235.9200000000037</v>
      </c>
      <c r="M90" s="17">
        <f t="shared" si="58"/>
        <v>1235.9200000000037</v>
      </c>
      <c r="N90" s="17"/>
      <c r="O90" s="12" t="s">
        <v>215</v>
      </c>
    </row>
    <row r="91" spans="1:15" ht="3" customHeight="1">
      <c r="A91" s="26"/>
      <c r="B91" s="26"/>
      <c r="C91" s="26"/>
      <c r="D91" s="25"/>
      <c r="E91" s="25"/>
      <c r="F91" s="25"/>
      <c r="G91" s="25"/>
      <c r="H91" s="25"/>
      <c r="I91" s="152"/>
      <c r="J91" s="17"/>
      <c r="K91" s="17"/>
      <c r="L91" s="17"/>
      <c r="M91" s="17"/>
      <c r="N91" s="17"/>
      <c r="O91" s="62"/>
    </row>
    <row r="92" spans="1:15">
      <c r="A92" s="28" t="s">
        <v>227</v>
      </c>
      <c r="B92" s="28"/>
      <c r="C92" s="28"/>
      <c r="D92" s="29">
        <f t="shared" ref="D92:H92" si="59">D86+SUM(D89:D90)</f>
        <v>28611.19</v>
      </c>
      <c r="E92" s="29">
        <f t="shared" si="59"/>
        <v>30088.41</v>
      </c>
      <c r="F92" s="29">
        <f t="shared" si="59"/>
        <v>34255.86</v>
      </c>
      <c r="G92" s="29">
        <f t="shared" si="59"/>
        <v>32314.55</v>
      </c>
      <c r="H92" s="29">
        <f t="shared" si="59"/>
        <v>34897.26</v>
      </c>
      <c r="I92" s="159" t="e">
        <f t="shared" ref="I92:M92" ca="1" si="60">I86+SUM(I89:I90)</f>
        <v>#REF!</v>
      </c>
      <c r="J92" s="29" t="e">
        <f t="shared" ca="1" si="60"/>
        <v>#REF!</v>
      </c>
      <c r="K92" s="29" t="e">
        <f t="shared" ca="1" si="60"/>
        <v>#REF!</v>
      </c>
      <c r="L92" s="29" t="e">
        <f t="shared" ca="1" si="60"/>
        <v>#REF!</v>
      </c>
      <c r="M92" s="29" t="e">
        <f t="shared" ca="1" si="60"/>
        <v>#REF!</v>
      </c>
      <c r="N92" s="17"/>
      <c r="O92" s="62"/>
    </row>
    <row r="93" spans="1:15" ht="3" customHeight="1">
      <c r="D93" s="25"/>
      <c r="E93" s="25"/>
      <c r="F93" s="25"/>
      <c r="G93" s="25"/>
      <c r="H93" s="25"/>
      <c r="I93" s="152"/>
      <c r="J93" s="17"/>
      <c r="K93" s="17"/>
      <c r="L93" s="17"/>
      <c r="M93" s="17"/>
      <c r="N93" s="17"/>
      <c r="O93" s="62"/>
    </row>
    <row r="94" spans="1:15">
      <c r="A94" s="26" t="s">
        <v>102</v>
      </c>
      <c r="B94" s="26"/>
      <c r="C94" s="26"/>
      <c r="D94" s="23">
        <f>BS!B42</f>
        <v>12329.32</v>
      </c>
      <c r="E94" s="23">
        <f>BS!C42</f>
        <v>13151.2</v>
      </c>
      <c r="F94" s="23">
        <f>BS!D42</f>
        <v>13151.2</v>
      </c>
      <c r="G94" s="23">
        <f>BS!E42</f>
        <v>13151.2</v>
      </c>
      <c r="H94" s="23">
        <f>BS!F42</f>
        <v>13151.2</v>
      </c>
      <c r="I94" s="162"/>
      <c r="J94" s="43"/>
      <c r="K94" s="43"/>
      <c r="L94" s="43"/>
      <c r="M94" s="43"/>
      <c r="N94" s="17"/>
      <c r="O94" s="62"/>
    </row>
    <row r="95" spans="1:15">
      <c r="A95" s="26" t="s">
        <v>103</v>
      </c>
      <c r="B95" s="26"/>
      <c r="C95" s="26"/>
      <c r="D95" s="23">
        <f>BS!B43</f>
        <v>646.32000000000005</v>
      </c>
      <c r="E95" s="23">
        <f>BS!C43</f>
        <v>646.32000000000005</v>
      </c>
      <c r="F95" s="23">
        <f>BS!D43</f>
        <v>646.32000000000005</v>
      </c>
      <c r="G95" s="23">
        <f>BS!E43</f>
        <v>646.32000000000005</v>
      </c>
      <c r="H95" s="23">
        <f>BS!F43</f>
        <v>646.32000000000005</v>
      </c>
      <c r="I95" s="162"/>
      <c r="J95" s="43"/>
      <c r="K95" s="43"/>
      <c r="L95" s="43"/>
      <c r="M95" s="43"/>
      <c r="N95" s="17"/>
      <c r="O95" s="62"/>
    </row>
    <row r="96" spans="1:15">
      <c r="A96" s="26" t="s">
        <v>104</v>
      </c>
      <c r="B96" s="26"/>
      <c r="C96" s="26"/>
      <c r="D96" s="23">
        <f>BS!B44</f>
        <v>2749.87</v>
      </c>
      <c r="E96" s="23">
        <f>BS!C44</f>
        <v>3174.08</v>
      </c>
      <c r="F96" s="23">
        <f>BS!D44</f>
        <v>3748.59</v>
      </c>
      <c r="G96" s="23">
        <f>BS!E44</f>
        <v>4904.87</v>
      </c>
      <c r="H96" s="23">
        <f>BS!F44</f>
        <v>6177.62</v>
      </c>
      <c r="I96" s="162"/>
      <c r="J96" s="43"/>
      <c r="K96" s="43"/>
      <c r="L96" s="43"/>
      <c r="M96" s="43"/>
      <c r="N96" s="17"/>
      <c r="O96" s="62"/>
    </row>
    <row r="97" spans="1:15">
      <c r="A97" s="26" t="s">
        <v>105</v>
      </c>
      <c r="B97" s="26"/>
      <c r="C97" s="26"/>
      <c r="D97" s="23">
        <f>BS!B45</f>
        <v>0</v>
      </c>
      <c r="E97" s="23">
        <f>BS!C45</f>
        <v>0</v>
      </c>
      <c r="F97" s="23">
        <f>BS!D45</f>
        <v>0</v>
      </c>
      <c r="G97" s="23">
        <f>BS!E45</f>
        <v>0</v>
      </c>
      <c r="H97" s="23">
        <f>BS!F45</f>
        <v>0</v>
      </c>
      <c r="I97" s="162"/>
      <c r="J97" s="43"/>
      <c r="K97" s="43"/>
      <c r="L97" s="43"/>
      <c r="M97" s="43"/>
      <c r="N97" s="17"/>
      <c r="O97" s="62"/>
    </row>
    <row r="98" spans="1:15">
      <c r="A98" s="26" t="s">
        <v>228</v>
      </c>
      <c r="B98" s="26"/>
      <c r="C98" s="26"/>
      <c r="D98" s="23">
        <f>BS!B46</f>
        <v>-23.89</v>
      </c>
      <c r="E98" s="23">
        <f>BS!C46</f>
        <v>-68.98</v>
      </c>
      <c r="F98" s="23">
        <f>BS!D46</f>
        <v>-55.75</v>
      </c>
      <c r="G98" s="23">
        <f>BS!E46</f>
        <v>-67.599999999999994</v>
      </c>
      <c r="H98" s="23">
        <f>BS!F46</f>
        <v>-61.05</v>
      </c>
      <c r="I98" s="162"/>
      <c r="J98" s="43"/>
      <c r="K98" s="43"/>
      <c r="L98" s="43"/>
      <c r="M98" s="43"/>
      <c r="N98" s="17"/>
      <c r="O98" s="62"/>
    </row>
    <row r="99" spans="1:15">
      <c r="A99" s="26" t="s">
        <v>229</v>
      </c>
      <c r="B99" s="26"/>
      <c r="C99" s="26"/>
      <c r="D99" s="23">
        <f>BS!B49</f>
        <v>0.01</v>
      </c>
      <c r="E99" s="23">
        <f>BS!C49</f>
        <v>0.01</v>
      </c>
      <c r="F99" s="23">
        <f>BS!D49</f>
        <v>0</v>
      </c>
      <c r="G99" s="23">
        <f>BS!E49</f>
        <v>0</v>
      </c>
      <c r="H99" s="23">
        <f>BS!F49</f>
        <v>0</v>
      </c>
      <c r="I99" s="162"/>
      <c r="J99" s="43"/>
      <c r="K99" s="43"/>
      <c r="L99" s="43"/>
      <c r="M99" s="43"/>
      <c r="N99" s="17"/>
      <c r="O99" s="62"/>
    </row>
    <row r="100" spans="1:15" ht="3" customHeight="1">
      <c r="A100" s="26"/>
      <c r="B100" s="26"/>
      <c r="C100" s="26"/>
      <c r="D100" s="27"/>
      <c r="E100" s="27"/>
      <c r="F100" s="27"/>
      <c r="G100" s="27"/>
      <c r="H100" s="27"/>
      <c r="I100" s="152"/>
      <c r="J100" s="17"/>
      <c r="K100" s="17"/>
      <c r="L100" s="17"/>
      <c r="M100" s="17"/>
      <c r="N100" s="17"/>
      <c r="O100" s="62"/>
    </row>
    <row r="101" spans="1:15">
      <c r="A101" s="28" t="s">
        <v>230</v>
      </c>
      <c r="B101" s="28"/>
      <c r="C101" s="28"/>
      <c r="D101" s="29">
        <f>SUM(D94:D99)</f>
        <v>15701.63</v>
      </c>
      <c r="E101" s="29">
        <f t="shared" ref="E101:H101" si="61">SUM(E94:E99)</f>
        <v>16902.629999999997</v>
      </c>
      <c r="F101" s="29">
        <f t="shared" si="61"/>
        <v>17490.36</v>
      </c>
      <c r="G101" s="29">
        <f t="shared" si="61"/>
        <v>18634.79</v>
      </c>
      <c r="H101" s="29">
        <f t="shared" si="61"/>
        <v>19914.09</v>
      </c>
      <c r="I101" s="159" t="e">
        <f ca="1">I202</f>
        <v>#REF!</v>
      </c>
      <c r="J101" s="29" t="e">
        <f t="shared" ref="J101:M101" ca="1" si="62">J202</f>
        <v>#REF!</v>
      </c>
      <c r="K101" s="29" t="e">
        <f t="shared" ca="1" si="62"/>
        <v>#REF!</v>
      </c>
      <c r="L101" s="29" t="e">
        <f t="shared" ca="1" si="62"/>
        <v>#REF!</v>
      </c>
      <c r="M101" s="29" t="e">
        <f t="shared" ca="1" si="62"/>
        <v>#REF!</v>
      </c>
      <c r="N101" s="17"/>
      <c r="O101" s="62"/>
    </row>
    <row r="102" spans="1:15" ht="3" customHeight="1">
      <c r="D102" s="25"/>
      <c r="E102" s="25"/>
      <c r="F102" s="25"/>
      <c r="G102" s="25"/>
      <c r="H102" s="25"/>
      <c r="I102" s="152"/>
      <c r="J102" s="17"/>
      <c r="K102" s="17"/>
      <c r="L102" s="17"/>
      <c r="M102" s="17"/>
      <c r="N102" s="17"/>
      <c r="O102" s="62"/>
    </row>
    <row r="103" spans="1:15" ht="10.8" thickBot="1">
      <c r="A103" s="64" t="s">
        <v>231</v>
      </c>
      <c r="B103" s="64"/>
      <c r="C103" s="64"/>
      <c r="D103" s="65">
        <f>D92+D101</f>
        <v>44312.82</v>
      </c>
      <c r="E103" s="65">
        <f t="shared" ref="E103:H103" si="63">E92+E101</f>
        <v>46991.039999999994</v>
      </c>
      <c r="F103" s="65">
        <f t="shared" si="63"/>
        <v>51746.22</v>
      </c>
      <c r="G103" s="65">
        <f t="shared" si="63"/>
        <v>50949.34</v>
      </c>
      <c r="H103" s="65">
        <f t="shared" si="63"/>
        <v>54811.350000000006</v>
      </c>
      <c r="I103" s="169" t="e">
        <f ca="1">I92+I101</f>
        <v>#REF!</v>
      </c>
      <c r="J103" s="65" t="e">
        <f ca="1">J92+J101</f>
        <v>#REF!</v>
      </c>
      <c r="K103" s="65" t="e">
        <f ca="1">K92+K101</f>
        <v>#REF!</v>
      </c>
      <c r="L103" s="65" t="e">
        <f ca="1">L92+L101</f>
        <v>#REF!</v>
      </c>
      <c r="M103" s="65" t="e">
        <f ca="1">M92+M101</f>
        <v>#REF!</v>
      </c>
      <c r="N103" s="17"/>
      <c r="O103" s="62"/>
    </row>
    <row r="104" spans="1:15" ht="10.8" thickTop="1">
      <c r="A104" s="19" t="s">
        <v>232</v>
      </c>
      <c r="B104" s="19"/>
      <c r="C104" s="19"/>
      <c r="D104" s="68">
        <f>ROUND(D76-D103,1)</f>
        <v>0</v>
      </c>
      <c r="E104" s="68">
        <f t="shared" ref="E104:M104" si="64">ROUND(E76-E103,1)</f>
        <v>0</v>
      </c>
      <c r="F104" s="68">
        <f t="shared" si="64"/>
        <v>0</v>
      </c>
      <c r="G104" s="68">
        <f t="shared" si="64"/>
        <v>0</v>
      </c>
      <c r="H104" s="68">
        <f t="shared" si="64"/>
        <v>0</v>
      </c>
      <c r="I104" s="68" t="e">
        <f t="shared" ca="1" si="64"/>
        <v>#REF!</v>
      </c>
      <c r="J104" s="68" t="e">
        <f t="shared" ca="1" si="64"/>
        <v>#REF!</v>
      </c>
      <c r="K104" s="68" t="e">
        <f t="shared" ca="1" si="64"/>
        <v>#REF!</v>
      </c>
      <c r="L104" s="68" t="e">
        <f t="shared" ca="1" si="64"/>
        <v>#REF!</v>
      </c>
      <c r="M104" s="68" t="e">
        <f t="shared" ca="1" si="64"/>
        <v>#REF!</v>
      </c>
      <c r="N104" s="15"/>
      <c r="O104" s="62"/>
    </row>
    <row r="105" spans="1:15" ht="3" customHeight="1">
      <c r="D105" s="60"/>
      <c r="E105" s="60"/>
      <c r="F105" s="60"/>
      <c r="G105" s="60"/>
      <c r="H105" s="148"/>
      <c r="I105" s="180"/>
    </row>
    <row r="106" spans="1:15">
      <c r="A106" s="44" t="s">
        <v>233</v>
      </c>
      <c r="B106" s="69" t="s">
        <v>234</v>
      </c>
      <c r="C106" s="69" t="s">
        <v>235</v>
      </c>
      <c r="D106" s="48"/>
      <c r="E106" s="48"/>
      <c r="F106" s="48"/>
      <c r="G106" s="48"/>
      <c r="H106" s="144"/>
      <c r="I106" s="181"/>
      <c r="J106" s="41"/>
      <c r="K106" s="41"/>
      <c r="L106" s="41"/>
      <c r="M106" s="41"/>
    </row>
    <row r="107" spans="1:15">
      <c r="A107" s="70" t="s">
        <v>66</v>
      </c>
      <c r="B107" s="71" t="s">
        <v>6</v>
      </c>
      <c r="C107" s="71" t="s">
        <v>236</v>
      </c>
      <c r="D107" s="72">
        <f>D65/(D$6/365)</f>
        <v>14.943849700044167</v>
      </c>
      <c r="E107" s="72">
        <f>E65/(E$6/365)</f>
        <v>13.826677928021791</v>
      </c>
      <c r="F107" s="72">
        <f>F65/(F$6/365)</f>
        <v>14.399459704277279</v>
      </c>
      <c r="G107" s="72">
        <f>G65/(G$6/365)</f>
        <v>12.951710283388516</v>
      </c>
      <c r="H107" s="72">
        <f>H65/(H$6/365)</f>
        <v>13.456049967870875</v>
      </c>
      <c r="I107" s="182">
        <f>AVERAGE($D107:$H107)</f>
        <v>13.915549516720523</v>
      </c>
      <c r="J107" s="182">
        <f t="shared" ref="J107:M110" si="65">AVERAGE($D107:$H107)</f>
        <v>13.915549516720523</v>
      </c>
      <c r="K107" s="182">
        <f t="shared" si="65"/>
        <v>13.915549516720523</v>
      </c>
      <c r="L107" s="182">
        <f t="shared" si="65"/>
        <v>13.915549516720523</v>
      </c>
      <c r="M107" s="182">
        <f t="shared" si="65"/>
        <v>13.915549516720523</v>
      </c>
      <c r="O107" s="12" t="s">
        <v>237</v>
      </c>
    </row>
    <row r="108" spans="1:15">
      <c r="A108" s="70" t="s">
        <v>338</v>
      </c>
      <c r="B108" s="71" t="s">
        <v>238</v>
      </c>
      <c r="C108" s="71" t="s">
        <v>239</v>
      </c>
      <c r="D108" s="72">
        <f>D66/(D$15/365)</f>
        <v>82.633530178547673</v>
      </c>
      <c r="E108" s="72">
        <f>E66/(E$15/365)</f>
        <v>78.286116339779781</v>
      </c>
      <c r="F108" s="72">
        <f>F66/(F$15/365)</f>
        <v>83.248231031266627</v>
      </c>
      <c r="G108" s="72">
        <f>G66/(G$15/365)</f>
        <v>85.7028812415777</v>
      </c>
      <c r="H108" s="72">
        <f>H66/(H$15/365)</f>
        <v>83.764260807840486</v>
      </c>
      <c r="I108" s="182">
        <f>AVERAGE($D108:$H108)</f>
        <v>82.727003919802456</v>
      </c>
      <c r="J108" s="182">
        <f t="shared" si="65"/>
        <v>82.727003919802456</v>
      </c>
      <c r="K108" s="182">
        <f t="shared" si="65"/>
        <v>82.727003919802456</v>
      </c>
      <c r="L108" s="182">
        <f t="shared" si="65"/>
        <v>82.727003919802456</v>
      </c>
      <c r="M108" s="182">
        <f t="shared" si="65"/>
        <v>82.727003919802456</v>
      </c>
      <c r="O108" s="12" t="s">
        <v>240</v>
      </c>
    </row>
    <row r="109" spans="1:15">
      <c r="A109" s="70" t="s">
        <v>339</v>
      </c>
      <c r="B109" s="71" t="s">
        <v>6</v>
      </c>
      <c r="C109" s="71" t="s">
        <v>236</v>
      </c>
      <c r="D109" s="72">
        <f>D67/(D$6/365)</f>
        <v>0.45525156152191915</v>
      </c>
      <c r="E109" s="72">
        <f>E67/(E$6/365)</f>
        <v>0.79104814877583707</v>
      </c>
      <c r="F109" s="72">
        <f>F67/(F$6/365)</f>
        <v>0.79910714361698232</v>
      </c>
      <c r="G109" s="72">
        <f>G67/(G$6/365)</f>
        <v>0.8174940790443731</v>
      </c>
      <c r="H109" s="72">
        <f>H67/(H$6/365)</f>
        <v>0.6061697676570158</v>
      </c>
      <c r="I109" s="182">
        <f>AVERAGE($D109:$H109)</f>
        <v>0.69381414012322551</v>
      </c>
      <c r="J109" s="182">
        <f t="shared" si="65"/>
        <v>0.69381414012322551</v>
      </c>
      <c r="K109" s="182">
        <f t="shared" si="65"/>
        <v>0.69381414012322551</v>
      </c>
      <c r="L109" s="182">
        <f t="shared" si="65"/>
        <v>0.69381414012322551</v>
      </c>
      <c r="M109" s="182">
        <f t="shared" si="65"/>
        <v>0.69381414012322551</v>
      </c>
      <c r="O109" s="12" t="s">
        <v>237</v>
      </c>
    </row>
    <row r="110" spans="1:15">
      <c r="A110" s="70" t="s">
        <v>72</v>
      </c>
      <c r="B110" s="71" t="s">
        <v>6</v>
      </c>
      <c r="C110" s="71" t="s">
        <v>241</v>
      </c>
      <c r="D110" s="73">
        <f>D68/D$6</f>
        <v>5.1121368341369867E-3</v>
      </c>
      <c r="E110" s="73">
        <f t="shared" ref="E110:H110" si="66">E68/E$6</f>
        <v>2.6332678581846855E-3</v>
      </c>
      <c r="F110" s="73">
        <f t="shared" si="66"/>
        <v>1.0482867175656216E-3</v>
      </c>
      <c r="G110" s="73">
        <f t="shared" si="66"/>
        <v>1.0199921372234535E-3</v>
      </c>
      <c r="H110" s="73">
        <f t="shared" si="66"/>
        <v>1.1715644964664118E-3</v>
      </c>
      <c r="I110" s="183">
        <f>AVERAGE($D110:$H110)</f>
        <v>2.1970496087154318E-3</v>
      </c>
      <c r="J110" s="183">
        <f t="shared" si="65"/>
        <v>2.1970496087154318E-3</v>
      </c>
      <c r="K110" s="183">
        <f t="shared" si="65"/>
        <v>2.1970496087154318E-3</v>
      </c>
      <c r="L110" s="183">
        <f t="shared" si="65"/>
        <v>2.1970496087154318E-3</v>
      </c>
      <c r="M110" s="183">
        <f t="shared" si="65"/>
        <v>2.1970496087154318E-3</v>
      </c>
    </row>
    <row r="111" spans="1:15">
      <c r="A111" s="70" t="s">
        <v>86</v>
      </c>
      <c r="B111" s="71" t="s">
        <v>238</v>
      </c>
      <c r="C111" s="71" t="s">
        <v>242</v>
      </c>
      <c r="D111" s="72">
        <f>D79/(D$15/365)</f>
        <v>99.364031056965217</v>
      </c>
      <c r="E111" s="72">
        <f>E79/(E$15/365)</f>
        <v>101.6381356999138</v>
      </c>
      <c r="F111" s="72">
        <f>F79/(F$15/365)</f>
        <v>102.38521718726601</v>
      </c>
      <c r="G111" s="72">
        <f>G79/(G$15/365)</f>
        <v>98.611771097050237</v>
      </c>
      <c r="H111" s="72">
        <f>H79/(H$15/365)</f>
        <v>99.34560943065182</v>
      </c>
      <c r="I111" s="182">
        <f t="shared" ref="I111:M114" si="67">AVERAGE($D111:$H111)</f>
        <v>100.26895289436941</v>
      </c>
      <c r="J111" s="182">
        <f t="shared" si="67"/>
        <v>100.26895289436941</v>
      </c>
      <c r="K111" s="182">
        <f t="shared" si="67"/>
        <v>100.26895289436941</v>
      </c>
      <c r="L111" s="182">
        <f t="shared" si="67"/>
        <v>100.26895289436941</v>
      </c>
      <c r="M111" s="182">
        <f t="shared" si="67"/>
        <v>100.26895289436941</v>
      </c>
      <c r="O111" s="12" t="s">
        <v>243</v>
      </c>
    </row>
    <row r="112" spans="1:15">
      <c r="A112" s="70" t="s">
        <v>340</v>
      </c>
      <c r="B112" s="71" t="s">
        <v>244</v>
      </c>
      <c r="C112" s="71" t="s">
        <v>245</v>
      </c>
      <c r="D112" s="72">
        <f>D80/(D$21/365)</f>
        <v>32.19914507809505</v>
      </c>
      <c r="E112" s="72">
        <f>E80/(E$21/365)</f>
        <v>29.803689423494955</v>
      </c>
      <c r="F112" s="72">
        <f>F80/(F$21/365)</f>
        <v>34.934735682752276</v>
      </c>
      <c r="G112" s="72">
        <f>G80/(G$21/365)</f>
        <v>37.234802023632319</v>
      </c>
      <c r="H112" s="72">
        <f>H80/(H$21/365)</f>
        <v>32.145452848962975</v>
      </c>
      <c r="I112" s="182">
        <f t="shared" si="67"/>
        <v>33.263565011387513</v>
      </c>
      <c r="J112" s="182">
        <f t="shared" si="67"/>
        <v>33.263565011387513</v>
      </c>
      <c r="K112" s="182">
        <f t="shared" si="67"/>
        <v>33.263565011387513</v>
      </c>
      <c r="L112" s="182">
        <f t="shared" si="67"/>
        <v>33.263565011387513</v>
      </c>
      <c r="M112" s="182">
        <f t="shared" si="67"/>
        <v>33.263565011387513</v>
      </c>
    </row>
    <row r="113" spans="1:15">
      <c r="A113" s="70" t="s">
        <v>221</v>
      </c>
      <c r="B113" s="71" t="s">
        <v>6</v>
      </c>
      <c r="C113" s="71" t="s">
        <v>236</v>
      </c>
      <c r="D113" s="72">
        <f>D83/(D$6/365)</f>
        <v>0</v>
      </c>
      <c r="E113" s="72">
        <f>E83/(E$6/365)</f>
        <v>0</v>
      </c>
      <c r="F113" s="72">
        <f>F83/(F$6/365)</f>
        <v>0</v>
      </c>
      <c r="G113" s="72">
        <f>G83/(G$6/365)</f>
        <v>0</v>
      </c>
      <c r="H113" s="72">
        <f>H83/(H$6/365)</f>
        <v>0</v>
      </c>
      <c r="I113" s="182">
        <f t="shared" si="67"/>
        <v>0</v>
      </c>
      <c r="J113" s="182">
        <f t="shared" si="67"/>
        <v>0</v>
      </c>
      <c r="K113" s="182">
        <f t="shared" si="67"/>
        <v>0</v>
      </c>
      <c r="L113" s="182">
        <f t="shared" si="67"/>
        <v>0</v>
      </c>
      <c r="M113" s="182">
        <f t="shared" si="67"/>
        <v>0</v>
      </c>
      <c r="O113" s="12" t="s">
        <v>237</v>
      </c>
    </row>
    <row r="114" spans="1:15">
      <c r="A114" s="70" t="s">
        <v>93</v>
      </c>
      <c r="B114" s="71" t="s">
        <v>238</v>
      </c>
      <c r="C114" s="71" t="s">
        <v>245</v>
      </c>
      <c r="D114" s="72">
        <f>D84/(D$15/365)</f>
        <v>28.494029805304798</v>
      </c>
      <c r="E114" s="72">
        <f>E84/(E$15/365)</f>
        <v>23.442053316779404</v>
      </c>
      <c r="F114" s="72">
        <f>F84/(F$15/365)</f>
        <v>22.977156986321059</v>
      </c>
      <c r="G114" s="72">
        <f>G84/(G$15/365)</f>
        <v>20.505488565658464</v>
      </c>
      <c r="H114" s="72">
        <f>H84/(H$15/365)</f>
        <v>20.167128055351387</v>
      </c>
      <c r="I114" s="182">
        <f t="shared" si="67"/>
        <v>23.117171345883023</v>
      </c>
      <c r="J114" s="182">
        <f t="shared" si="67"/>
        <v>23.117171345883023</v>
      </c>
      <c r="K114" s="182">
        <f t="shared" si="67"/>
        <v>23.117171345883023</v>
      </c>
      <c r="L114" s="182">
        <f t="shared" si="67"/>
        <v>23.117171345883023</v>
      </c>
      <c r="M114" s="182">
        <f t="shared" si="67"/>
        <v>23.117171345883023</v>
      </c>
    </row>
    <row r="115" spans="1:15" ht="3" customHeight="1">
      <c r="H115" s="147"/>
      <c r="I115" s="180"/>
    </row>
    <row r="116" spans="1:15">
      <c r="A116" s="13" t="s">
        <v>246</v>
      </c>
      <c r="B116" s="13"/>
      <c r="C116" s="13"/>
      <c r="D116" s="14">
        <f>D61</f>
        <v>2557</v>
      </c>
      <c r="E116" s="14">
        <f>E61</f>
        <v>2558</v>
      </c>
      <c r="F116" s="14">
        <f>F61</f>
        <v>2559</v>
      </c>
      <c r="G116" s="14">
        <f>G61</f>
        <v>2560</v>
      </c>
      <c r="H116" s="14">
        <f>H61</f>
        <v>2561</v>
      </c>
      <c r="I116" s="184">
        <f>I61</f>
        <v>2562</v>
      </c>
      <c r="J116" s="14">
        <f>J61</f>
        <v>2563</v>
      </c>
      <c r="K116" s="14">
        <f>K61</f>
        <v>2564</v>
      </c>
      <c r="L116" s="14">
        <f>L61</f>
        <v>2565</v>
      </c>
      <c r="M116" s="14">
        <f>M61</f>
        <v>2566</v>
      </c>
    </row>
    <row r="117" spans="1:15" ht="3" customHeight="1">
      <c r="H117" s="147"/>
      <c r="I117" s="180"/>
    </row>
    <row r="118" spans="1:15">
      <c r="A118" s="9" t="s">
        <v>247</v>
      </c>
      <c r="B118" s="9"/>
      <c r="C118" s="9"/>
      <c r="H118" s="147"/>
      <c r="I118" s="149"/>
      <c r="J118" s="17"/>
      <c r="K118" s="17"/>
      <c r="L118" s="17"/>
      <c r="M118" s="17"/>
    </row>
    <row r="119" spans="1:15">
      <c r="A119" s="33" t="s">
        <v>37</v>
      </c>
      <c r="B119" s="33"/>
      <c r="C119" s="33"/>
      <c r="D119" s="17">
        <f>D39</f>
        <v>3313.3299999999995</v>
      </c>
      <c r="E119" s="17">
        <f t="shared" ref="E119:M119" si="68">E39</f>
        <v>3498.7999999999956</v>
      </c>
      <c r="F119" s="17">
        <f t="shared" si="68"/>
        <v>4125.199999999998</v>
      </c>
      <c r="G119" s="17">
        <f t="shared" si="68"/>
        <v>4886.399999999996</v>
      </c>
      <c r="H119" s="17">
        <f t="shared" si="68"/>
        <v>5612.6300000000037</v>
      </c>
      <c r="I119" s="17" t="e">
        <f t="shared" ca="1" si="68"/>
        <v>#REF!</v>
      </c>
      <c r="J119" s="17" t="e">
        <f t="shared" ca="1" si="68"/>
        <v>#REF!</v>
      </c>
      <c r="K119" s="17" t="e">
        <f t="shared" ca="1" si="68"/>
        <v>#REF!</v>
      </c>
      <c r="L119" s="17" t="e">
        <f t="shared" ca="1" si="68"/>
        <v>#REF!</v>
      </c>
      <c r="M119" s="17" t="e">
        <f t="shared" ca="1" si="68"/>
        <v>#REF!</v>
      </c>
    </row>
    <row r="120" spans="1:15" ht="3" customHeight="1">
      <c r="A120" s="33"/>
      <c r="B120" s="33"/>
      <c r="C120" s="33"/>
      <c r="D120" s="17"/>
      <c r="E120" s="17"/>
      <c r="F120" s="17"/>
      <c r="G120" s="17"/>
      <c r="H120" s="149"/>
      <c r="I120" s="149"/>
      <c r="J120" s="17"/>
      <c r="K120" s="17"/>
      <c r="L120" s="17"/>
      <c r="M120" s="17"/>
    </row>
    <row r="121" spans="1:15">
      <c r="A121" s="33" t="s">
        <v>248</v>
      </c>
      <c r="B121" s="74"/>
      <c r="C121" s="74"/>
      <c r="D121" s="17"/>
      <c r="E121" s="17"/>
      <c r="F121" s="17"/>
      <c r="G121" s="17"/>
      <c r="H121" s="149"/>
      <c r="I121" s="149"/>
      <c r="J121" s="17"/>
      <c r="K121" s="17"/>
      <c r="L121" s="17"/>
      <c r="M121" s="17"/>
    </row>
    <row r="122" spans="1:15">
      <c r="A122" s="61" t="s">
        <v>249</v>
      </c>
      <c r="B122" s="61"/>
      <c r="C122" s="61"/>
      <c r="D122" s="149">
        <f t="shared" ref="D122:H122" si="69">D190</f>
        <v>0</v>
      </c>
      <c r="E122" s="149">
        <f t="shared" si="69"/>
        <v>3064.4917839999998</v>
      </c>
      <c r="F122" s="149">
        <f t="shared" si="69"/>
        <v>0</v>
      </c>
      <c r="G122" s="149">
        <f t="shared" si="69"/>
        <v>3065.8401570000001</v>
      </c>
      <c r="H122" s="149">
        <f t="shared" si="69"/>
        <v>3064.4917839999998</v>
      </c>
      <c r="I122" s="149" t="e">
        <f ca="1">I190</f>
        <v>#REF!</v>
      </c>
      <c r="J122" s="149" t="e">
        <f t="shared" ref="J122:M122" ca="1" si="70">J190</f>
        <v>#REF!</v>
      </c>
      <c r="K122" s="149" t="e">
        <f t="shared" ca="1" si="70"/>
        <v>#REF!</v>
      </c>
      <c r="L122" s="149" t="e">
        <f t="shared" ca="1" si="70"/>
        <v>#REF!</v>
      </c>
      <c r="M122" s="149" t="e">
        <f t="shared" ca="1" si="70"/>
        <v>#REF!</v>
      </c>
    </row>
    <row r="123" spans="1:15">
      <c r="A123" s="61" t="s">
        <v>250</v>
      </c>
      <c r="B123" s="61"/>
      <c r="C123" s="61"/>
      <c r="D123" s="17"/>
      <c r="E123" s="17"/>
      <c r="F123" s="17">
        <v>0</v>
      </c>
      <c r="G123" s="17"/>
      <c r="H123" s="149">
        <v>0</v>
      </c>
      <c r="I123" s="149">
        <v>0</v>
      </c>
      <c r="J123" s="17">
        <v>0</v>
      </c>
      <c r="K123" s="17">
        <v>0</v>
      </c>
      <c r="L123" s="17">
        <v>0</v>
      </c>
      <c r="M123" s="17">
        <v>0</v>
      </c>
    </row>
    <row r="124" spans="1:15" ht="3" customHeight="1">
      <c r="D124" s="17"/>
      <c r="E124" s="17"/>
      <c r="F124" s="17"/>
      <c r="G124" s="17"/>
      <c r="H124" s="149"/>
      <c r="I124" s="149"/>
      <c r="J124" s="17"/>
      <c r="K124" s="17"/>
      <c r="L124" s="17"/>
      <c r="M124" s="17"/>
    </row>
    <row r="125" spans="1:15">
      <c r="A125" s="33" t="s">
        <v>251</v>
      </c>
      <c r="B125" s="74"/>
      <c r="C125" s="74"/>
      <c r="D125" s="17"/>
      <c r="E125" s="17"/>
      <c r="F125" s="17"/>
      <c r="G125" s="17"/>
      <c r="H125" s="149"/>
      <c r="I125" s="149"/>
      <c r="J125" s="17"/>
      <c r="K125" s="17"/>
      <c r="L125" s="17"/>
      <c r="M125" s="17"/>
    </row>
    <row r="126" spans="1:15">
      <c r="A126" s="61" t="s">
        <v>66</v>
      </c>
      <c r="B126" s="61"/>
      <c r="C126" s="61"/>
      <c r="D126" s="17"/>
      <c r="E126" s="17"/>
      <c r="F126" s="17">
        <f>E65-F65</f>
        <v>-272.63000000000011</v>
      </c>
      <c r="G126" s="17"/>
      <c r="H126" s="149">
        <f>G65-H65</f>
        <v>-150.67000000000007</v>
      </c>
      <c r="I126" s="149">
        <f>H65-I65</f>
        <v>-172.08719488088627</v>
      </c>
      <c r="J126" s="17">
        <f>I65-J65</f>
        <v>-86.017692064925996</v>
      </c>
      <c r="K126" s="17">
        <f>J65-K65</f>
        <v>-80.063547420192663</v>
      </c>
      <c r="L126" s="17">
        <f>K65-L65</f>
        <v>-74.275113068807059</v>
      </c>
      <c r="M126" s="17">
        <f>L65-M65</f>
        <v>-68.699414025935312</v>
      </c>
      <c r="O126" s="49"/>
    </row>
    <row r="127" spans="1:15">
      <c r="A127" s="75" t="s">
        <v>212</v>
      </c>
      <c r="B127" s="61"/>
      <c r="C127" s="61"/>
      <c r="D127" s="17"/>
      <c r="E127" s="17"/>
      <c r="F127" s="17">
        <f>E66-F66</f>
        <v>-1306.7800000000007</v>
      </c>
      <c r="G127" s="17"/>
      <c r="H127" s="149">
        <f>G66-H66</f>
        <v>97.539999999999054</v>
      </c>
      <c r="I127" s="149">
        <f>H66-I66</f>
        <v>-463.8042942683569</v>
      </c>
      <c r="J127" s="17">
        <f>I66-J66</f>
        <v>-366.25649686397992</v>
      </c>
      <c r="K127" s="17">
        <f>J66-K66</f>
        <v>-340.90422215105355</v>
      </c>
      <c r="L127" s="17">
        <f>K66-L66</f>
        <v>-316.25752869797725</v>
      </c>
      <c r="M127" s="17">
        <f>L66-M66</f>
        <v>-292.51664528217225</v>
      </c>
    </row>
    <row r="128" spans="1:15">
      <c r="A128" s="61" t="s">
        <v>72</v>
      </c>
      <c r="B128" s="61"/>
      <c r="C128" s="61"/>
      <c r="D128" s="17"/>
      <c r="E128" s="17"/>
      <c r="F128" s="17">
        <f>E68-F68</f>
        <v>80.579999999998108</v>
      </c>
      <c r="G128" s="17"/>
      <c r="H128" s="149">
        <f>G68-H68</f>
        <v>-11.439999999996871</v>
      </c>
      <c r="I128" s="149">
        <f>H68-I68</f>
        <v>-70.481932180416294</v>
      </c>
      <c r="J128" s="17">
        <f>I68-J68</f>
        <v>-4.9570140805701897</v>
      </c>
      <c r="K128" s="17">
        <f>J68-K68</f>
        <v>-4.6138895659131549</v>
      </c>
      <c r="L128" s="17">
        <f>K68-L68</f>
        <v>-4.2803145780767409</v>
      </c>
      <c r="M128" s="17">
        <f>L68-M68</f>
        <v>-3.9589990672667739</v>
      </c>
    </row>
    <row r="129" spans="1:13">
      <c r="A129" s="61" t="s">
        <v>86</v>
      </c>
      <c r="B129" s="61"/>
      <c r="C129" s="61"/>
      <c r="D129" s="17"/>
      <c r="E129" s="17"/>
      <c r="F129" s="17">
        <f>F79-E79</f>
        <v>1034.9300000000003</v>
      </c>
      <c r="G129" s="17"/>
      <c r="H129" s="149">
        <f>H79-G79</f>
        <v>250.36000000000058</v>
      </c>
      <c r="I129" s="149">
        <f>I79-H79</f>
        <v>828.86125130060645</v>
      </c>
      <c r="J129" s="17">
        <f>J79-I79</f>
        <v>443.91980479448284</v>
      </c>
      <c r="K129" s="17">
        <f>K79-J79</f>
        <v>413.191675906608</v>
      </c>
      <c r="L129" s="17">
        <f>L79-K79</f>
        <v>383.31874412191064</v>
      </c>
      <c r="M129" s="17">
        <f>M79-L79</f>
        <v>354.54369597442019</v>
      </c>
    </row>
    <row r="130" spans="1:13">
      <c r="A130" s="61" t="s">
        <v>219</v>
      </c>
      <c r="B130" s="61"/>
      <c r="C130" s="61"/>
      <c r="D130" s="17"/>
      <c r="E130" s="17"/>
      <c r="F130" s="17">
        <f>F80-E80</f>
        <v>255.51999999999987</v>
      </c>
      <c r="G130" s="17"/>
      <c r="H130" s="149">
        <f>H80-G80</f>
        <v>-165.76</v>
      </c>
      <c r="I130" s="149">
        <f>I80-H80</f>
        <v>108.90615289251991</v>
      </c>
      <c r="J130" s="17">
        <f>J80-I80</f>
        <v>46.011864428924127</v>
      </c>
      <c r="K130" s="17">
        <f>K80-J80</f>
        <v>42.826923173154</v>
      </c>
      <c r="L130" s="17">
        <f>L80-K80</f>
        <v>39.730622281581418</v>
      </c>
      <c r="M130" s="17">
        <f>M80-L80</f>
        <v>36.748115982023364</v>
      </c>
    </row>
    <row r="131" spans="1:13">
      <c r="A131" s="61" t="s">
        <v>220</v>
      </c>
      <c r="B131" s="61"/>
      <c r="C131" s="61"/>
      <c r="D131" s="17"/>
      <c r="E131" s="17"/>
      <c r="F131" s="17" t="e">
        <f>#REF!-#REF!</f>
        <v>#REF!</v>
      </c>
      <c r="G131" s="17"/>
      <c r="H131" s="149" t="e">
        <f>#REF!-#REF!</f>
        <v>#REF!</v>
      </c>
      <c r="I131" s="149" t="e">
        <f>#REF!-#REF!</f>
        <v>#REF!</v>
      </c>
      <c r="J131" s="17" t="e">
        <f>#REF!-#REF!</f>
        <v>#REF!</v>
      </c>
      <c r="K131" s="17" t="e">
        <f>#REF!-#REF!</f>
        <v>#REF!</v>
      </c>
      <c r="L131" s="17" t="e">
        <f>#REF!-#REF!</f>
        <v>#REF!</v>
      </c>
      <c r="M131" s="17" t="e">
        <f>#REF!-#REF!</f>
        <v>#REF!</v>
      </c>
    </row>
    <row r="132" spans="1:13">
      <c r="A132" s="61" t="s">
        <v>221</v>
      </c>
      <c r="B132" s="61"/>
      <c r="C132" s="61"/>
      <c r="D132" s="17"/>
      <c r="E132" s="17"/>
      <c r="F132" s="17">
        <f>F83-E83</f>
        <v>0</v>
      </c>
      <c r="G132" s="17"/>
      <c r="H132" s="149">
        <f>H83-G83</f>
        <v>0</v>
      </c>
      <c r="I132" s="149">
        <f>I83-H83</f>
        <v>0</v>
      </c>
      <c r="J132" s="17">
        <f>J83-I83</f>
        <v>0</v>
      </c>
      <c r="K132" s="17">
        <f>K83-J83</f>
        <v>0</v>
      </c>
      <c r="L132" s="17">
        <f>L83-K83</f>
        <v>0</v>
      </c>
      <c r="M132" s="17">
        <f>M83-L83</f>
        <v>0</v>
      </c>
    </row>
    <row r="133" spans="1:13">
      <c r="A133" s="61" t="s">
        <v>222</v>
      </c>
      <c r="B133" s="61"/>
      <c r="C133" s="61"/>
      <c r="D133" s="17"/>
      <c r="E133" s="17"/>
      <c r="F133" s="17">
        <f>F82-E82</f>
        <v>25.810000000000002</v>
      </c>
      <c r="G133" s="17"/>
      <c r="H133" s="149">
        <f>H82-G82</f>
        <v>90.630000000000052</v>
      </c>
      <c r="I133" s="149">
        <f>I82-H82</f>
        <v>0</v>
      </c>
      <c r="J133" s="17">
        <f>J82-I82</f>
        <v>0</v>
      </c>
      <c r="K133" s="17">
        <f>K82-J82</f>
        <v>0</v>
      </c>
      <c r="L133" s="17">
        <f>L82-K82</f>
        <v>0</v>
      </c>
      <c r="M133" s="17">
        <f>M82-L82</f>
        <v>0</v>
      </c>
    </row>
    <row r="134" spans="1:13">
      <c r="A134" s="61" t="s">
        <v>224</v>
      </c>
      <c r="B134" s="61"/>
      <c r="C134" s="61"/>
      <c r="D134" s="17"/>
      <c r="E134" s="17"/>
      <c r="F134" s="17">
        <f>F84-E84</f>
        <v>164.66999999999462</v>
      </c>
      <c r="G134" s="17"/>
      <c r="H134" s="149">
        <f>H84-G84</f>
        <v>-7.9900000000016007</v>
      </c>
      <c r="I134" s="149">
        <f>I84-H84</f>
        <v>525.8859124214564</v>
      </c>
      <c r="J134" s="17">
        <f>J84-I84</f>
        <v>102.34643820481415</v>
      </c>
      <c r="K134" s="17">
        <f>K84-J84</f>
        <v>95.262017752276734</v>
      </c>
      <c r="L134" s="17">
        <f>L84-K84</f>
        <v>88.374764392822271</v>
      </c>
      <c r="M134" s="17">
        <f>M84-L84</f>
        <v>81.740629904430079</v>
      </c>
    </row>
    <row r="135" spans="1:13" ht="3" customHeight="1">
      <c r="A135" s="76"/>
      <c r="B135" s="76"/>
      <c r="C135" s="76"/>
      <c r="D135" s="77"/>
      <c r="E135" s="77"/>
      <c r="F135" s="77"/>
      <c r="G135" s="77"/>
      <c r="H135" s="150"/>
      <c r="I135" s="185"/>
      <c r="J135" s="18"/>
      <c r="K135" s="18"/>
      <c r="L135" s="18"/>
      <c r="M135" s="18"/>
    </row>
    <row r="136" spans="1:13">
      <c r="A136" s="78" t="s">
        <v>252</v>
      </c>
      <c r="B136" s="78"/>
      <c r="C136" s="78"/>
      <c r="D136" s="79"/>
      <c r="E136" s="79"/>
      <c r="F136" s="79" t="e">
        <f t="shared" ref="F136:H136" si="71">F119+SUM(F122:F123)+SUM(F126:F134)</f>
        <v>#REF!</v>
      </c>
      <c r="G136" s="79"/>
      <c r="H136" s="79" t="e">
        <f t="shared" si="71"/>
        <v>#REF!</v>
      </c>
      <c r="I136" s="79" t="e">
        <f ca="1">I119+SUM(I122:I123)+SUM(I126:I134)</f>
        <v>#REF!</v>
      </c>
      <c r="J136" s="79" t="e">
        <f ca="1">J119+SUM(J122:J123)+SUM(J126:J134)</f>
        <v>#REF!</v>
      </c>
      <c r="K136" s="79" t="e">
        <f ca="1">K119+SUM(K122:K123)+SUM(K126:K134)</f>
        <v>#REF!</v>
      </c>
      <c r="L136" s="79" t="e">
        <f ca="1">L119+SUM(L122:L123)+SUM(L126:L134)</f>
        <v>#REF!</v>
      </c>
      <c r="M136" s="79" t="e">
        <f ca="1">M119+SUM(M122:M123)+SUM(M126:M134)</f>
        <v>#REF!</v>
      </c>
    </row>
    <row r="137" spans="1:13" ht="3" customHeight="1">
      <c r="H137" s="147"/>
      <c r="I137" s="149"/>
      <c r="J137" s="17"/>
      <c r="K137" s="17"/>
      <c r="L137" s="17"/>
      <c r="M137" s="17"/>
    </row>
    <row r="138" spans="1:13">
      <c r="A138" s="9" t="s">
        <v>253</v>
      </c>
      <c r="B138" s="9"/>
      <c r="C138" s="9"/>
      <c r="H138" s="147"/>
      <c r="I138" s="149"/>
      <c r="J138" s="17"/>
      <c r="K138" s="17"/>
      <c r="L138" s="17"/>
      <c r="M138" s="17"/>
    </row>
    <row r="139" spans="1:13">
      <c r="A139" s="61" t="s">
        <v>254</v>
      </c>
      <c r="B139" s="61"/>
      <c r="C139" s="61"/>
      <c r="F139" s="59">
        <f t="shared" ref="F139:H139" si="72">-F187</f>
        <v>0</v>
      </c>
      <c r="H139" s="147">
        <f t="shared" si="72"/>
        <v>-2249.121255</v>
      </c>
      <c r="I139" s="149" t="e">
        <f ca="1">-I187</f>
        <v>#REF!</v>
      </c>
      <c r="J139" s="17" t="e">
        <f t="shared" ref="J139:M139" ca="1" si="73">-J187</f>
        <v>#REF!</v>
      </c>
      <c r="K139" s="17" t="e">
        <f t="shared" ca="1" si="73"/>
        <v>#REF!</v>
      </c>
      <c r="L139" s="17" t="e">
        <f t="shared" ca="1" si="73"/>
        <v>#REF!</v>
      </c>
      <c r="M139" s="17" t="e">
        <f t="shared" ca="1" si="73"/>
        <v>#REF!</v>
      </c>
    </row>
    <row r="140" spans="1:13" ht="3" customHeight="1">
      <c r="A140" s="61"/>
      <c r="B140" s="61"/>
      <c r="C140" s="61"/>
      <c r="H140" s="147"/>
      <c r="I140" s="147"/>
      <c r="J140" s="59"/>
      <c r="K140" s="59"/>
      <c r="L140" s="59"/>
      <c r="M140" s="59"/>
    </row>
    <row r="141" spans="1:13">
      <c r="A141" s="78" t="s">
        <v>255</v>
      </c>
      <c r="B141" s="78"/>
      <c r="C141" s="78"/>
      <c r="D141" s="79"/>
      <c r="E141" s="79"/>
      <c r="F141" s="79">
        <f t="shared" ref="F141:H141" si="74">SUM(F139:F139)</f>
        <v>0</v>
      </c>
      <c r="G141" s="79"/>
      <c r="H141" s="79">
        <f t="shared" si="74"/>
        <v>-2249.121255</v>
      </c>
      <c r="I141" s="79" t="e">
        <f ca="1">SUM(I139:I139)</f>
        <v>#REF!</v>
      </c>
      <c r="J141" s="79" t="e">
        <f ca="1">SUM(J139:J139)</f>
        <v>#REF!</v>
      </c>
      <c r="K141" s="79" t="e">
        <f ca="1">SUM(K139:K139)</f>
        <v>#REF!</v>
      </c>
      <c r="L141" s="79" t="e">
        <f ca="1">SUM(L139:L139)</f>
        <v>#REF!</v>
      </c>
      <c r="M141" s="79" t="e">
        <f ca="1">SUM(M139:M139)</f>
        <v>#REF!</v>
      </c>
    </row>
    <row r="142" spans="1:13" ht="3" customHeight="1">
      <c r="H142" s="149"/>
      <c r="I142" s="149"/>
      <c r="J142" s="17"/>
      <c r="K142" s="17"/>
      <c r="L142" s="17"/>
      <c r="M142" s="17"/>
    </row>
    <row r="143" spans="1:13">
      <c r="A143" s="9" t="s">
        <v>256</v>
      </c>
      <c r="B143" s="9"/>
      <c r="C143" s="9"/>
      <c r="H143" s="149"/>
      <c r="I143" s="149"/>
      <c r="J143" s="17"/>
      <c r="K143" s="17"/>
      <c r="L143" s="17"/>
      <c r="M143" s="17"/>
    </row>
    <row r="144" spans="1:13">
      <c r="A144" s="67" t="s">
        <v>223</v>
      </c>
      <c r="B144" s="61"/>
      <c r="C144" s="61"/>
      <c r="F144" s="59">
        <f>F81-E81</f>
        <v>1546.8499999999995</v>
      </c>
      <c r="H144" s="149">
        <f>H81-G81</f>
        <v>3106.1900000000005</v>
      </c>
      <c r="I144" s="149">
        <f>I81-H81</f>
        <v>-1165.3289769469529</v>
      </c>
      <c r="J144" s="17" t="e">
        <f ca="1">J81-I81</f>
        <v>#REF!</v>
      </c>
      <c r="K144" s="17" t="e">
        <f ca="1">K81-J81</f>
        <v>#REF!</v>
      </c>
      <c r="L144" s="17" t="e">
        <f ca="1">L81-K81</f>
        <v>#REF!</v>
      </c>
      <c r="M144" s="17" t="e">
        <f ca="1">M81-L81</f>
        <v>#REF!</v>
      </c>
    </row>
    <row r="145" spans="1:15">
      <c r="A145" s="67" t="s">
        <v>257</v>
      </c>
      <c r="B145" s="61"/>
      <c r="C145" s="61"/>
      <c r="F145" s="59">
        <f>F89-E89</f>
        <v>951.1299999999992</v>
      </c>
      <c r="H145" s="149">
        <f>H89-G89</f>
        <v>-906.76000000000022</v>
      </c>
      <c r="I145" s="149" t="e">
        <f ca="1">I89-H89</f>
        <v>#REF!</v>
      </c>
      <c r="J145" s="17" t="e">
        <f ca="1">J89-I89</f>
        <v>#REF!</v>
      </c>
      <c r="K145" s="17" t="e">
        <f ca="1">K89-J89</f>
        <v>#REF!</v>
      </c>
      <c r="L145" s="17" t="e">
        <f ca="1">L89-K89</f>
        <v>#REF!</v>
      </c>
      <c r="M145" s="17" t="e">
        <f ca="1">M89-L89</f>
        <v>#REF!</v>
      </c>
    </row>
    <row r="146" spans="1:15">
      <c r="A146" s="80" t="s">
        <v>258</v>
      </c>
      <c r="B146" s="61"/>
      <c r="C146" s="61"/>
      <c r="F146" s="59">
        <f t="shared" ref="F146:H146" si="75">F199</f>
        <v>0</v>
      </c>
      <c r="H146" s="149">
        <f t="shared" si="75"/>
        <v>0</v>
      </c>
      <c r="I146" s="149" t="e">
        <f ca="1">I199</f>
        <v>#REF!</v>
      </c>
      <c r="J146" s="17" t="e">
        <f t="shared" ref="J146:M146" ca="1" si="76">J199</f>
        <v>#REF!</v>
      </c>
      <c r="K146" s="17" t="e">
        <f t="shared" ca="1" si="76"/>
        <v>#REF!</v>
      </c>
      <c r="L146" s="17" t="e">
        <f t="shared" ca="1" si="76"/>
        <v>#REF!</v>
      </c>
      <c r="M146" s="17" t="e">
        <f t="shared" ca="1" si="76"/>
        <v>#REF!</v>
      </c>
    </row>
    <row r="147" spans="1:15">
      <c r="A147" s="81" t="s">
        <v>259</v>
      </c>
      <c r="B147" s="61"/>
      <c r="C147" s="61"/>
      <c r="D147" s="12"/>
      <c r="E147" s="12"/>
      <c r="F147" s="12">
        <f t="shared" ref="F147:H147" si="77">F201</f>
        <v>0</v>
      </c>
      <c r="G147" s="12"/>
      <c r="H147" s="149">
        <f t="shared" si="77"/>
        <v>0</v>
      </c>
      <c r="I147" s="149" t="e">
        <f ca="1">I201</f>
        <v>#REF!</v>
      </c>
      <c r="J147" s="17" t="e">
        <f t="shared" ref="J147:M147" ca="1" si="78">J201</f>
        <v>#REF!</v>
      </c>
      <c r="K147" s="17" t="e">
        <f t="shared" ca="1" si="78"/>
        <v>#REF!</v>
      </c>
      <c r="L147" s="17" t="e">
        <f t="shared" ca="1" si="78"/>
        <v>#REF!</v>
      </c>
      <c r="M147" s="17" t="e">
        <f t="shared" ca="1" si="78"/>
        <v>#REF!</v>
      </c>
    </row>
    <row r="148" spans="1:15">
      <c r="A148" s="82" t="s">
        <v>161</v>
      </c>
      <c r="B148" s="61"/>
      <c r="C148" s="61"/>
      <c r="F148" s="59">
        <f t="shared" ref="F148:H148" si="79">F200</f>
        <v>0</v>
      </c>
      <c r="H148" s="149">
        <f t="shared" si="79"/>
        <v>0</v>
      </c>
      <c r="I148" s="149">
        <f>I200</f>
        <v>0</v>
      </c>
      <c r="J148" s="17">
        <f>J200</f>
        <v>0</v>
      </c>
      <c r="K148" s="17">
        <f>K200</f>
        <v>0</v>
      </c>
      <c r="L148" s="17">
        <f>L200</f>
        <v>0</v>
      </c>
      <c r="M148" s="17">
        <f>M200</f>
        <v>0</v>
      </c>
      <c r="O148" s="12" t="s">
        <v>260</v>
      </c>
    </row>
    <row r="149" spans="1:15" ht="3" customHeight="1">
      <c r="A149" s="61"/>
      <c r="B149" s="61"/>
      <c r="C149" s="61"/>
      <c r="H149" s="149"/>
      <c r="I149" s="149"/>
      <c r="J149" s="17"/>
      <c r="K149" s="17"/>
      <c r="L149" s="17"/>
      <c r="M149" s="17"/>
    </row>
    <row r="150" spans="1:15">
      <c r="A150" s="78" t="s">
        <v>261</v>
      </c>
      <c r="B150" s="78"/>
      <c r="C150" s="78"/>
      <c r="D150" s="83"/>
      <c r="E150" s="83"/>
      <c r="F150" s="83">
        <f t="shared" ref="F150:H150" si="80">SUM(F144:F148)</f>
        <v>2497.9799999999987</v>
      </c>
      <c r="G150" s="83"/>
      <c r="H150" s="79">
        <f t="shared" si="80"/>
        <v>2199.4300000000003</v>
      </c>
      <c r="I150" s="79" t="e">
        <f ca="1">SUM(I144:I148)</f>
        <v>#REF!</v>
      </c>
      <c r="J150" s="79" t="e">
        <f ca="1">SUM(J144:J148)</f>
        <v>#REF!</v>
      </c>
      <c r="K150" s="79" t="e">
        <f ca="1">SUM(K144:K148)</f>
        <v>#REF!</v>
      </c>
      <c r="L150" s="79" t="e">
        <f ca="1">SUM(L144:L148)</f>
        <v>#REF!</v>
      </c>
      <c r="M150" s="79" t="e">
        <f ca="1">SUM(M144:M148)</f>
        <v>#REF!</v>
      </c>
    </row>
    <row r="151" spans="1:15" ht="3" customHeight="1">
      <c r="H151" s="149"/>
      <c r="I151" s="149"/>
      <c r="J151" s="17"/>
      <c r="K151" s="17"/>
      <c r="L151" s="17"/>
      <c r="M151" s="17"/>
    </row>
    <row r="152" spans="1:15">
      <c r="A152" s="12" t="s">
        <v>262</v>
      </c>
      <c r="F152" s="59" t="e">
        <f t="shared" ref="F152:H152" si="81">F136+F141+F150</f>
        <v>#REF!</v>
      </c>
      <c r="H152" s="149" t="e">
        <f t="shared" si="81"/>
        <v>#REF!</v>
      </c>
      <c r="I152" s="149" t="e">
        <f ca="1">I136+I141+I150</f>
        <v>#REF!</v>
      </c>
      <c r="J152" s="17" t="e">
        <f ca="1">J136+J141+J150</f>
        <v>#REF!</v>
      </c>
      <c r="K152" s="17" t="e">
        <f ca="1">K136+K141+K150</f>
        <v>#REF!</v>
      </c>
      <c r="L152" s="17" t="e">
        <f ca="1">L136+L141+L150</f>
        <v>#REF!</v>
      </c>
      <c r="M152" s="17" t="e">
        <f ca="1">M136+M141+M150</f>
        <v>#REF!</v>
      </c>
    </row>
    <row r="153" spans="1:15">
      <c r="A153" s="84" t="s">
        <v>263</v>
      </c>
      <c r="B153" s="84"/>
      <c r="C153" s="84"/>
      <c r="D153" s="85"/>
      <c r="E153" s="85"/>
      <c r="F153" s="85">
        <f>E64</f>
        <v>2698.06</v>
      </c>
      <c r="G153" s="85"/>
      <c r="H153" s="86">
        <f>G64</f>
        <v>2504.91</v>
      </c>
      <c r="I153" s="86">
        <f>H64</f>
        <v>6237.75</v>
      </c>
      <c r="J153" s="86" t="e">
        <f ca="1">I64</f>
        <v>#REF!</v>
      </c>
      <c r="K153" s="86" t="e">
        <f ca="1">J64</f>
        <v>#REF!</v>
      </c>
      <c r="L153" s="86" t="e">
        <f ca="1">K64</f>
        <v>#REF!</v>
      </c>
      <c r="M153" s="86" t="e">
        <f ca="1">L64</f>
        <v>#REF!</v>
      </c>
    </row>
    <row r="154" spans="1:15" ht="10.8" thickBot="1">
      <c r="A154" s="87" t="s">
        <v>264</v>
      </c>
      <c r="B154" s="87"/>
      <c r="C154" s="87"/>
      <c r="D154" s="88"/>
      <c r="E154" s="88"/>
      <c r="F154" s="88" t="e">
        <f t="shared" ref="F154:H154" si="82">F152+F153</f>
        <v>#REF!</v>
      </c>
      <c r="G154" s="88"/>
      <c r="H154" s="89" t="e">
        <f t="shared" si="82"/>
        <v>#REF!</v>
      </c>
      <c r="I154" s="89" t="e">
        <f ca="1">I152+I153</f>
        <v>#REF!</v>
      </c>
      <c r="J154" s="89" t="e">
        <f ca="1">J152+J153</f>
        <v>#REF!</v>
      </c>
      <c r="K154" s="89" t="e">
        <f t="shared" ref="K154:M154" ca="1" si="83">K152+K153</f>
        <v>#REF!</v>
      </c>
      <c r="L154" s="89" t="e">
        <f t="shared" ca="1" si="83"/>
        <v>#REF!</v>
      </c>
      <c r="M154" s="89" t="e">
        <f t="shared" ca="1" si="83"/>
        <v>#REF!</v>
      </c>
    </row>
    <row r="155" spans="1:15" ht="10.8" thickTop="1">
      <c r="I155" s="180"/>
    </row>
    <row r="156" spans="1:15">
      <c r="I156" s="149"/>
      <c r="J156" s="17"/>
    </row>
    <row r="157" spans="1:15">
      <c r="I157" s="147">
        <f>(I160-$H160)/COUNTA($I160:$M160)</f>
        <v>0.2</v>
      </c>
      <c r="J157" s="59">
        <f>(J160-$H160)/COUNTA($I160:$M160)</f>
        <v>0.4</v>
      </c>
      <c r="K157" s="59">
        <f>(K160-$H160)/COUNTA($I160:$M160)</f>
        <v>0.6</v>
      </c>
      <c r="L157" s="59">
        <f>(L160-$H160)/COUNTA($I160:$M160)</f>
        <v>0.8</v>
      </c>
      <c r="M157" s="59">
        <f>(M160-$H160)/COUNTA($I160:$M160)</f>
        <v>1</v>
      </c>
    </row>
    <row r="158" spans="1:15">
      <c r="A158" s="9" t="s">
        <v>265</v>
      </c>
      <c r="B158" s="9"/>
      <c r="C158" s="9"/>
      <c r="I158" s="186"/>
      <c r="J158" s="12">
        <f t="shared" ref="J158:M158" si="84">1-(J160-$H160)/COUNTA($I160:$M160)</f>
        <v>0.6</v>
      </c>
      <c r="K158" s="12">
        <f t="shared" si="84"/>
        <v>0.4</v>
      </c>
      <c r="L158" s="12">
        <f t="shared" si="84"/>
        <v>0.19999999999999996</v>
      </c>
      <c r="M158" s="12">
        <f t="shared" si="84"/>
        <v>0</v>
      </c>
    </row>
    <row r="159" spans="1:15">
      <c r="I159" s="180"/>
    </row>
    <row r="160" spans="1:15">
      <c r="A160" s="90" t="s">
        <v>266</v>
      </c>
      <c r="B160" s="90"/>
      <c r="C160" s="90"/>
      <c r="D160" s="91">
        <f t="shared" ref="D160" si="85">D116</f>
        <v>2557</v>
      </c>
      <c r="E160" s="91">
        <f t="shared" ref="E160:F160" si="86">E116</f>
        <v>2558</v>
      </c>
      <c r="F160" s="91">
        <f t="shared" si="86"/>
        <v>2559</v>
      </c>
      <c r="G160" s="91">
        <f t="shared" ref="G160:M160" si="87">G116</f>
        <v>2560</v>
      </c>
      <c r="H160" s="91">
        <f t="shared" si="87"/>
        <v>2561</v>
      </c>
      <c r="I160" s="187">
        <f t="shared" si="87"/>
        <v>2562</v>
      </c>
      <c r="J160" s="91">
        <f t="shared" si="87"/>
        <v>2563</v>
      </c>
      <c r="K160" s="91">
        <f t="shared" si="87"/>
        <v>2564</v>
      </c>
      <c r="L160" s="91">
        <f t="shared" si="87"/>
        <v>2565</v>
      </c>
      <c r="M160" s="91">
        <f t="shared" si="87"/>
        <v>2566</v>
      </c>
    </row>
    <row r="161" spans="1:13" ht="3" customHeight="1">
      <c r="A161" s="15"/>
      <c r="B161" s="15"/>
      <c r="C161" s="15"/>
      <c r="D161" s="92"/>
      <c r="E161" s="92"/>
      <c r="F161" s="92"/>
      <c r="G161" s="92"/>
      <c r="H161" s="92"/>
      <c r="I161" s="180"/>
    </row>
    <row r="162" spans="1:13">
      <c r="A162" s="93" t="s">
        <v>267</v>
      </c>
      <c r="B162" s="93"/>
      <c r="C162" s="15"/>
      <c r="D162" s="92"/>
      <c r="E162" s="92"/>
      <c r="F162" s="92"/>
      <c r="G162" s="92"/>
      <c r="H162" s="92"/>
      <c r="I162" s="180"/>
    </row>
    <row r="163" spans="1:13">
      <c r="A163" s="26" t="s">
        <v>268</v>
      </c>
      <c r="B163" s="26"/>
      <c r="C163" s="26"/>
      <c r="D163" s="94"/>
      <c r="E163" s="94"/>
      <c r="F163" s="94"/>
      <c r="G163" s="94"/>
      <c r="H163" s="94"/>
      <c r="I163" s="149">
        <f>H64</f>
        <v>6237.75</v>
      </c>
      <c r="J163" s="17" t="e">
        <f ca="1">I64</f>
        <v>#REF!</v>
      </c>
      <c r="K163" s="17" t="e">
        <f ca="1">J64</f>
        <v>#REF!</v>
      </c>
      <c r="L163" s="17" t="e">
        <f ca="1">K64</f>
        <v>#REF!</v>
      </c>
      <c r="M163" s="17" t="e">
        <f ca="1">L64</f>
        <v>#REF!</v>
      </c>
    </row>
    <row r="164" spans="1:13">
      <c r="A164" s="26" t="s">
        <v>269</v>
      </c>
      <c r="B164" s="26"/>
      <c r="C164" s="26"/>
      <c r="D164" s="94"/>
      <c r="E164" s="94"/>
      <c r="F164" s="94"/>
      <c r="G164" s="94"/>
      <c r="H164" s="94"/>
      <c r="I164" s="149" t="e">
        <f ca="1">I136+I141</f>
        <v>#REF!</v>
      </c>
      <c r="J164" s="17" t="e">
        <f t="shared" ref="J164:M164" ca="1" si="88">J136+J141</f>
        <v>#REF!</v>
      </c>
      <c r="K164" s="17" t="e">
        <f t="shared" ca="1" si="88"/>
        <v>#REF!</v>
      </c>
      <c r="L164" s="17" t="e">
        <f t="shared" ca="1" si="88"/>
        <v>#REF!</v>
      </c>
      <c r="M164" s="17" t="e">
        <f t="shared" ca="1" si="88"/>
        <v>#REF!</v>
      </c>
    </row>
    <row r="165" spans="1:13">
      <c r="A165" s="26" t="s">
        <v>270</v>
      </c>
      <c r="B165" s="26"/>
      <c r="C165" s="26"/>
      <c r="D165" s="94"/>
      <c r="E165" s="94"/>
      <c r="F165" s="94"/>
      <c r="G165" s="94"/>
      <c r="H165" s="94"/>
      <c r="I165" s="149" t="e">
        <f ca="1">SUM(I144,I146:I148)</f>
        <v>#REF!</v>
      </c>
      <c r="J165" s="17" t="e">
        <f t="shared" ref="J165:M165" ca="1" si="89">SUM(J144,J146:J148)</f>
        <v>#REF!</v>
      </c>
      <c r="K165" s="17" t="e">
        <f t="shared" ca="1" si="89"/>
        <v>#REF!</v>
      </c>
      <c r="L165" s="17" t="e">
        <f t="shared" ca="1" si="89"/>
        <v>#REF!</v>
      </c>
      <c r="M165" s="17" t="e">
        <f t="shared" ca="1" si="89"/>
        <v>#REF!</v>
      </c>
    </row>
    <row r="166" spans="1:13">
      <c r="A166" s="26" t="s">
        <v>271</v>
      </c>
      <c r="B166" s="26"/>
      <c r="C166" s="26"/>
      <c r="D166" s="94"/>
      <c r="E166" s="94"/>
      <c r="F166" s="94"/>
      <c r="G166" s="94"/>
      <c r="H166" s="94"/>
      <c r="I166" s="149" t="e">
        <f ca="1">SUM(I163:I165)</f>
        <v>#REF!</v>
      </c>
      <c r="J166" s="17" t="e">
        <f t="shared" ref="J166:M166" ca="1" si="90">SUM(J163:J165)</f>
        <v>#REF!</v>
      </c>
      <c r="K166" s="17" t="e">
        <f t="shared" ca="1" si="90"/>
        <v>#REF!</v>
      </c>
      <c r="L166" s="17" t="e">
        <f t="shared" ca="1" si="90"/>
        <v>#REF!</v>
      </c>
      <c r="M166" s="17" t="e">
        <f t="shared" ca="1" si="90"/>
        <v>#REF!</v>
      </c>
    </row>
    <row r="167" spans="1:13" ht="3" customHeight="1">
      <c r="A167" s="26"/>
      <c r="B167" s="26"/>
      <c r="C167" s="26"/>
      <c r="D167" s="94"/>
      <c r="E167" s="94"/>
      <c r="F167" s="94"/>
      <c r="G167" s="94"/>
      <c r="H167" s="94"/>
      <c r="I167" s="149"/>
      <c r="J167" s="17"/>
      <c r="K167" s="17"/>
      <c r="L167" s="17"/>
      <c r="M167" s="17"/>
    </row>
    <row r="168" spans="1:13">
      <c r="A168" s="26" t="s">
        <v>210</v>
      </c>
      <c r="B168" s="26"/>
      <c r="C168" s="26"/>
      <c r="D168" s="17">
        <f>D70</f>
        <v>12790.71</v>
      </c>
      <c r="E168" s="17">
        <f>E70</f>
        <v>13367.21</v>
      </c>
      <c r="F168" s="17">
        <f>F70</f>
        <v>15900.18</v>
      </c>
      <c r="G168" s="17">
        <f>G70</f>
        <v>15241.68</v>
      </c>
      <c r="H168" s="17">
        <f>H70</f>
        <v>19006.259999999998</v>
      </c>
      <c r="I168" s="149">
        <f>I169*I170</f>
        <v>18579.594948334732</v>
      </c>
      <c r="J168" s="17" t="e">
        <f t="shared" ref="J168:M168" ca="1" si="91">J169*J170</f>
        <v>#REF!</v>
      </c>
      <c r="K168" s="17" t="e">
        <f t="shared" ca="1" si="91"/>
        <v>#REF!</v>
      </c>
      <c r="L168" s="17" t="e">
        <f t="shared" ca="1" si="91"/>
        <v>#REF!</v>
      </c>
      <c r="M168" s="17" t="e">
        <f t="shared" ca="1" si="91"/>
        <v>#REF!</v>
      </c>
    </row>
    <row r="169" spans="1:13">
      <c r="A169" s="26" t="s">
        <v>218</v>
      </c>
      <c r="B169" s="26"/>
      <c r="C169" s="26"/>
      <c r="D169" s="17">
        <f>D86</f>
        <v>16776.560000000001</v>
      </c>
      <c r="E169" s="17">
        <f>E86</f>
        <v>19463.63</v>
      </c>
      <c r="F169" s="17">
        <f>F86</f>
        <v>22491.41</v>
      </c>
      <c r="G169" s="17">
        <f>G86</f>
        <v>20377.78</v>
      </c>
      <c r="H169" s="17">
        <f>H86</f>
        <v>23651.21</v>
      </c>
      <c r="I169" s="149">
        <f>I86</f>
        <v>23949.534339667629</v>
      </c>
      <c r="J169" s="17" t="e">
        <f ca="1">J86</f>
        <v>#REF!</v>
      </c>
      <c r="K169" s="17" t="e">
        <f ca="1">K86</f>
        <v>#REF!</v>
      </c>
      <c r="L169" s="17" t="e">
        <f ca="1">L86</f>
        <v>#REF!</v>
      </c>
      <c r="M169" s="17" t="e">
        <f ca="1">M86</f>
        <v>#REF!</v>
      </c>
    </row>
    <row r="170" spans="1:13">
      <c r="A170" s="95" t="s">
        <v>272</v>
      </c>
      <c r="B170" s="19"/>
      <c r="C170" s="19"/>
      <c r="D170" s="96">
        <f>D168/D169</f>
        <v>0.76241553691579189</v>
      </c>
      <c r="E170" s="96">
        <f>E168/E169</f>
        <v>0.68677887937656024</v>
      </c>
      <c r="F170" s="96">
        <f>F168/F169</f>
        <v>0.70694456239070824</v>
      </c>
      <c r="G170" s="96">
        <f>G168/G169</f>
        <v>0.74795586172782325</v>
      </c>
      <c r="H170" s="96">
        <f>H168/H169</f>
        <v>0.80360624255587765</v>
      </c>
      <c r="I170" s="188">
        <f>AVERAGE($G170:$H170)</f>
        <v>0.77578105214185045</v>
      </c>
      <c r="J170" s="97">
        <f t="shared" ref="J170:M170" si="92">AVERAGE($G170:$H170)</f>
        <v>0.77578105214185045</v>
      </c>
      <c r="K170" s="97">
        <f t="shared" si="92"/>
        <v>0.77578105214185045</v>
      </c>
      <c r="L170" s="97">
        <f t="shared" si="92"/>
        <v>0.77578105214185045</v>
      </c>
      <c r="M170" s="97">
        <f t="shared" si="92"/>
        <v>0.77578105214185045</v>
      </c>
    </row>
    <row r="171" spans="1:13" ht="3" customHeight="1">
      <c r="A171" s="26"/>
      <c r="B171" s="26"/>
      <c r="C171" s="26"/>
      <c r="D171" s="94"/>
      <c r="E171" s="94"/>
      <c r="F171" s="94"/>
      <c r="G171" s="94"/>
      <c r="H171" s="94"/>
      <c r="I171" s="149"/>
      <c r="J171" s="17"/>
      <c r="K171" s="17"/>
      <c r="L171" s="17"/>
      <c r="M171" s="17"/>
    </row>
    <row r="172" spans="1:13">
      <c r="A172" s="26" t="s">
        <v>273</v>
      </c>
      <c r="B172" s="17"/>
      <c r="C172" s="17"/>
      <c r="D172" s="17"/>
      <c r="E172" s="17"/>
      <c r="F172" s="17"/>
      <c r="G172" s="17"/>
      <c r="H172" s="17"/>
      <c r="I172" s="149">
        <f>MAX(I173,I168-SUM(I65:I68))</f>
        <v>5210.2615226938779</v>
      </c>
      <c r="J172" s="17" t="e">
        <f ca="1">MAX(J173,J168-SUM(J65:J68))</f>
        <v>#REF!</v>
      </c>
      <c r="K172" s="17" t="e">
        <f ca="1">MAX(K173,K168-SUM(K65:K68))</f>
        <v>#REF!</v>
      </c>
      <c r="L172" s="17" t="e">
        <f ca="1">MAX(L173,L168-SUM(L65:L68))</f>
        <v>#REF!</v>
      </c>
      <c r="M172" s="17" t="e">
        <f ca="1">MAX(M173,M168-SUM(M65:M68))</f>
        <v>#REF!</v>
      </c>
    </row>
    <row r="173" spans="1:13">
      <c r="A173" s="95" t="s">
        <v>274</v>
      </c>
      <c r="B173" s="19"/>
      <c r="C173" s="19"/>
      <c r="D173" s="96"/>
      <c r="E173" s="96"/>
      <c r="F173" s="96"/>
      <c r="G173" s="96"/>
      <c r="H173" s="96"/>
      <c r="I173" s="189">
        <v>1000</v>
      </c>
      <c r="J173" s="98">
        <v>1000</v>
      </c>
      <c r="K173" s="98">
        <v>1000</v>
      </c>
      <c r="L173" s="98">
        <v>1000</v>
      </c>
      <c r="M173" s="98">
        <v>1000</v>
      </c>
    </row>
    <row r="174" spans="1:13" ht="3" customHeight="1">
      <c r="A174" s="26"/>
      <c r="B174" s="17"/>
      <c r="C174" s="17"/>
      <c r="D174" s="17"/>
      <c r="E174" s="17"/>
      <c r="F174" s="17"/>
      <c r="G174" s="17"/>
      <c r="H174" s="17"/>
      <c r="I174" s="149"/>
      <c r="J174" s="17"/>
      <c r="K174" s="17"/>
      <c r="L174" s="17"/>
      <c r="M174" s="17"/>
    </row>
    <row r="175" spans="1:13">
      <c r="A175" s="26" t="s">
        <v>275</v>
      </c>
      <c r="B175" s="26"/>
      <c r="C175" s="26"/>
      <c r="D175" s="17">
        <f>SUM(D176:D177)</f>
        <v>13876.18</v>
      </c>
      <c r="E175" s="17">
        <f>SUM(E176:E177)</f>
        <v>14377.1</v>
      </c>
      <c r="F175" s="17">
        <f>SUM(F176:F177)</f>
        <v>16875.079999999998</v>
      </c>
      <c r="G175" s="17">
        <f>SUM(G176:G177)</f>
        <v>15062.79</v>
      </c>
      <c r="H175" s="17">
        <f>SUM(H176:H177)</f>
        <v>17262.22</v>
      </c>
      <c r="I175" s="149" t="e">
        <f ca="1">H175-I166+I172</f>
        <v>#REF!</v>
      </c>
      <c r="J175" s="17" t="e">
        <f t="shared" ref="J175:M175" ca="1" si="93">I175-J166+J172</f>
        <v>#REF!</v>
      </c>
      <c r="K175" s="17" t="e">
        <f t="shared" ca="1" si="93"/>
        <v>#REF!</v>
      </c>
      <c r="L175" s="17" t="e">
        <f t="shared" ca="1" si="93"/>
        <v>#REF!</v>
      </c>
      <c r="M175" s="17" t="e">
        <f t="shared" ca="1" si="93"/>
        <v>#REF!</v>
      </c>
    </row>
    <row r="176" spans="1:13">
      <c r="A176" s="33" t="s">
        <v>276</v>
      </c>
      <c r="B176" s="18"/>
      <c r="C176" s="18"/>
      <c r="D176" s="18">
        <f>D81</f>
        <v>3010.45</v>
      </c>
      <c r="E176" s="18">
        <f>E81</f>
        <v>4717.74</v>
      </c>
      <c r="F176" s="18">
        <f>F81</f>
        <v>6264.5899999999992</v>
      </c>
      <c r="G176" s="18">
        <f>G81</f>
        <v>4145.9000000000005</v>
      </c>
      <c r="H176" s="18">
        <f>H81</f>
        <v>7252.0900000000011</v>
      </c>
      <c r="I176" s="185">
        <f>AVERAGE($G$176:$H$176)/AVERAGE($G$175:$H$175)*H175</f>
        <v>6086.7610230530481</v>
      </c>
      <c r="J176" s="18" t="e">
        <f t="shared" ref="J176:M176" ca="1" si="94">AVERAGE($G$176:$H$176)/AVERAGE($G$175:$H$175)*I175</f>
        <v>#REF!</v>
      </c>
      <c r="K176" s="18" t="e">
        <f t="shared" ca="1" si="94"/>
        <v>#REF!</v>
      </c>
      <c r="L176" s="18" t="e">
        <f t="shared" ca="1" si="94"/>
        <v>#REF!</v>
      </c>
      <c r="M176" s="18" t="e">
        <f t="shared" ca="1" si="94"/>
        <v>#REF!</v>
      </c>
    </row>
    <row r="177" spans="1:15">
      <c r="A177" s="33" t="s">
        <v>277</v>
      </c>
      <c r="B177" s="18"/>
      <c r="C177" s="18"/>
      <c r="D177" s="18">
        <f>D89</f>
        <v>10865.73</v>
      </c>
      <c r="E177" s="18">
        <f>E89</f>
        <v>9659.36</v>
      </c>
      <c r="F177" s="18">
        <f>F89</f>
        <v>10610.49</v>
      </c>
      <c r="G177" s="18">
        <f>G89</f>
        <v>10916.89</v>
      </c>
      <c r="H177" s="18">
        <f>H89</f>
        <v>10010.129999999999</v>
      </c>
      <c r="I177" s="185" t="e">
        <f ca="1">I175-I176</f>
        <v>#REF!</v>
      </c>
      <c r="J177" s="18" t="e">
        <f t="shared" ref="J177:M177" ca="1" si="95">J175-J176</f>
        <v>#REF!</v>
      </c>
      <c r="K177" s="18" t="e">
        <f t="shared" ca="1" si="95"/>
        <v>#REF!</v>
      </c>
      <c r="L177" s="18" t="e">
        <f t="shared" ca="1" si="95"/>
        <v>#REF!</v>
      </c>
      <c r="M177" s="18" t="e">
        <f t="shared" ca="1" si="95"/>
        <v>#REF!</v>
      </c>
    </row>
    <row r="178" spans="1:15" ht="3" customHeight="1">
      <c r="A178" s="26"/>
      <c r="B178" s="17"/>
      <c r="C178" s="17"/>
      <c r="D178" s="17"/>
      <c r="E178" s="17"/>
      <c r="F178" s="17"/>
      <c r="G178" s="17"/>
      <c r="H178" s="17"/>
      <c r="I178" s="149"/>
      <c r="J178" s="17"/>
      <c r="K178" s="17"/>
      <c r="L178" s="17"/>
      <c r="M178" s="17"/>
    </row>
    <row r="179" spans="1:15">
      <c r="A179" s="26" t="s">
        <v>278</v>
      </c>
      <c r="B179" s="26"/>
      <c r="C179" s="26"/>
      <c r="D179" s="37">
        <f>D180/D175</f>
        <v>3.3584170859703458E-2</v>
      </c>
      <c r="E179" s="37">
        <f>E180/E175</f>
        <v>3.7815693011803486E-2</v>
      </c>
      <c r="F179" s="37">
        <f>F180/F175</f>
        <v>2.9847562204149556E-2</v>
      </c>
      <c r="G179" s="37">
        <f>G180/G175</f>
        <v>2.9720921555701166E-2</v>
      </c>
      <c r="H179" s="37">
        <f>H180/H175</f>
        <v>2.3174887123440669E-2</v>
      </c>
      <c r="I179" s="190">
        <f>AVERAGE($G179:$H179)</f>
        <v>2.6447904339570918E-2</v>
      </c>
      <c r="J179" s="99">
        <f t="shared" ref="J179:M179" si="96">AVERAGE($G179:$H179)</f>
        <v>2.6447904339570918E-2</v>
      </c>
      <c r="K179" s="99">
        <f t="shared" si="96"/>
        <v>2.6447904339570918E-2</v>
      </c>
      <c r="L179" s="99">
        <f t="shared" si="96"/>
        <v>2.6447904339570918E-2</v>
      </c>
      <c r="M179" s="99">
        <f t="shared" si="96"/>
        <v>2.6447904339570918E-2</v>
      </c>
    </row>
    <row r="180" spans="1:15">
      <c r="A180" s="26" t="s">
        <v>16</v>
      </c>
      <c r="B180" s="26"/>
      <c r="C180" s="26"/>
      <c r="D180" s="27">
        <f>D28</f>
        <v>466.02</v>
      </c>
      <c r="E180" s="27">
        <f>E28</f>
        <v>543.67999999999995</v>
      </c>
      <c r="F180" s="27">
        <f>F28</f>
        <v>503.68</v>
      </c>
      <c r="G180" s="27">
        <f>G28</f>
        <v>447.68</v>
      </c>
      <c r="H180" s="27">
        <f>H28</f>
        <v>400.05</v>
      </c>
      <c r="I180" s="149" t="e">
        <f ca="1">AVERAGE(H175:I175)*I179</f>
        <v>#REF!</v>
      </c>
      <c r="J180" s="17" t="e">
        <f ca="1">AVERAGE(I175:J175)*J179</f>
        <v>#REF!</v>
      </c>
      <c r="K180" s="17" t="e">
        <f ca="1">AVERAGE(J175:K175)*K179</f>
        <v>#REF!</v>
      </c>
      <c r="L180" s="17" t="e">
        <f ca="1">AVERAGE(K175:L175)*L179</f>
        <v>#REF!</v>
      </c>
      <c r="M180" s="17" t="e">
        <f ca="1">AVERAGE(L175:M175)*M179</f>
        <v>#REF!</v>
      </c>
    </row>
    <row r="181" spans="1:15" ht="3" customHeight="1">
      <c r="D181" s="60"/>
      <c r="E181" s="60"/>
      <c r="F181" s="60"/>
      <c r="G181" s="60"/>
      <c r="H181" s="60"/>
      <c r="I181" s="191"/>
      <c r="J181" s="18"/>
      <c r="K181" s="18"/>
      <c r="L181" s="18"/>
      <c r="M181" s="18"/>
    </row>
    <row r="182" spans="1:15" ht="10.8" thickBot="1">
      <c r="A182" s="64" t="s">
        <v>279</v>
      </c>
      <c r="B182" s="64"/>
      <c r="C182" s="64"/>
      <c r="D182" s="100"/>
      <c r="E182" s="100"/>
      <c r="F182" s="100"/>
      <c r="G182" s="100"/>
      <c r="H182" s="100"/>
      <c r="I182" s="101" t="e">
        <f ca="1">I180</f>
        <v>#REF!</v>
      </c>
      <c r="J182" s="101" t="e">
        <f t="shared" ref="J182:M182" ca="1" si="97">J180</f>
        <v>#REF!</v>
      </c>
      <c r="K182" s="101" t="e">
        <f t="shared" ca="1" si="97"/>
        <v>#REF!</v>
      </c>
      <c r="L182" s="101" t="e">
        <f t="shared" ca="1" si="97"/>
        <v>#REF!</v>
      </c>
      <c r="M182" s="101" t="e">
        <f t="shared" ca="1" si="97"/>
        <v>#REF!</v>
      </c>
    </row>
    <row r="183" spans="1:15" ht="3" customHeight="1" thickTop="1">
      <c r="A183" s="9"/>
      <c r="B183" s="9"/>
      <c r="C183" s="9"/>
      <c r="D183" s="60"/>
      <c r="E183" s="60"/>
      <c r="F183" s="60"/>
      <c r="G183" s="60"/>
      <c r="H183" s="60"/>
      <c r="I183" s="185"/>
      <c r="J183" s="18"/>
      <c r="K183" s="18"/>
      <c r="L183" s="18"/>
      <c r="M183" s="18"/>
    </row>
    <row r="184" spans="1:15">
      <c r="A184" s="13" t="s">
        <v>280</v>
      </c>
      <c r="B184" s="13"/>
      <c r="C184" s="13"/>
      <c r="D184" s="14">
        <f t="shared" ref="D184" si="98">D160</f>
        <v>2557</v>
      </c>
      <c r="E184" s="14">
        <f t="shared" ref="E184:F184" si="99">E160</f>
        <v>2558</v>
      </c>
      <c r="F184" s="14">
        <f t="shared" si="99"/>
        <v>2559</v>
      </c>
      <c r="G184" s="14">
        <f t="shared" ref="G184:M184" si="100">G160</f>
        <v>2560</v>
      </c>
      <c r="H184" s="14">
        <f t="shared" si="100"/>
        <v>2561</v>
      </c>
      <c r="I184" s="184">
        <f t="shared" si="100"/>
        <v>2562</v>
      </c>
      <c r="J184" s="14">
        <f t="shared" si="100"/>
        <v>2563</v>
      </c>
      <c r="K184" s="14">
        <f t="shared" si="100"/>
        <v>2564</v>
      </c>
      <c r="L184" s="14">
        <f t="shared" si="100"/>
        <v>2565</v>
      </c>
      <c r="M184" s="14">
        <f t="shared" si="100"/>
        <v>2566</v>
      </c>
    </row>
    <row r="185" spans="1:15" ht="3" customHeight="1">
      <c r="A185" s="9"/>
      <c r="B185" s="9"/>
      <c r="C185" s="9"/>
      <c r="D185" s="92"/>
      <c r="E185" s="92"/>
      <c r="F185" s="92"/>
      <c r="G185" s="92"/>
      <c r="H185" s="92"/>
      <c r="I185" s="192"/>
      <c r="J185" s="102"/>
      <c r="K185" s="102"/>
      <c r="L185" s="102"/>
      <c r="M185" s="102"/>
    </row>
    <row r="186" spans="1:15">
      <c r="A186" s="103" t="s">
        <v>281</v>
      </c>
      <c r="B186" s="103"/>
      <c r="C186" s="103"/>
      <c r="D186" s="22"/>
      <c r="E186" s="22"/>
      <c r="F186" s="22"/>
      <c r="G186" s="22"/>
      <c r="H186" s="22"/>
      <c r="I186" s="185">
        <f>H73</f>
        <v>29327.19</v>
      </c>
      <c r="J186" s="18" t="e">
        <f ca="1">I73</f>
        <v>#REF!</v>
      </c>
      <c r="K186" s="18" t="e">
        <f ca="1">J73</f>
        <v>#REF!</v>
      </c>
      <c r="L186" s="18" t="e">
        <f ca="1">K73</f>
        <v>#REF!</v>
      </c>
      <c r="M186" s="18" t="e">
        <f ca="1">L73</f>
        <v>#REF!</v>
      </c>
    </row>
    <row r="187" spans="1:15">
      <c r="A187" s="12" t="s">
        <v>282</v>
      </c>
      <c r="D187" s="23">
        <f>-'[1]PL&amp;CF'!C117/1000000</f>
        <v>0</v>
      </c>
      <c r="E187" s="23">
        <f>-'[1]PL&amp;CF'!D117/1000000</f>
        <v>2249.121255</v>
      </c>
      <c r="F187" s="23">
        <f>-'[1]PL&amp;CF'!B117/1000000</f>
        <v>0</v>
      </c>
      <c r="G187" s="23">
        <f>-'[1]PL&amp;CF'!F117/1000000</f>
        <v>2713.560704</v>
      </c>
      <c r="H187" s="23">
        <f>-'[1]PL&amp;CF'!D117/1000000</f>
        <v>2249.121255</v>
      </c>
      <c r="I187" s="140" t="e">
        <f ca="1">((1-(I160-$H160)/COUNTA($I160:$M160))*I47*I188)+((I160-$H160)/COUNTA($I160:$M160)*I190)</f>
        <v>#REF!</v>
      </c>
      <c r="J187" s="27" t="e">
        <f ca="1">((1-(J160-$H160)/COUNTA($I160:$M160))*J47*J188)+((J160-$H160)/COUNTA($I160:$M160)*J190)</f>
        <v>#REF!</v>
      </c>
      <c r="K187" s="27" t="e">
        <f ca="1">((1-(K160-$H160)/COUNTA($I160:$M160))*K47*K188)+((K160-$H160)/COUNTA($I160:$M160)*K190)</f>
        <v>#REF!</v>
      </c>
      <c r="L187" s="27" t="e">
        <f ca="1">((1-(L160-$H160)/COUNTA($I160:$M160))*L47*L188)+((L160-$H160)/COUNTA($I160:$M160)*L190)</f>
        <v>#REF!</v>
      </c>
      <c r="M187" s="27" t="e">
        <f ca="1">((1-(M160-$H160)/COUNTA($I160:$M160))*M47*M188)+((M160-$H160)/COUNTA($I160:$M160)*M190)</f>
        <v>#REF!</v>
      </c>
      <c r="O187" s="59" t="s">
        <v>283</v>
      </c>
    </row>
    <row r="188" spans="1:15">
      <c r="A188" s="19" t="s">
        <v>182</v>
      </c>
      <c r="B188" s="26"/>
      <c r="C188" s="26"/>
      <c r="D188" s="24" t="e">
        <f>D187/D47</f>
        <v>#DIV/0!</v>
      </c>
      <c r="E188" s="24">
        <f>E187/E47</f>
        <v>0.25777982639557984</v>
      </c>
      <c r="F188" s="24" t="e">
        <f>F187/F47</f>
        <v>#DIV/0!</v>
      </c>
      <c r="G188" s="24">
        <f>G187/G47</f>
        <v>0.36057958652298144</v>
      </c>
      <c r="H188" s="24">
        <f>H187/H47</f>
        <v>0.25777982639557984</v>
      </c>
      <c r="I188" s="177">
        <f t="shared" ref="I188:M188" si="101">AVERAGE($G$188:$H$188)</f>
        <v>0.30917970645928061</v>
      </c>
      <c r="J188" s="21">
        <f t="shared" si="101"/>
        <v>0.30917970645928061</v>
      </c>
      <c r="K188" s="21">
        <f t="shared" si="101"/>
        <v>0.30917970645928061</v>
      </c>
      <c r="L188" s="21">
        <f t="shared" si="101"/>
        <v>0.30917970645928061</v>
      </c>
      <c r="M188" s="21">
        <f t="shared" si="101"/>
        <v>0.30917970645928061</v>
      </c>
    </row>
    <row r="189" spans="1:15" ht="3" customHeight="1">
      <c r="D189" s="22"/>
      <c r="E189" s="22"/>
      <c r="F189" s="22"/>
      <c r="G189" s="22"/>
      <c r="H189" s="22"/>
      <c r="I189" s="193"/>
      <c r="J189" s="104"/>
      <c r="K189" s="104"/>
      <c r="L189" s="104"/>
      <c r="M189" s="104"/>
      <c r="O189" s="59"/>
    </row>
    <row r="190" spans="1:15">
      <c r="A190" s="12" t="s">
        <v>284</v>
      </c>
      <c r="D190" s="42">
        <f>'[1]PL&amp;CF'!C74/1000000</f>
        <v>0</v>
      </c>
      <c r="E190" s="42">
        <f>'[1]PL&amp;CF'!D74/1000000</f>
        <v>3064.4917839999998</v>
      </c>
      <c r="F190" s="42">
        <f>'[1]PL&amp;CF'!B74/1000000</f>
        <v>0</v>
      </c>
      <c r="G190" s="42">
        <f>'[1]PL&amp;CF'!F74/1000000</f>
        <v>3065.8401570000001</v>
      </c>
      <c r="H190" s="42">
        <f>'[1]PL&amp;CF'!D74/1000000</f>
        <v>3064.4917839999998</v>
      </c>
      <c r="I190" s="140" t="e">
        <f ca="1">I191*I73</f>
        <v>#REF!</v>
      </c>
      <c r="J190" s="27" t="e">
        <f ca="1">J191*J73</f>
        <v>#REF!</v>
      </c>
      <c r="K190" s="27" t="e">
        <f ca="1">K191*K73</f>
        <v>#REF!</v>
      </c>
      <c r="L190" s="27" t="e">
        <f ca="1">L191*L73</f>
        <v>#REF!</v>
      </c>
      <c r="M190" s="27" t="e">
        <f ca="1">M191*M73</f>
        <v>#REF!</v>
      </c>
      <c r="O190" s="59"/>
    </row>
    <row r="191" spans="1:15">
      <c r="A191" s="19" t="s">
        <v>285</v>
      </c>
      <c r="B191" s="19"/>
      <c r="C191" s="19"/>
      <c r="D191" s="37">
        <f>D190/D73</f>
        <v>0</v>
      </c>
      <c r="E191" s="37">
        <f>E190/E73</f>
        <v>0.11081097011657511</v>
      </c>
      <c r="F191" s="37">
        <f>F190/F73</f>
        <v>0</v>
      </c>
      <c r="G191" s="37">
        <f>G190/G73</f>
        <v>0.10420063838963894</v>
      </c>
      <c r="H191" s="37">
        <f>H190/H73</f>
        <v>0.10449319501800207</v>
      </c>
      <c r="I191" s="190">
        <f>AVERAGE($G191:$H191)</f>
        <v>0.10434691670382051</v>
      </c>
      <c r="J191" s="99">
        <f t="shared" ref="J191:M191" si="102">AVERAGE($G191:$H191)</f>
        <v>0.10434691670382051</v>
      </c>
      <c r="K191" s="99">
        <f t="shared" si="102"/>
        <v>0.10434691670382051</v>
      </c>
      <c r="L191" s="99">
        <f t="shared" si="102"/>
        <v>0.10434691670382051</v>
      </c>
      <c r="M191" s="99">
        <f t="shared" si="102"/>
        <v>0.10434691670382051</v>
      </c>
      <c r="N191" s="15"/>
      <c r="O191" s="59"/>
    </row>
    <row r="192" spans="1:15" ht="3" customHeight="1">
      <c r="D192" s="60"/>
      <c r="E192" s="60"/>
      <c r="F192" s="60"/>
      <c r="G192" s="60"/>
      <c r="H192" s="60"/>
      <c r="I192" s="194"/>
      <c r="J192" s="105"/>
      <c r="K192" s="105"/>
      <c r="L192" s="105"/>
      <c r="M192" s="105"/>
      <c r="O192" s="59"/>
    </row>
    <row r="193" spans="1:15" ht="10.8" thickBot="1">
      <c r="A193" s="87" t="s">
        <v>286</v>
      </c>
      <c r="B193" s="87"/>
      <c r="C193" s="87"/>
      <c r="D193" s="100"/>
      <c r="E193" s="100"/>
      <c r="F193" s="100"/>
      <c r="G193" s="100"/>
      <c r="H193" s="100"/>
      <c r="I193" s="106" t="e">
        <f ca="1">I186+I187-I190</f>
        <v>#REF!</v>
      </c>
      <c r="J193" s="106" t="e">
        <f t="shared" ref="J193:M193" ca="1" si="103">J186+J187-J190</f>
        <v>#REF!</v>
      </c>
      <c r="K193" s="106" t="e">
        <f t="shared" ca="1" si="103"/>
        <v>#REF!</v>
      </c>
      <c r="L193" s="106" t="e">
        <f t="shared" ca="1" si="103"/>
        <v>#REF!</v>
      </c>
      <c r="M193" s="106" t="e">
        <f t="shared" ca="1" si="103"/>
        <v>#REF!</v>
      </c>
      <c r="O193" s="59"/>
    </row>
    <row r="194" spans="1:15" ht="3" customHeight="1" thickTop="1">
      <c r="I194" s="180"/>
      <c r="O194" s="59"/>
    </row>
    <row r="195" spans="1:15">
      <c r="A195" s="13" t="s">
        <v>287</v>
      </c>
      <c r="B195" s="13"/>
      <c r="C195" s="13"/>
      <c r="D195" s="14">
        <f t="shared" ref="D195" si="104">D184</f>
        <v>2557</v>
      </c>
      <c r="E195" s="14">
        <f t="shared" ref="E195:F195" si="105">E184</f>
        <v>2558</v>
      </c>
      <c r="F195" s="14">
        <f t="shared" si="105"/>
        <v>2559</v>
      </c>
      <c r="G195" s="14">
        <f t="shared" ref="G195:M195" si="106">G184</f>
        <v>2560</v>
      </c>
      <c r="H195" s="14">
        <f t="shared" si="106"/>
        <v>2561</v>
      </c>
      <c r="I195" s="184">
        <f t="shared" si="106"/>
        <v>2562</v>
      </c>
      <c r="J195" s="14">
        <f t="shared" si="106"/>
        <v>2563</v>
      </c>
      <c r="K195" s="14">
        <f t="shared" si="106"/>
        <v>2564</v>
      </c>
      <c r="L195" s="14">
        <f t="shared" si="106"/>
        <v>2565</v>
      </c>
      <c r="M195" s="14">
        <f t="shared" si="106"/>
        <v>2566</v>
      </c>
      <c r="O195" s="59"/>
    </row>
    <row r="196" spans="1:15" ht="3" customHeight="1">
      <c r="A196" s="9"/>
      <c r="B196" s="9"/>
      <c r="C196" s="9"/>
      <c r="D196" s="92"/>
      <c r="E196" s="92"/>
      <c r="F196" s="92"/>
      <c r="G196" s="92"/>
      <c r="H196" s="92"/>
      <c r="I196" s="192"/>
      <c r="J196" s="102"/>
      <c r="K196" s="102"/>
      <c r="L196" s="102"/>
      <c r="M196" s="102"/>
      <c r="O196" s="59"/>
    </row>
    <row r="197" spans="1:15">
      <c r="A197" s="93" t="s">
        <v>288</v>
      </c>
      <c r="B197" s="93"/>
      <c r="C197" s="93"/>
      <c r="D197" s="60"/>
      <c r="E197" s="60"/>
      <c r="F197" s="60"/>
      <c r="G197" s="60"/>
      <c r="H197" s="60"/>
      <c r="I197" s="185">
        <f>H202</f>
        <v>19914.09</v>
      </c>
      <c r="J197" s="18" t="e">
        <f ca="1">I202</f>
        <v>#REF!</v>
      </c>
      <c r="K197" s="18" t="e">
        <f t="shared" ref="K197:M197" ca="1" si="107">J202</f>
        <v>#REF!</v>
      </c>
      <c r="L197" s="18" t="e">
        <f t="shared" ca="1" si="107"/>
        <v>#REF!</v>
      </c>
      <c r="M197" s="18" t="e">
        <f t="shared" ca="1" si="107"/>
        <v>#REF!</v>
      </c>
      <c r="O197" s="59"/>
    </row>
    <row r="198" spans="1:15">
      <c r="A198" s="26" t="s">
        <v>37</v>
      </c>
      <c r="B198" s="26"/>
      <c r="C198" s="26"/>
      <c r="I198" s="149" t="e">
        <f ca="1">I39</f>
        <v>#REF!</v>
      </c>
      <c r="J198" s="17" t="e">
        <f ca="1">J39</f>
        <v>#REF!</v>
      </c>
      <c r="K198" s="17" t="e">
        <f ca="1">K39</f>
        <v>#REF!</v>
      </c>
      <c r="L198" s="17" t="e">
        <f ca="1">L39</f>
        <v>#REF!</v>
      </c>
      <c r="M198" s="17" t="e">
        <f ca="1">M39</f>
        <v>#REF!</v>
      </c>
      <c r="O198" s="59" t="s">
        <v>289</v>
      </c>
    </row>
    <row r="199" spans="1:15">
      <c r="A199" s="107" t="s">
        <v>156</v>
      </c>
      <c r="B199" s="26"/>
      <c r="C199" s="26"/>
      <c r="I199" s="149" t="e">
        <f ca="1">-I209</f>
        <v>#REF!</v>
      </c>
      <c r="J199" s="17" t="e">
        <f t="shared" ref="J199:M199" ca="1" si="108">-J209</f>
        <v>#REF!</v>
      </c>
      <c r="K199" s="17" t="e">
        <f t="shared" ca="1" si="108"/>
        <v>#REF!</v>
      </c>
      <c r="L199" s="17" t="e">
        <f t="shared" ca="1" si="108"/>
        <v>#REF!</v>
      </c>
      <c r="M199" s="17" t="e">
        <f t="shared" ca="1" si="108"/>
        <v>#REF!</v>
      </c>
      <c r="O199" s="59" t="s">
        <v>290</v>
      </c>
    </row>
    <row r="200" spans="1:15">
      <c r="A200" s="108" t="s">
        <v>291</v>
      </c>
      <c r="B200" s="26"/>
      <c r="C200" s="26"/>
      <c r="I200" s="149">
        <f>I214</f>
        <v>0</v>
      </c>
      <c r="J200" s="17">
        <f>J214</f>
        <v>0</v>
      </c>
      <c r="K200" s="17">
        <f>K214</f>
        <v>0</v>
      </c>
      <c r="L200" s="17">
        <f>L214</f>
        <v>0</v>
      </c>
      <c r="M200" s="17">
        <f>M214</f>
        <v>0</v>
      </c>
      <c r="O200" s="59" t="s">
        <v>290</v>
      </c>
    </row>
    <row r="201" spans="1:15">
      <c r="A201" s="109" t="s">
        <v>292</v>
      </c>
      <c r="B201" s="26"/>
      <c r="C201" s="26"/>
      <c r="I201" s="149" t="e">
        <f ca="1">-I219</f>
        <v>#REF!</v>
      </c>
      <c r="J201" s="17" t="e">
        <f ca="1">-J219</f>
        <v>#REF!</v>
      </c>
      <c r="K201" s="17" t="e">
        <f ca="1">-K219</f>
        <v>#REF!</v>
      </c>
      <c r="L201" s="17" t="e">
        <f ca="1">-L219</f>
        <v>#REF!</v>
      </c>
      <c r="M201" s="17" t="e">
        <f ca="1">-M219</f>
        <v>#REF!</v>
      </c>
      <c r="O201" s="59" t="s">
        <v>290</v>
      </c>
    </row>
    <row r="202" spans="1:15" ht="10.8" thickBot="1">
      <c r="A202" s="64" t="s">
        <v>293</v>
      </c>
      <c r="B202" s="64"/>
      <c r="C202" s="64"/>
      <c r="D202" s="100">
        <f>D101</f>
        <v>15701.63</v>
      </c>
      <c r="E202" s="100">
        <f>E101</f>
        <v>16902.629999999997</v>
      </c>
      <c r="F202" s="100">
        <f>F101</f>
        <v>17490.36</v>
      </c>
      <c r="G202" s="100">
        <f>G101</f>
        <v>18634.79</v>
      </c>
      <c r="H202" s="100">
        <f>H101</f>
        <v>19914.09</v>
      </c>
      <c r="I202" s="101" t="e">
        <f ca="1">I197+I198+I199+I201+I200</f>
        <v>#REF!</v>
      </c>
      <c r="J202" s="101" t="e">
        <f t="shared" ref="J202:M202" ca="1" si="109">J197+J198+J199+J201+J200</f>
        <v>#REF!</v>
      </c>
      <c r="K202" s="101" t="e">
        <f t="shared" ca="1" si="109"/>
        <v>#REF!</v>
      </c>
      <c r="L202" s="101" t="e">
        <f t="shared" ca="1" si="109"/>
        <v>#REF!</v>
      </c>
      <c r="M202" s="101" t="e">
        <f t="shared" ca="1" si="109"/>
        <v>#REF!</v>
      </c>
      <c r="O202" s="59"/>
    </row>
    <row r="203" spans="1:15" ht="3" customHeight="1" thickTop="1">
      <c r="I203" s="195"/>
      <c r="J203" s="62"/>
      <c r="K203" s="62"/>
      <c r="L203" s="62"/>
      <c r="M203" s="62"/>
      <c r="O203" s="59"/>
    </row>
    <row r="204" spans="1:15">
      <c r="A204" s="107" t="s">
        <v>294</v>
      </c>
      <c r="B204" s="26"/>
      <c r="C204" s="103"/>
      <c r="I204" s="195"/>
      <c r="J204" s="62"/>
      <c r="K204" s="62"/>
      <c r="L204" s="62"/>
      <c r="M204" s="62"/>
      <c r="O204" s="59"/>
    </row>
    <row r="205" spans="1:15">
      <c r="A205" s="80" t="s">
        <v>295</v>
      </c>
      <c r="B205" s="61"/>
      <c r="C205" s="26"/>
      <c r="I205" s="196" t="e">
        <f ca="1">I58</f>
        <v>#REF!</v>
      </c>
      <c r="J205" s="110" t="e">
        <f ca="1">J58</f>
        <v>#REF!</v>
      </c>
      <c r="K205" s="110" t="e">
        <f ca="1">K58</f>
        <v>#REF!</v>
      </c>
      <c r="L205" s="110" t="e">
        <f ca="1">L58</f>
        <v>#REF!</v>
      </c>
      <c r="M205" s="110" t="e">
        <f ca="1">M58</f>
        <v>#REF!</v>
      </c>
      <c r="O205" s="59" t="s">
        <v>289</v>
      </c>
    </row>
    <row r="206" spans="1:15">
      <c r="A206" s="80" t="s">
        <v>296</v>
      </c>
      <c r="B206" s="61"/>
      <c r="C206" s="26"/>
      <c r="I206" s="197"/>
      <c r="J206" s="111">
        <f>I206</f>
        <v>0</v>
      </c>
      <c r="K206" s="111">
        <f t="shared" ref="K206:M206" si="110">J206</f>
        <v>0</v>
      </c>
      <c r="L206" s="111">
        <f t="shared" si="110"/>
        <v>0</v>
      </c>
      <c r="M206" s="111">
        <f t="shared" si="110"/>
        <v>0</v>
      </c>
      <c r="O206" s="59" t="s">
        <v>297</v>
      </c>
    </row>
    <row r="207" spans="1:15">
      <c r="A207" s="80" t="s">
        <v>298</v>
      </c>
      <c r="B207" s="61"/>
      <c r="C207" s="26"/>
      <c r="I207" s="196" t="e">
        <f ca="1">I205*I206</f>
        <v>#REF!</v>
      </c>
      <c r="J207" s="110" t="e">
        <f t="shared" ref="J207:M207" ca="1" si="111">J205*J206</f>
        <v>#REF!</v>
      </c>
      <c r="K207" s="110" t="e">
        <f t="shared" ca="1" si="111"/>
        <v>#REF!</v>
      </c>
      <c r="L207" s="110" t="e">
        <f t="shared" ca="1" si="111"/>
        <v>#REF!</v>
      </c>
      <c r="M207" s="110" t="e">
        <f t="shared" ca="1" si="111"/>
        <v>#REF!</v>
      </c>
      <c r="O207" s="59"/>
    </row>
    <row r="208" spans="1:15">
      <c r="A208" s="80" t="s">
        <v>299</v>
      </c>
      <c r="B208" s="61"/>
      <c r="C208" s="26"/>
      <c r="D208" s="23"/>
      <c r="E208" s="23"/>
      <c r="F208" s="23"/>
      <c r="G208" s="23"/>
      <c r="H208" s="23"/>
      <c r="I208" s="198">
        <f>IFERROR(AVERAGE($G$208:$H$208),0)</f>
        <v>0</v>
      </c>
      <c r="J208" s="112">
        <f t="shared" ref="J208:M208" si="112">IFERROR(AVERAGE($G$208:$H$208),0)</f>
        <v>0</v>
      </c>
      <c r="K208" s="112">
        <f t="shared" si="112"/>
        <v>0</v>
      </c>
      <c r="L208" s="112">
        <f t="shared" si="112"/>
        <v>0</v>
      </c>
      <c r="M208" s="112">
        <f t="shared" si="112"/>
        <v>0</v>
      </c>
      <c r="O208" s="59" t="s">
        <v>300</v>
      </c>
    </row>
    <row r="209" spans="1:15" ht="10.8" thickBot="1">
      <c r="A209" s="113" t="s">
        <v>301</v>
      </c>
      <c r="B209" s="114"/>
      <c r="C209" s="115"/>
      <c r="D209" s="116"/>
      <c r="E209" s="116"/>
      <c r="F209" s="116"/>
      <c r="G209" s="116"/>
      <c r="H209" s="116"/>
      <c r="I209" s="89" t="e">
        <f ca="1">I207*I208</f>
        <v>#REF!</v>
      </c>
      <c r="J209" s="89" t="e">
        <f t="shared" ref="J209:M209" ca="1" si="113">J207*J208</f>
        <v>#REF!</v>
      </c>
      <c r="K209" s="89" t="e">
        <f t="shared" ca="1" si="113"/>
        <v>#REF!</v>
      </c>
      <c r="L209" s="89" t="e">
        <f t="shared" ca="1" si="113"/>
        <v>#REF!</v>
      </c>
      <c r="M209" s="89" t="e">
        <f t="shared" ca="1" si="113"/>
        <v>#REF!</v>
      </c>
      <c r="O209" s="59" t="s">
        <v>302</v>
      </c>
    </row>
    <row r="210" spans="1:15" ht="3" customHeight="1" thickTop="1">
      <c r="A210" s="26"/>
      <c r="B210" s="26"/>
      <c r="I210" s="195"/>
      <c r="J210" s="62"/>
      <c r="K210" s="62"/>
      <c r="L210" s="62"/>
      <c r="M210" s="62"/>
      <c r="O210" s="59"/>
    </row>
    <row r="211" spans="1:15">
      <c r="A211" s="108" t="s">
        <v>303</v>
      </c>
      <c r="B211" s="26"/>
      <c r="C211" s="103"/>
      <c r="I211" s="195"/>
      <c r="J211" s="62"/>
      <c r="K211" s="62"/>
      <c r="L211" s="62"/>
      <c r="M211" s="62"/>
      <c r="O211" s="59"/>
    </row>
    <row r="212" spans="1:15">
      <c r="A212" s="117" t="s">
        <v>304</v>
      </c>
      <c r="B212" s="61"/>
      <c r="C212" s="26"/>
      <c r="D212" s="118"/>
      <c r="E212" s="118"/>
      <c r="F212" s="118"/>
      <c r="G212" s="118"/>
      <c r="H212" s="118"/>
      <c r="I212" s="199">
        <f>IFERROR(AVERAGE($G$212:$H$212),0)</f>
        <v>0</v>
      </c>
      <c r="J212" s="119">
        <f t="shared" ref="J212:M212" si="114">IFERROR(AVERAGE($G$212:$H$212),0)</f>
        <v>0</v>
      </c>
      <c r="K212" s="119">
        <f t="shared" si="114"/>
        <v>0</v>
      </c>
      <c r="L212" s="119">
        <f t="shared" si="114"/>
        <v>0</v>
      </c>
      <c r="M212" s="119">
        <f t="shared" si="114"/>
        <v>0</v>
      </c>
      <c r="O212" s="59" t="s">
        <v>305</v>
      </c>
    </row>
    <row r="213" spans="1:15">
      <c r="A213" s="117" t="s">
        <v>306</v>
      </c>
      <c r="B213" s="61"/>
      <c r="C213" s="26"/>
      <c r="I213" s="200"/>
      <c r="J213" s="120">
        <f>I213</f>
        <v>0</v>
      </c>
      <c r="K213" s="120">
        <f t="shared" ref="K213:M213" si="115">J213</f>
        <v>0</v>
      </c>
      <c r="L213" s="120">
        <f t="shared" si="115"/>
        <v>0</v>
      </c>
      <c r="M213" s="120">
        <f t="shared" si="115"/>
        <v>0</v>
      </c>
      <c r="O213" s="59" t="s">
        <v>307</v>
      </c>
    </row>
    <row r="214" spans="1:15" ht="10.8" thickBot="1">
      <c r="A214" s="121" t="s">
        <v>291</v>
      </c>
      <c r="B214" s="114"/>
      <c r="C214" s="115"/>
      <c r="D214" s="116"/>
      <c r="E214" s="116"/>
      <c r="F214" s="116"/>
      <c r="G214" s="116"/>
      <c r="H214" s="116"/>
      <c r="I214" s="89">
        <f>I212*I213</f>
        <v>0</v>
      </c>
      <c r="J214" s="89">
        <f t="shared" ref="J214:M214" si="116">J212*J213</f>
        <v>0</v>
      </c>
      <c r="K214" s="89">
        <f t="shared" si="116"/>
        <v>0</v>
      </c>
      <c r="L214" s="89">
        <f t="shared" si="116"/>
        <v>0</v>
      </c>
      <c r="M214" s="89">
        <f t="shared" si="116"/>
        <v>0</v>
      </c>
      <c r="O214" s="59"/>
    </row>
    <row r="215" spans="1:15" ht="3" customHeight="1" thickTop="1">
      <c r="A215" s="26"/>
      <c r="B215" s="26"/>
      <c r="I215" s="195"/>
      <c r="J215" s="62"/>
      <c r="K215" s="62"/>
      <c r="L215" s="62"/>
      <c r="M215" s="62"/>
      <c r="O215" s="59"/>
    </row>
    <row r="216" spans="1:15">
      <c r="A216" s="109" t="s">
        <v>308</v>
      </c>
      <c r="B216" s="26"/>
      <c r="C216" s="103"/>
      <c r="I216" s="195"/>
      <c r="J216" s="62"/>
      <c r="K216" s="62"/>
      <c r="L216" s="62"/>
      <c r="M216" s="62"/>
      <c r="O216" s="59"/>
    </row>
    <row r="217" spans="1:15">
      <c r="A217" s="81" t="s">
        <v>37</v>
      </c>
      <c r="B217" s="61"/>
      <c r="C217" s="26"/>
      <c r="D217" s="27">
        <f>D39</f>
        <v>3313.3299999999995</v>
      </c>
      <c r="E217" s="27">
        <f>E39</f>
        <v>3498.7999999999956</v>
      </c>
      <c r="F217" s="27">
        <f>F39</f>
        <v>4125.199999999998</v>
      </c>
      <c r="G217" s="27">
        <f>G39</f>
        <v>4886.399999999996</v>
      </c>
      <c r="H217" s="27">
        <f>H39</f>
        <v>5612.6300000000037</v>
      </c>
      <c r="I217" s="149" t="e">
        <f ca="1">I39</f>
        <v>#REF!</v>
      </c>
      <c r="J217" s="17" t="e">
        <f ca="1">J39</f>
        <v>#REF!</v>
      </c>
      <c r="K217" s="17" t="e">
        <f ca="1">K39</f>
        <v>#REF!</v>
      </c>
      <c r="L217" s="17" t="e">
        <f ca="1">L39</f>
        <v>#REF!</v>
      </c>
      <c r="M217" s="17" t="e">
        <f ca="1">M39</f>
        <v>#REF!</v>
      </c>
      <c r="O217" s="59" t="s">
        <v>289</v>
      </c>
    </row>
    <row r="218" spans="1:15">
      <c r="A218" s="81" t="s">
        <v>309</v>
      </c>
      <c r="B218" s="61"/>
      <c r="C218" s="26"/>
      <c r="D218" s="122">
        <f>D219/D217</f>
        <v>0</v>
      </c>
      <c r="E218" s="122">
        <f>E219/E217</f>
        <v>1.2400355587630061</v>
      </c>
      <c r="F218" s="122">
        <f>F219/F217</f>
        <v>0</v>
      </c>
      <c r="G218" s="122">
        <f>G219/G217</f>
        <v>0.75371044818271182</v>
      </c>
      <c r="H218" s="122">
        <f>H219/H217</f>
        <v>0.77301308174599026</v>
      </c>
      <c r="I218" s="201">
        <f>AVERAGE($G218:$H218)</f>
        <v>0.76336176496435104</v>
      </c>
      <c r="J218" s="123">
        <f t="shared" ref="J218:M218" si="117">AVERAGE($G218:$H218)</f>
        <v>0.76336176496435104</v>
      </c>
      <c r="K218" s="123">
        <f t="shared" si="117"/>
        <v>0.76336176496435104</v>
      </c>
      <c r="L218" s="123">
        <f t="shared" si="117"/>
        <v>0.76336176496435104</v>
      </c>
      <c r="M218" s="123">
        <f t="shared" si="117"/>
        <v>0.76336176496435104</v>
      </c>
      <c r="O218" s="59"/>
    </row>
    <row r="219" spans="1:15" ht="10.8" thickBot="1">
      <c r="A219" s="124" t="s">
        <v>292</v>
      </c>
      <c r="B219" s="114"/>
      <c r="C219" s="115"/>
      <c r="D219" s="116">
        <f>-'[1]PL&amp;CF'!C134/1000000</f>
        <v>0</v>
      </c>
      <c r="E219" s="116">
        <f>-'[1]PL&amp;CF'!D134/1000000</f>
        <v>4338.6364130000002</v>
      </c>
      <c r="F219" s="116">
        <f>-'[1]PL&amp;CF'!B134/1000000</f>
        <v>0</v>
      </c>
      <c r="G219" s="116">
        <f>-'[1]PL&amp;CF'!F134/1000000</f>
        <v>3682.930734</v>
      </c>
      <c r="H219" s="116">
        <f>-'[1]PL&amp;CF'!D134/1000000</f>
        <v>4338.6364130000002</v>
      </c>
      <c r="I219" s="89" t="e">
        <f ca="1">I217*I218</f>
        <v>#REF!</v>
      </c>
      <c r="J219" s="89" t="e">
        <f ca="1">J217*J218</f>
        <v>#REF!</v>
      </c>
      <c r="K219" s="89" t="e">
        <f ca="1">K217*K218</f>
        <v>#REF!</v>
      </c>
      <c r="L219" s="89" t="e">
        <f ca="1">L217*L218</f>
        <v>#REF!</v>
      </c>
      <c r="M219" s="89" t="e">
        <f ca="1">M217*M218</f>
        <v>#REF!</v>
      </c>
      <c r="O219" s="59"/>
    </row>
    <row r="220" spans="1:15" ht="3" customHeight="1" thickTop="1">
      <c r="I220" s="180"/>
      <c r="O220" s="59"/>
    </row>
    <row r="221" spans="1:15">
      <c r="A221" s="13" t="s">
        <v>310</v>
      </c>
      <c r="B221" s="13"/>
      <c r="C221" s="13"/>
      <c r="D221" s="14">
        <f t="shared" ref="D221" si="118">D195</f>
        <v>2557</v>
      </c>
      <c r="E221" s="14">
        <f t="shared" ref="E221:F221" si="119">E195</f>
        <v>2558</v>
      </c>
      <c r="F221" s="14">
        <f t="shared" si="119"/>
        <v>2559</v>
      </c>
      <c r="G221" s="14">
        <f t="shared" ref="G221:M221" si="120">G195</f>
        <v>2560</v>
      </c>
      <c r="H221" s="14">
        <f t="shared" si="120"/>
        <v>2561</v>
      </c>
      <c r="I221" s="184">
        <f t="shared" si="120"/>
        <v>2562</v>
      </c>
      <c r="J221" s="14">
        <f t="shared" si="120"/>
        <v>2563</v>
      </c>
      <c r="K221" s="14">
        <f t="shared" si="120"/>
        <v>2564</v>
      </c>
      <c r="L221" s="14">
        <f t="shared" si="120"/>
        <v>2565</v>
      </c>
      <c r="M221" s="14">
        <f t="shared" si="120"/>
        <v>2566</v>
      </c>
      <c r="O221" s="59"/>
    </row>
    <row r="222" spans="1:15" ht="3" customHeight="1">
      <c r="I222" s="180"/>
      <c r="O222" s="59"/>
    </row>
    <row r="223" spans="1:15">
      <c r="A223" s="12" t="s">
        <v>311</v>
      </c>
      <c r="I223" s="149">
        <f>H226</f>
        <v>13151.2</v>
      </c>
      <c r="J223" s="17">
        <f t="shared" ref="J223:M223" si="121">I226</f>
        <v>13151.2</v>
      </c>
      <c r="K223" s="17">
        <f t="shared" si="121"/>
        <v>13151.2</v>
      </c>
      <c r="L223" s="17">
        <f t="shared" si="121"/>
        <v>13151.2</v>
      </c>
      <c r="M223" s="17">
        <f t="shared" si="121"/>
        <v>13151.2</v>
      </c>
      <c r="O223" s="59"/>
    </row>
    <row r="224" spans="1:15">
      <c r="A224" s="26" t="s">
        <v>312</v>
      </c>
      <c r="B224" s="26"/>
      <c r="C224" s="26"/>
      <c r="I224" s="140">
        <f>I212</f>
        <v>0</v>
      </c>
      <c r="J224" s="27">
        <f>J212</f>
        <v>0</v>
      </c>
      <c r="K224" s="27">
        <f>K212</f>
        <v>0</v>
      </c>
      <c r="L224" s="27">
        <f>L212</f>
        <v>0</v>
      </c>
      <c r="M224" s="27">
        <f>M212</f>
        <v>0</v>
      </c>
      <c r="O224" s="59"/>
    </row>
    <row r="225" spans="1:15">
      <c r="A225" s="26" t="s">
        <v>313</v>
      </c>
      <c r="B225" s="26"/>
      <c r="C225" s="26"/>
      <c r="I225" s="149">
        <f>-I208</f>
        <v>0</v>
      </c>
      <c r="J225" s="17">
        <f>-J208</f>
        <v>0</v>
      </c>
      <c r="K225" s="17">
        <f>-K208</f>
        <v>0</v>
      </c>
      <c r="L225" s="17">
        <f>-L208</f>
        <v>0</v>
      </c>
      <c r="M225" s="17">
        <f>-M208</f>
        <v>0</v>
      </c>
      <c r="O225" s="59"/>
    </row>
    <row r="226" spans="1:15" ht="10.8" thickBot="1">
      <c r="A226" s="87" t="s">
        <v>314</v>
      </c>
      <c r="B226" s="87"/>
      <c r="C226" s="87"/>
      <c r="D226" s="88"/>
      <c r="E226" s="88"/>
      <c r="F226" s="88">
        <f>F56</f>
        <v>13151.2</v>
      </c>
      <c r="G226" s="88"/>
      <c r="H226" s="116">
        <f>H56</f>
        <v>13151.2</v>
      </c>
      <c r="I226" s="89">
        <f>I223+I224+I225</f>
        <v>13151.2</v>
      </c>
      <c r="J226" s="89">
        <f t="shared" ref="J226:M226" si="122">J223+J224+J225</f>
        <v>13151.2</v>
      </c>
      <c r="K226" s="89">
        <f t="shared" si="122"/>
        <v>13151.2</v>
      </c>
      <c r="L226" s="89">
        <f t="shared" si="122"/>
        <v>13151.2</v>
      </c>
      <c r="M226" s="89">
        <f t="shared" si="122"/>
        <v>13151.2</v>
      </c>
      <c r="O226" s="59"/>
    </row>
    <row r="227" spans="1:15" ht="10.8" thickTop="1"/>
  </sheetData>
  <dataValidations disablePrompts="1" count="1">
    <dataValidation type="list" allowBlank="1" showInputMessage="1" showErrorMessage="1" sqref="B28 B56" xr:uid="{A409BF9C-6B8B-4C67-9638-3D95E607653D}">
      <formula1>"ON, OFF"</formula1>
    </dataValidation>
  </dataValidations>
  <pageMargins left="0.7" right="0.7" top="0.75" bottom="0.75" header="0.3" footer="0.3"/>
  <pageSetup paperSize="9" orientation="portrait" r:id="rId1"/>
  <ignoredErrors>
    <ignoredError sqref="D108:H108" formula="1"/>
    <ignoredError sqref="D81 D89 E81:H9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3C24-9FD1-4778-8DC1-81A21A07D558}">
  <sheetPr>
    <tabColor rgb="FF00B050"/>
  </sheetPr>
  <dimension ref="A1:N33"/>
  <sheetViews>
    <sheetView workbookViewId="0">
      <selection activeCell="D122" sqref="D122"/>
    </sheetView>
    <sheetView workbookViewId="1"/>
  </sheetViews>
  <sheetFormatPr defaultColWidth="8.44140625" defaultRowHeight="11.25" customHeight="1"/>
  <cols>
    <col min="1" max="1" width="40.6640625" style="12" customWidth="1"/>
    <col min="2" max="3" width="9" style="12" customWidth="1"/>
    <col min="4" max="7" width="8.44140625" style="12"/>
    <col min="8" max="8" width="8.44140625" style="12" customWidth="1"/>
    <col min="9" max="9" width="1.44140625" style="12" customWidth="1"/>
    <col min="10" max="16384" width="8.44140625" style="12"/>
  </cols>
  <sheetData>
    <row r="1" spans="1:14" s="5" customFormat="1" ht="13.8">
      <c r="A1" s="2" t="str">
        <f>Projection!A1</f>
        <v>HMPRO : บริษัท โฮม โปรดักส์ เซ็นเตอร์ จำกัด (มหาชน)</v>
      </c>
      <c r="B1" s="3"/>
      <c r="C1" s="3"/>
      <c r="D1" s="4"/>
    </row>
    <row r="2" spans="1:14" s="5" customFormat="1" ht="13.8">
      <c r="A2" s="6" t="str">
        <f>Projection!A2</f>
        <v>amounts in millions, except per share data</v>
      </c>
      <c r="B2" s="7"/>
      <c r="C2" s="7"/>
      <c r="D2" s="8"/>
    </row>
    <row r="3" spans="1:14" ht="11.25" customHeight="1">
      <c r="A3" s="9"/>
      <c r="B3" s="10"/>
      <c r="C3" s="11"/>
      <c r="D3" s="11"/>
      <c r="E3" s="11"/>
      <c r="F3" s="11"/>
      <c r="G3" s="11"/>
      <c r="H3" s="11"/>
      <c r="I3" s="11"/>
    </row>
    <row r="4" spans="1:14" ht="11.25" customHeight="1">
      <c r="A4" s="13" t="s">
        <v>315</v>
      </c>
      <c r="B4" s="14"/>
      <c r="C4" s="14"/>
      <c r="D4" s="125"/>
      <c r="E4" s="125"/>
      <c r="F4" s="125"/>
      <c r="G4" s="125"/>
      <c r="H4" s="125"/>
    </row>
    <row r="5" spans="1:14" ht="3" customHeight="1">
      <c r="A5" s="126"/>
      <c r="C5" s="127"/>
      <c r="D5" s="127"/>
      <c r="E5" s="127"/>
      <c r="F5" s="127"/>
      <c r="G5" s="127"/>
      <c r="H5" s="127"/>
    </row>
    <row r="6" spans="1:14" ht="11.25" customHeight="1">
      <c r="A6" s="12" t="s">
        <v>211</v>
      </c>
      <c r="B6" s="17">
        <f>Projection!H64</f>
        <v>6237.75</v>
      </c>
      <c r="C6" s="19"/>
      <c r="E6" s="24"/>
      <c r="F6" s="24"/>
      <c r="G6" s="24"/>
      <c r="H6" s="24"/>
      <c r="I6" s="24"/>
    </row>
    <row r="7" spans="1:14" ht="11.25" customHeight="1">
      <c r="A7" s="12" t="s">
        <v>316</v>
      </c>
      <c r="B7" s="17">
        <f>Projection!H175</f>
        <v>17262.22</v>
      </c>
      <c r="C7" s="19"/>
      <c r="E7" s="24"/>
      <c r="F7" s="24"/>
      <c r="G7" s="24"/>
      <c r="H7" s="24"/>
      <c r="I7" s="24"/>
    </row>
    <row r="8" spans="1:14" ht="11.25" customHeight="1">
      <c r="A8" s="12" t="s">
        <v>317</v>
      </c>
      <c r="B8" s="17">
        <f>Projection!H101</f>
        <v>19914.09</v>
      </c>
      <c r="D8" s="17"/>
      <c r="E8" s="17"/>
      <c r="F8" s="17"/>
      <c r="G8" s="17"/>
      <c r="H8" s="17"/>
      <c r="I8" s="17"/>
      <c r="L8" s="128"/>
      <c r="M8" s="129"/>
      <c r="N8" s="130"/>
    </row>
    <row r="9" spans="1:14" ht="11.25" customHeight="1">
      <c r="A9" s="12" t="s">
        <v>318</v>
      </c>
      <c r="B9" s="66">
        <f>B7/SUM($B$7:$B$8)</f>
        <v>0.46433387283460897</v>
      </c>
      <c r="D9" s="17"/>
      <c r="E9" s="17"/>
      <c r="F9" s="17"/>
      <c r="G9" s="17"/>
      <c r="H9" s="17"/>
      <c r="I9" s="17"/>
      <c r="L9" s="128"/>
      <c r="M9" s="129"/>
      <c r="N9" s="130"/>
    </row>
    <row r="10" spans="1:14" ht="11.25" customHeight="1">
      <c r="A10" s="12" t="s">
        <v>319</v>
      </c>
      <c r="B10" s="66">
        <f>B8/SUM($B$7:$B$8)</f>
        <v>0.53566612716539108</v>
      </c>
      <c r="D10" s="17"/>
      <c r="E10" s="17"/>
      <c r="F10" s="17"/>
      <c r="G10" s="17"/>
      <c r="H10" s="17"/>
      <c r="I10" s="17"/>
      <c r="L10" s="128"/>
      <c r="M10" s="129"/>
      <c r="N10" s="130"/>
    </row>
    <row r="11" spans="1:14" ht="3" customHeight="1">
      <c r="A11" s="126"/>
      <c r="C11" s="127"/>
      <c r="D11" s="127"/>
      <c r="E11" s="127"/>
      <c r="F11" s="127"/>
      <c r="G11" s="127"/>
      <c r="H11" s="127"/>
    </row>
    <row r="12" spans="1:14" ht="11.25" customHeight="1">
      <c r="A12" s="12" t="s">
        <v>193</v>
      </c>
      <c r="B12" s="131">
        <f>Projection!I37</f>
        <v>0.2</v>
      </c>
      <c r="L12" s="128"/>
      <c r="M12" s="129"/>
      <c r="N12" s="132"/>
    </row>
    <row r="13" spans="1:14" ht="11.25" customHeight="1">
      <c r="A13" s="12" t="s">
        <v>320</v>
      </c>
      <c r="B13" s="133">
        <f>Projection!I179</f>
        <v>2.6447904339570918E-2</v>
      </c>
      <c r="C13" s="17"/>
      <c r="D13" s="17"/>
      <c r="E13" s="17"/>
      <c r="F13" s="17"/>
      <c r="G13" s="17"/>
      <c r="H13" s="17"/>
    </row>
    <row r="14" spans="1:14" ht="3" customHeight="1">
      <c r="B14" s="133"/>
      <c r="C14" s="17"/>
      <c r="D14" s="17"/>
      <c r="E14" s="17"/>
      <c r="F14" s="17"/>
      <c r="G14" s="17"/>
      <c r="H14" s="17"/>
    </row>
    <row r="15" spans="1:14" ht="11.25" customHeight="1">
      <c r="A15" s="12" t="s">
        <v>321</v>
      </c>
      <c r="B15" s="133">
        <v>2.47E-2</v>
      </c>
      <c r="D15" s="17"/>
      <c r="E15" s="17"/>
      <c r="F15" s="17"/>
      <c r="G15" s="17"/>
      <c r="H15" s="17"/>
    </row>
    <row r="16" spans="1:14" ht="11.25" customHeight="1">
      <c r="A16" s="12" t="s">
        <v>322</v>
      </c>
      <c r="B16" s="133">
        <v>0.105</v>
      </c>
      <c r="C16" s="17"/>
      <c r="D16" s="17"/>
      <c r="E16" s="17"/>
      <c r="F16" s="17"/>
      <c r="G16" s="17"/>
      <c r="H16" s="17"/>
    </row>
    <row r="17" spans="1:14" ht="11.25" customHeight="1">
      <c r="A17" s="12" t="s">
        <v>323</v>
      </c>
      <c r="B17" s="12">
        <v>0.98</v>
      </c>
      <c r="C17" s="17"/>
      <c r="D17" s="17"/>
      <c r="E17" s="17"/>
      <c r="F17" s="17"/>
      <c r="G17" s="17"/>
      <c r="H17" s="17"/>
    </row>
    <row r="18" spans="1:14" ht="11.25" customHeight="1">
      <c r="A18" s="12" t="s">
        <v>324</v>
      </c>
      <c r="B18" s="133">
        <f>B15+B17*(B16-B15)</f>
        <v>0.103394</v>
      </c>
      <c r="L18" s="128"/>
      <c r="M18" s="129"/>
      <c r="N18" s="130"/>
    </row>
    <row r="19" spans="1:14" ht="3" customHeight="1">
      <c r="B19" s="133"/>
      <c r="C19" s="17"/>
      <c r="D19" s="17"/>
      <c r="E19" s="17"/>
      <c r="F19" s="17"/>
      <c r="G19" s="17"/>
      <c r="H19" s="17"/>
    </row>
    <row r="20" spans="1:14" ht="11.25" customHeight="1">
      <c r="A20" s="9" t="s">
        <v>315</v>
      </c>
      <c r="B20" s="133">
        <f>B9*(1-B12)*B13+B10*B18</f>
        <v>6.5209189832420231E-2</v>
      </c>
      <c r="L20" s="128"/>
      <c r="M20" s="129"/>
      <c r="N20" s="132"/>
    </row>
    <row r="21" spans="1:14" ht="3" customHeight="1"/>
    <row r="22" spans="1:14" ht="11.25" customHeight="1">
      <c r="A22" s="9"/>
      <c r="B22" s="10"/>
      <c r="C22" s="11"/>
      <c r="D22" s="11" t="str">
        <f>Projection!I3</f>
        <v>Projected</v>
      </c>
      <c r="E22" s="11" t="str">
        <f>Projection!J3</f>
        <v>Projected</v>
      </c>
      <c r="F22" s="11" t="str">
        <f>Projection!K3</f>
        <v>Projected</v>
      </c>
      <c r="G22" s="11" t="str">
        <f>Projection!L3</f>
        <v>Projected</v>
      </c>
      <c r="H22" s="11" t="str">
        <f>Projection!M3</f>
        <v>Projected</v>
      </c>
    </row>
    <row r="23" spans="1:14" ht="11.25" customHeight="1">
      <c r="A23" s="13" t="s">
        <v>325</v>
      </c>
      <c r="B23" s="14"/>
      <c r="C23" s="14"/>
      <c r="D23" s="125">
        <f>Projection!I4</f>
        <v>2562</v>
      </c>
      <c r="E23" s="125">
        <f>Projection!J4</f>
        <v>2563</v>
      </c>
      <c r="F23" s="125">
        <f>Projection!K4</f>
        <v>2564</v>
      </c>
      <c r="G23" s="125">
        <f>Projection!L4</f>
        <v>2565</v>
      </c>
      <c r="H23" s="125">
        <f>Projection!M4</f>
        <v>2566</v>
      </c>
    </row>
    <row r="24" spans="1:14" ht="3" customHeight="1">
      <c r="A24" s="126"/>
      <c r="C24" s="127"/>
      <c r="D24" s="127"/>
      <c r="E24" s="127"/>
      <c r="F24" s="127"/>
      <c r="G24" s="127"/>
      <c r="H24" s="127"/>
    </row>
    <row r="25" spans="1:14" ht="11.25" customHeight="1">
      <c r="A25" s="12" t="s">
        <v>326</v>
      </c>
      <c r="C25" s="17"/>
      <c r="D25" s="17" t="e">
        <f ca="1">Projection!I50</f>
        <v>#REF!</v>
      </c>
      <c r="E25" s="17" t="e">
        <f ca="1">Projection!J50</f>
        <v>#REF!</v>
      </c>
      <c r="F25" s="17" t="e">
        <f ca="1">Projection!K50</f>
        <v>#REF!</v>
      </c>
      <c r="G25" s="17" t="e">
        <f ca="1">Projection!L50</f>
        <v>#REF!</v>
      </c>
      <c r="H25" s="17" t="e">
        <f ca="1">Projection!M50</f>
        <v>#REF!</v>
      </c>
    </row>
    <row r="26" spans="1:14" ht="11.25" customHeight="1">
      <c r="A26" s="12" t="s">
        <v>327</v>
      </c>
      <c r="H26" s="17" t="e">
        <f ca="1">H25*(1+H27)/(B20-H27)</f>
        <v>#REF!</v>
      </c>
    </row>
    <row r="27" spans="1:14" ht="11.25" customHeight="1">
      <c r="A27" s="19" t="s">
        <v>328</v>
      </c>
      <c r="B27" s="19"/>
      <c r="C27" s="19"/>
      <c r="E27" s="24"/>
      <c r="F27" s="24"/>
      <c r="G27" s="24"/>
      <c r="H27" s="24">
        <f>Projection!M7*0.9</f>
        <v>2.2438619999999999E-2</v>
      </c>
    </row>
    <row r="28" spans="1:14" ht="11.25" customHeight="1">
      <c r="A28" s="12" t="s">
        <v>329</v>
      </c>
      <c r="D28" s="17" t="e">
        <f ca="1">SUM(D25,D26)</f>
        <v>#REF!</v>
      </c>
      <c r="E28" s="17" t="e">
        <f ca="1">SUM(E25,E26)</f>
        <v>#REF!</v>
      </c>
      <c r="F28" s="17" t="e">
        <f ca="1">SUM(F25,F26)</f>
        <v>#REF!</v>
      </c>
      <c r="G28" s="17" t="e">
        <f ca="1">SUM(G25,G26)</f>
        <v>#REF!</v>
      </c>
      <c r="H28" s="17" t="e">
        <f ca="1">SUM(H25,H26)</f>
        <v>#REF!</v>
      </c>
    </row>
    <row r="29" spans="1:14" ht="3" customHeight="1">
      <c r="D29" s="17"/>
      <c r="E29" s="17"/>
      <c r="F29" s="17"/>
      <c r="G29" s="17"/>
      <c r="H29" s="17"/>
    </row>
    <row r="30" spans="1:14" ht="11.25" customHeight="1">
      <c r="A30" s="9" t="s">
        <v>330</v>
      </c>
      <c r="B30" s="18" t="e">
        <f ca="1">NPV(B20,D28:H28)</f>
        <v>#REF!</v>
      </c>
    </row>
    <row r="31" spans="1:14" ht="11.25" customHeight="1">
      <c r="A31" s="12" t="s">
        <v>331</v>
      </c>
      <c r="B31" s="17" t="e">
        <f ca="1">B30-B7-Projection!G99-Projection!G97+B6</f>
        <v>#REF!</v>
      </c>
    </row>
    <row r="32" spans="1:14" ht="11.25" customHeight="1">
      <c r="A32" s="12" t="s">
        <v>332</v>
      </c>
      <c r="B32" s="17">
        <f>Projection!H56</f>
        <v>13151.2</v>
      </c>
    </row>
    <row r="33" spans="1:2" ht="11.25" customHeight="1">
      <c r="A33" s="9" t="s">
        <v>333</v>
      </c>
      <c r="B33" s="134" t="e">
        <f ca="1">B31/B32</f>
        <v>#REF!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IS</vt:lpstr>
      <vt:lpstr>BS</vt:lpstr>
      <vt:lpstr>CF</vt:lpstr>
      <vt:lpstr>Projection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SCG</cp:lastModifiedBy>
  <dcterms:created xsi:type="dcterms:W3CDTF">2019-03-20T09:44:04Z</dcterms:created>
  <dcterms:modified xsi:type="dcterms:W3CDTF">2019-03-21T09:37:06Z</dcterms:modified>
</cp:coreProperties>
</file>