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EstaPastaDeTrabalho" defaultThemeVersion="124226"/>
  <mc:AlternateContent xmlns:mc="http://schemas.openxmlformats.org/markup-compatibility/2006">
    <mc:Choice Requires="x15">
      <x15ac:absPath xmlns:x15ac="http://schemas.microsoft.com/office/spreadsheetml/2010/11/ac" url="C:\Users\henrique\Documents\entrada-dados\workbooks\"/>
    </mc:Choice>
  </mc:AlternateContent>
  <xr:revisionPtr revIDLastSave="0" documentId="13_ncr:1_{A5B2D075-4CAD-4BEE-9863-BB0EDAB8C6D0}" xr6:coauthVersionLast="47" xr6:coauthVersionMax="47" xr10:uidLastSave="{00000000-0000-0000-0000-000000000000}"/>
  <workbookProtection workbookAlgorithmName="SHA-512" workbookHashValue="TAkgFdn75Y/d+dFi1B3+8yu9jVQzxK8zFXX3uj9SupWiBXzetqX9G0hdQ9eILSzW5Mp3lEo3N/3CR+Vn3v3F4w==" workbookSaltValue="01pvsdXa8peeEcFRCg2zSA==" workbookSpinCount="100000" lockStructure="1"/>
  <bookViews>
    <workbookView xWindow="3855" yWindow="-12345" windowWidth="21600" windowHeight="11505" xr2:uid="{00000000-000D-0000-FFFF-FFFF00000000}"/>
  </bookViews>
  <sheets>
    <sheet name="Formulário" sheetId="1" r:id="rId1"/>
    <sheet name="Notas Explicativas" sheetId="5" r:id="rId2"/>
    <sheet name="Dados" sheetId="4" state="hidden" r:id="rId3"/>
    <sheet name="Apoio" sheetId="2" state="hidden" r:id="rId4"/>
    <sheet name="Conferencia" sheetId="3" state="hidden" r:id="rId5"/>
    <sheet name="ControleREV" sheetId="6" state="hidden" r:id="rId6"/>
  </sheets>
  <definedNames>
    <definedName name="_xlnm.Print_Area" localSheetId="0">Formulário!$B$2:$AW$168</definedName>
    <definedName name="CargaInstalada">Formulário!$P$29</definedName>
    <definedName name="Cod_Solicitação">SUM(Dados!$D$4:$D$7)</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Formulário!$AT$59</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A">Dados!$B$20:$B$22</definedName>
    <definedName name="TensãoB">Dados!$B$26:$B$27</definedName>
    <definedName name="TensãoGrupo">IF(Grupo="A",Dados!$C$20:$C$22,Dados!$C$20:$C$21)</definedName>
    <definedName name="TipoFonte">Formulário!$L$59</definedName>
    <definedName name="TipoRamal">IF(Dados!$C$28="1Tipo",Dados!$C$30,Dados!$C$30:$C$31)</definedName>
    <definedName name="Tipos_Edificações">Dados!$B$13:$B$16</definedName>
    <definedName name="Tipos_Solicitação">IF(TipoSE = "Nº 1",Dados!$B$4:$B$6,Dados!$B$4:$B$7)</definedName>
    <definedName name="TipoSE">Formulário!$T$34</definedName>
    <definedName name="_xlnm.Print_Titles" localSheetId="0">Formulário!$2:$6</definedName>
    <definedName name="TrafosPorSE">IF(OR(TipoSE="Nº 1",TipoSE="Nº 5",TipoSE="Nº 8"),Dados!$P$4:$P$8,Dados!$R$4:$R$7)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9" i="1" l="1"/>
  <c r="B46" i="3"/>
  <c r="B45" i="3"/>
  <c r="B44" i="3"/>
  <c r="B43" i="3"/>
  <c r="B42" i="3"/>
  <c r="A48" i="3"/>
  <c r="A49" i="3"/>
  <c r="A46" i="3"/>
  <c r="A44" i="3"/>
  <c r="A43" i="3"/>
  <c r="A45" i="3"/>
  <c r="A42" i="3"/>
  <c r="AT59" i="1"/>
  <c r="B30" i="3"/>
  <c r="B81" i="1"/>
  <c r="B79" i="1"/>
  <c r="B85" i="1"/>
  <c r="B83" i="1"/>
  <c r="B73" i="1"/>
  <c r="B18" i="3"/>
  <c r="I2" i="2"/>
  <c r="K2" i="2"/>
  <c r="H2" i="2"/>
  <c r="L3" i="2" l="1"/>
  <c r="K3" i="2"/>
  <c r="J3" i="2"/>
  <c r="I3" i="2"/>
  <c r="H3" i="2"/>
  <c r="I4" i="2" l="1"/>
  <c r="K4" i="2"/>
  <c r="H45" i="1"/>
  <c r="B13" i="3"/>
  <c r="B52" i="3"/>
  <c r="B29" i="3"/>
  <c r="B28" i="3"/>
  <c r="U54" i="1"/>
  <c r="B36" i="3" s="1"/>
  <c r="AE52" i="1"/>
  <c r="B35" i="3" s="1"/>
  <c r="G36" i="1"/>
  <c r="D24" i="3"/>
  <c r="D23" i="3"/>
  <c r="D22" i="3"/>
  <c r="B22" i="3" s="1"/>
  <c r="AO39" i="1"/>
  <c r="V3" i="4"/>
  <c r="B54" i="3"/>
  <c r="B37" i="3"/>
  <c r="B24" i="3" l="1"/>
  <c r="B23" i="3"/>
  <c r="B21" i="3"/>
  <c r="B20" i="3"/>
  <c r="A20" i="3"/>
  <c r="B53" i="3"/>
  <c r="B51" i="3"/>
  <c r="B48" i="3"/>
  <c r="A47" i="3"/>
  <c r="B47" i="3" s="1"/>
  <c r="A41" i="3"/>
  <c r="B49" i="3"/>
  <c r="B71" i="1"/>
  <c r="B77" i="1"/>
  <c r="B75" i="1"/>
  <c r="B41" i="3"/>
  <c r="B69" i="1"/>
  <c r="B50" i="3"/>
  <c r="B40" i="3"/>
  <c r="C22" i="4"/>
  <c r="C20" i="4"/>
  <c r="I18" i="4" a="1"/>
  <c r="I18" i="4" s="1"/>
  <c r="B19" i="3"/>
  <c r="B64" i="1"/>
  <c r="D21" i="3"/>
  <c r="C28" i="4"/>
  <c r="C30" i="4" s="1"/>
  <c r="H10" i="4"/>
  <c r="L10" i="4" s="1"/>
  <c r="B34" i="1"/>
  <c r="D16" i="4"/>
  <c r="D15" i="4"/>
  <c r="D14" i="4"/>
  <c r="D13" i="4"/>
  <c r="L2" i="1" l="1"/>
  <c r="E10" i="3"/>
  <c r="D10" i="3" s="1"/>
  <c r="E9" i="3"/>
  <c r="D9" i="3" s="1"/>
  <c r="J10" i="4"/>
  <c r="K10" i="4"/>
  <c r="I10" i="4"/>
  <c r="C31" i="4"/>
  <c r="D7" i="4"/>
  <c r="D6" i="4"/>
  <c r="D5" i="4"/>
  <c r="D4" i="4"/>
  <c r="E7" i="3" l="1"/>
  <c r="D7" i="3" s="1"/>
  <c r="H49" i="1"/>
  <c r="H47" i="1"/>
  <c r="B31" i="3" s="1"/>
  <c r="C67" i="1"/>
  <c r="B26" i="3"/>
  <c r="E6" i="3"/>
  <c r="D6" i="3" s="1"/>
  <c r="D19" i="3"/>
  <c r="E8" i="3" s="1"/>
  <c r="D8" i="3" s="1"/>
  <c r="B2" i="3"/>
  <c r="B54" i="1"/>
  <c r="C21" i="4"/>
  <c r="C18" i="4"/>
  <c r="C5" i="4"/>
  <c r="C6" i="4"/>
  <c r="C7" i="4"/>
  <c r="C4" i="4"/>
  <c r="B33" i="3" l="1"/>
  <c r="B32" i="3"/>
  <c r="AK47" i="1"/>
  <c r="AK49" i="1"/>
  <c r="B38" i="3"/>
  <c r="B34" i="3"/>
  <c r="B27" i="3"/>
  <c r="B25" i="3"/>
  <c r="B17" i="3"/>
  <c r="B16" i="3"/>
  <c r="B15" i="3"/>
  <c r="B14" i="3"/>
  <c r="B12" i="3"/>
  <c r="B11" i="3"/>
  <c r="B10" i="3"/>
  <c r="B9" i="3"/>
  <c r="B8" i="3"/>
  <c r="B7" i="3"/>
  <c r="B6" i="3"/>
  <c r="B5" i="3"/>
  <c r="B4" i="3"/>
  <c r="B3" i="3"/>
  <c r="B1" i="3"/>
  <c r="AM41" i="1"/>
  <c r="Y29" i="1" l="1"/>
  <c r="AG29" i="1"/>
  <c r="E5" i="3"/>
  <c r="D5" i="3" s="1"/>
  <c r="D2" i="3" s="1"/>
  <c r="B7"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<sst xmlns="http://schemas.openxmlformats.org/spreadsheetml/2006/main" count="501" uniqueCount="296">
  <si>
    <t>1 – IDENTIFICAÇÃO DA UNIDADE CONSUMIDORA – UC</t>
  </si>
  <si>
    <t>Telefone:</t>
  </si>
  <si>
    <t>2 – DADOS DA UNIDADE CONSUMIDORA</t>
  </si>
  <si>
    <t>Fuso:</t>
  </si>
  <si>
    <t>E (Abscissa):</t>
  </si>
  <si>
    <t>N (Ordenada):</t>
  </si>
  <si>
    <t>Número da instalação:</t>
  </si>
  <si>
    <t>Ligação de Nova Unidade Consumidora COM Geração Distribuída</t>
  </si>
  <si>
    <t>Conexão de GD em Unidade Consumidora Existente SEM Alteração de Potência Disponibilizada</t>
  </si>
  <si>
    <t>Conexão de GD em Unidade Consumidora Existente COM Alteração de Potência Disponibilizada</t>
  </si>
  <si>
    <t>GD Existente COM Alteração de Potência Ativa Instalada Total</t>
  </si>
  <si>
    <t>Potência do Grupo Motor Gerador de Emergência em Paralelo com a Cemig - Diesel ou Gás (kVA):</t>
  </si>
  <si>
    <t>Tipo de edificação:</t>
  </si>
  <si>
    <t>Tensão de Atendimento (V):</t>
  </si>
  <si>
    <t xml:space="preserve">Tipo de Ramal: </t>
  </si>
  <si>
    <t>3 – DADOS DA GERAÇÃO</t>
  </si>
  <si>
    <t>Modalidade de compensação:</t>
  </si>
  <si>
    <t>Preencha o quadro a seguir somente se a usina possuiu OUTORGA OU REGISTRO. Se não aplicável, mantenha os campos vazios.</t>
  </si>
  <si>
    <r>
      <t>CPF/CNPJ</t>
    </r>
    <r>
      <rPr>
        <sz val="11"/>
        <color indexed="10"/>
        <rFont val="Calibri"/>
        <family val="2"/>
      </rPr>
      <t>*</t>
    </r>
    <r>
      <rPr>
        <sz val="11"/>
        <color theme="1"/>
        <rFont val="Calibri"/>
        <family val="2"/>
        <scheme val="minor"/>
      </rPr>
      <t>:</t>
    </r>
  </si>
  <si>
    <r>
      <t>Número do Cliente</t>
    </r>
    <r>
      <rPr>
        <sz val="11"/>
        <color indexed="10"/>
        <rFont val="Calibri"/>
        <family val="2"/>
      </rPr>
      <t>*</t>
    </r>
    <r>
      <rPr>
        <sz val="11"/>
        <color theme="1"/>
        <rFont val="Calibri"/>
        <family val="2"/>
        <scheme val="minor"/>
      </rPr>
      <t>:</t>
    </r>
  </si>
  <si>
    <r>
      <t>Grupo</t>
    </r>
    <r>
      <rPr>
        <sz val="11"/>
        <color indexed="10"/>
        <rFont val="Calibri"/>
        <family val="2"/>
      </rPr>
      <t>*</t>
    </r>
    <r>
      <rPr>
        <sz val="11"/>
        <color theme="1"/>
        <rFont val="Calibri"/>
        <family val="2"/>
        <scheme val="minor"/>
      </rPr>
      <t>:</t>
    </r>
  </si>
  <si>
    <r>
      <t>Logradouro</t>
    </r>
    <r>
      <rPr>
        <sz val="11"/>
        <color indexed="10"/>
        <rFont val="Calibri"/>
        <family val="2"/>
      </rPr>
      <t>*</t>
    </r>
    <r>
      <rPr>
        <sz val="11"/>
        <color theme="1"/>
        <rFont val="Calibri"/>
        <family val="2"/>
        <scheme val="minor"/>
      </rPr>
      <t>:</t>
    </r>
  </si>
  <si>
    <r>
      <t>Classe</t>
    </r>
    <r>
      <rPr>
        <sz val="11"/>
        <color indexed="10"/>
        <rFont val="Calibri"/>
        <family val="2"/>
      </rPr>
      <t>*</t>
    </r>
    <r>
      <rPr>
        <sz val="11"/>
        <color theme="1"/>
        <rFont val="Calibri"/>
        <family val="2"/>
        <scheme val="minor"/>
      </rPr>
      <t>:</t>
    </r>
  </si>
  <si>
    <r>
      <t>Número</t>
    </r>
    <r>
      <rPr>
        <sz val="11"/>
        <color indexed="10"/>
        <rFont val="Calibri"/>
        <family val="2"/>
      </rPr>
      <t>*</t>
    </r>
    <r>
      <rPr>
        <sz val="11"/>
        <color theme="1"/>
        <rFont val="Calibri"/>
        <family val="2"/>
        <scheme val="minor"/>
      </rPr>
      <t>:</t>
    </r>
  </si>
  <si>
    <r>
      <t>Estado</t>
    </r>
    <r>
      <rPr>
        <sz val="11"/>
        <color indexed="10"/>
        <rFont val="Calibri"/>
        <family val="2"/>
      </rPr>
      <t>*</t>
    </r>
    <r>
      <rPr>
        <sz val="11"/>
        <color theme="1"/>
        <rFont val="Calibri"/>
        <family val="2"/>
        <scheme val="minor"/>
      </rPr>
      <t>:</t>
    </r>
  </si>
  <si>
    <r>
      <t>CEP</t>
    </r>
    <r>
      <rPr>
        <sz val="11"/>
        <color indexed="10"/>
        <rFont val="Calibri"/>
        <family val="2"/>
      </rPr>
      <t>*</t>
    </r>
    <r>
      <rPr>
        <sz val="11"/>
        <color theme="1"/>
        <rFont val="Calibri"/>
        <family val="2"/>
        <scheme val="minor"/>
      </rPr>
      <t>:</t>
    </r>
  </si>
  <si>
    <r>
      <t>Município</t>
    </r>
    <r>
      <rPr>
        <sz val="11"/>
        <color indexed="10"/>
        <rFont val="Calibri"/>
        <family val="2"/>
      </rPr>
      <t>*</t>
    </r>
    <r>
      <rPr>
        <sz val="11"/>
        <color theme="1"/>
        <rFont val="Calibri"/>
        <family val="2"/>
        <scheme val="minor"/>
      </rPr>
      <t>:</t>
    </r>
  </si>
  <si>
    <r>
      <t>Bairro</t>
    </r>
    <r>
      <rPr>
        <sz val="11"/>
        <color indexed="10"/>
        <rFont val="Calibri"/>
        <family val="2"/>
      </rPr>
      <t>*</t>
    </r>
    <r>
      <rPr>
        <sz val="11"/>
        <color theme="1"/>
        <rFont val="Calibri"/>
        <family val="2"/>
        <scheme val="minor"/>
      </rPr>
      <t>:</t>
    </r>
  </si>
  <si>
    <t>Tipo de Subestação (Conforme ND 5.3):</t>
  </si>
  <si>
    <t>A</t>
  </si>
  <si>
    <t>CEG do empreendimento:</t>
  </si>
  <si>
    <t>Nome da Usina:</t>
  </si>
  <si>
    <t>Número do Ato de Outorga ou Registro:</t>
  </si>
  <si>
    <t>Ano do Ato de Outorga ou Registro:</t>
  </si>
  <si>
    <t>Tipo do Ato de Outorga ou Registro:</t>
  </si>
  <si>
    <t>Tipo de Solicitação</t>
  </si>
  <si>
    <t>Fuso</t>
  </si>
  <si>
    <t>E (Abscissa) Min</t>
  </si>
  <si>
    <t>E (Abscissa) Max</t>
  </si>
  <si>
    <t>N (Ordenada) Min</t>
  </si>
  <si>
    <t>N (Ordenada) Max</t>
  </si>
  <si>
    <t>Tipo de Fonte de Geração:</t>
  </si>
  <si>
    <t>Potência Ativa Instalada Total de Geração da Usina (kW):</t>
  </si>
  <si>
    <t>Grupo</t>
  </si>
  <si>
    <t>Classe</t>
  </si>
  <si>
    <t>CPF/CNPJ</t>
  </si>
  <si>
    <t>Logradouro</t>
  </si>
  <si>
    <t>Número</t>
  </si>
  <si>
    <r>
      <t>Complemento</t>
    </r>
    <r>
      <rPr>
        <sz val="11"/>
        <color theme="1"/>
        <rFont val="Calibri"/>
        <family val="2"/>
        <scheme val="minor"/>
      </rPr>
      <t>:</t>
    </r>
  </si>
  <si>
    <t>Bairro</t>
  </si>
  <si>
    <t>Municipio</t>
  </si>
  <si>
    <t>Estado</t>
  </si>
  <si>
    <t>CEP</t>
  </si>
  <si>
    <t>e-mail</t>
  </si>
  <si>
    <t>Número do Cliente</t>
  </si>
  <si>
    <t>Número da Instalação</t>
  </si>
  <si>
    <r>
      <t>Titular da Unidade Consumidora</t>
    </r>
    <r>
      <rPr>
        <sz val="11"/>
        <color indexed="10"/>
        <rFont val="Calibri"/>
        <family val="2"/>
      </rPr>
      <t>*</t>
    </r>
    <r>
      <rPr>
        <sz val="11"/>
        <color theme="1"/>
        <rFont val="Calibri"/>
        <family val="2"/>
        <scheme val="minor"/>
      </rPr>
      <t>:</t>
    </r>
  </si>
  <si>
    <t>Titular da Unidade Consumidora</t>
  </si>
  <si>
    <t>E (Abscissa)</t>
  </si>
  <si>
    <t>N (Ordenada)</t>
  </si>
  <si>
    <t>Carga Instalada (consumo próprio) (kW)</t>
  </si>
  <si>
    <t>Tipo de edificação</t>
  </si>
  <si>
    <t>Tipo de Solicitação:</t>
  </si>
  <si>
    <t>Disjuntor Individual Atual</t>
  </si>
  <si>
    <t>Disjuntor Individual Solicitado para Alteração de Carga</t>
  </si>
  <si>
    <t>Disjuntor Geral do Padrão (Conforme ND 5.2)</t>
  </si>
  <si>
    <t>Tensão de Atendimento (V)</t>
  </si>
  <si>
    <t>Haverá Mudança de Local do Padrão de Entrada</t>
  </si>
  <si>
    <t>Tipo de Fonte de Geração</t>
  </si>
  <si>
    <t>Modalidade de compensação</t>
  </si>
  <si>
    <t>Potência Ativa Instalada Total de Geração da Usina (kW)</t>
  </si>
  <si>
    <t>Qtde. de Instalações a receber o crédito:</t>
  </si>
  <si>
    <t>Qtde. de Instalações a receber o crédito</t>
  </si>
  <si>
    <t>Tipo de Subestação (Conforme ND 5.3)</t>
  </si>
  <si>
    <t>Tipo de Ramal</t>
  </si>
  <si>
    <t>Bipolar</t>
  </si>
  <si>
    <t>Tripolar</t>
  </si>
  <si>
    <t>Aéreo</t>
  </si>
  <si>
    <r>
      <t>E-mail</t>
    </r>
    <r>
      <rPr>
        <sz val="11"/>
        <color indexed="10"/>
        <rFont val="Calibri"/>
        <family val="2"/>
      </rPr>
      <t>*</t>
    </r>
    <r>
      <rPr>
        <sz val="11"/>
        <color theme="1"/>
        <rFont val="Calibri"/>
        <family val="2"/>
        <scheme val="minor"/>
      </rPr>
      <t>:</t>
    </r>
  </si>
  <si>
    <r>
      <t xml:space="preserve">Localização </t>
    </r>
    <r>
      <rPr>
        <b/>
        <sz val="11"/>
        <color indexed="8"/>
        <rFont val="Calibri"/>
        <family val="2"/>
      </rPr>
      <t>em Coordenadas UTM -</t>
    </r>
    <r>
      <rPr>
        <sz val="11"/>
        <color theme="1"/>
        <rFont val="Calibri"/>
        <family val="2"/>
        <scheme val="minor"/>
      </rPr>
      <t xml:space="preserve"> Ponto de Entrega:</t>
    </r>
  </si>
  <si>
    <t>Disjuntor</t>
  </si>
  <si>
    <t>Limite máximo para injeção(kW)</t>
  </si>
  <si>
    <t>Tipo</t>
  </si>
  <si>
    <t>Corrente (A)</t>
  </si>
  <si>
    <t>Monopolar</t>
  </si>
  <si>
    <t xml:space="preserve">Edificação Individual </t>
  </si>
  <si>
    <t xml:space="preserve">Edificação de Uso Coletivo (telhado coletivo ou em área comum do condomínio)      </t>
  </si>
  <si>
    <t xml:space="preserve">Edificação de Uso Coletivo (telhado independente e privativo)   </t>
  </si>
  <si>
    <t>Agrupamento</t>
  </si>
  <si>
    <t>Tipos Edificações</t>
  </si>
  <si>
    <t>Tipos Solicitações</t>
  </si>
  <si>
    <t>Tensão Grupo A</t>
  </si>
  <si>
    <t>Tensão Grupo B</t>
  </si>
  <si>
    <t>127/220</t>
  </si>
  <si>
    <t>120/240</t>
  </si>
  <si>
    <t>Tensão Grupo</t>
  </si>
  <si>
    <t>Subterrâneo</t>
  </si>
  <si>
    <t>TipoRamal</t>
  </si>
  <si>
    <t>Cod_Solicitação</t>
  </si>
  <si>
    <t>Cod_Edificação</t>
  </si>
  <si>
    <t xml:space="preserve">Tipo de Padrão de Entrada:  </t>
  </si>
  <si>
    <t>Monopolar40</t>
  </si>
  <si>
    <t>Monopolar50</t>
  </si>
  <si>
    <t>Monopolar63</t>
  </si>
  <si>
    <t>Monopolar70</t>
  </si>
  <si>
    <t>Bipolar40</t>
  </si>
  <si>
    <t>Bipolar50</t>
  </si>
  <si>
    <t>Bipolar60</t>
  </si>
  <si>
    <t>Bipolar63</t>
  </si>
  <si>
    <t>Bipolar70</t>
  </si>
  <si>
    <t>Bipolar80</t>
  </si>
  <si>
    <t>Bipolar90</t>
  </si>
  <si>
    <t>Bipolar100</t>
  </si>
  <si>
    <t>Bipolar120</t>
  </si>
  <si>
    <t>Bipolar125</t>
  </si>
  <si>
    <t>Bipolar150</t>
  </si>
  <si>
    <t>Bipolar200</t>
  </si>
  <si>
    <t>Tripolar40</t>
  </si>
  <si>
    <t>Tripolar60</t>
  </si>
  <si>
    <t>Tripolar63</t>
  </si>
  <si>
    <t>Tripolar70</t>
  </si>
  <si>
    <t>Tripolar80</t>
  </si>
  <si>
    <t>Tripolar100</t>
  </si>
  <si>
    <t>Tripolar120</t>
  </si>
  <si>
    <t>Tripolar125</t>
  </si>
  <si>
    <t>Tripolar150</t>
  </si>
  <si>
    <t>Tripolar175</t>
  </si>
  <si>
    <t>Tripolar200</t>
  </si>
  <si>
    <t>Tripolar225</t>
  </si>
  <si>
    <t>Tripolar250</t>
  </si>
  <si>
    <t>Tripolar300</t>
  </si>
  <si>
    <t>Tripolar315</t>
  </si>
  <si>
    <t>Tripolar320</t>
  </si>
  <si>
    <t>Tripolar400</t>
  </si>
  <si>
    <t>Tripolar450</t>
  </si>
  <si>
    <t>Tripolar500</t>
  </si>
  <si>
    <t>Tripolar600</t>
  </si>
  <si>
    <t>Tripolar630</t>
  </si>
  <si>
    <t>Tripolar700</t>
  </si>
  <si>
    <t>Tripolar800</t>
  </si>
  <si>
    <t>4 – DOCUMENTAÇÃO A SER ANEXADA (OBRIGATÓRIA)</t>
  </si>
  <si>
    <t>3 - Diagrama unifilar contemplando geração, carga, medição e proteção (inversor, se for o caso), conforme modelo disponibilizado no site da Cemig.</t>
  </si>
  <si>
    <t>4 - Certificado de conformidade do(s) inversor(es) ou número de registro de concessão no Inmetro do(s) inversor(es) para a tensão nominal de conexão com a rede.</t>
  </si>
  <si>
    <t>5 - Dados necessários para registro da central geradora conforme disponível no site da ANEEL, a depender do tipo de fonte.</t>
  </si>
  <si>
    <t>6 - Lista de unidades consumidoras participantes do sistema de compensação (se houver) indicando a porcentagem de rateio dos créditos e o enquadramento, conforme Resolução Normativa nº 482/2012.</t>
  </si>
  <si>
    <t>8 - Formulário de Análise de Carga, com os respectivos anexos necessários (para solicitação de Ligação Nova de Unidade Consumidora com GD ou conexão de GD com aumento ou redução de potência disponibilizada).</t>
  </si>
  <si>
    <t>7 - Documento que comprove o reconhecimento, pela ANEEL, da cogeração qualificada (se houver).</t>
  </si>
  <si>
    <t>9 - Documentos originais do titular da UC (RG ou outro documento oficial com foto e CPF) para pessoa física e, em caso de pessoa jurídica, documentos relativos à sua constituição, ao seu registro e do(s) seu(s) representante(s) legal(is).</t>
  </si>
  <si>
    <t>10 - Cópia do instrumento jurídico que comprove o compromisso de solidariedade entre os integrantes de consórcio, cooperativa, condomínio voluntário ou edilício ou qualquer outra forma de associação civil instituída em caso de empreendimentos de modalidade Geração Compartilhada.</t>
  </si>
  <si>
    <t>11 - Quando se tratar de ligações novas, apresentar documento, com data, que comprove a propriedade ou posse do imóvel onde será implantada a central geradora, conforme Art. 67 da Resolução Normativa 1000/2021.</t>
  </si>
  <si>
    <t>12 - . Para imóveis rurais apresentar o documento de Cadastro Ambiental Rural – CAR. O CAR é um registro público eletrônico de âmbito nacional, Lei nº 12.651/2012, obrigatório para todos os imóveis rurais.</t>
  </si>
  <si>
    <t>13 - Documento que comprove a propriedade da unidade consumidora para a qual está sendo solicitada a ligação da central geradora particular pertencente a uma edificação coletiva ou agrupamento.</t>
  </si>
  <si>
    <t xml:space="preserve">14 - Documento fornecido pelo condomínio que comprove autorização de uso de área comum da edificação coletiva para instalação de central geradora de uso particular da unidade em questão. </t>
  </si>
  <si>
    <t xml:space="preserve">15 - Documento que comprove o direito de posse pelo proprietário da central geradora em casos de aluguel, cessão ou arrendamento de áreas, telhados ou estruturas. </t>
  </si>
  <si>
    <t>5 – CONTATO NA DISTRIBUIDORA (preenchido pela Distribuidora)</t>
  </si>
  <si>
    <t xml:space="preserve">Endereço: </t>
  </si>
  <si>
    <t>Av. Barbacena, 1200, Santo Agostinho, CEP 30190-131, BH - MG</t>
  </si>
  <si>
    <t>Gerência de Processos Especiais da Expansão de Média e Baixa Tensão - EM/PE</t>
  </si>
  <si>
    <t xml:space="preserve">Responsável / Área: </t>
  </si>
  <si>
    <t>Telefone: 0800 721 0167</t>
  </si>
  <si>
    <t>E-mail: geracaodistribuida@cemig.com.br</t>
  </si>
  <si>
    <t>6 – SOLICITANTE</t>
  </si>
  <si>
    <t>E_Mínimo</t>
  </si>
  <si>
    <t>E_Máximo</t>
  </si>
  <si>
    <t>N_Mínimo</t>
  </si>
  <si>
    <t>N_Máximo</t>
  </si>
  <si>
    <t>Fuso_Escolhido</t>
  </si>
  <si>
    <t>Sim</t>
  </si>
  <si>
    <t>SE</t>
  </si>
  <si>
    <t>Potência Transformador</t>
  </si>
  <si>
    <t>Nº 1</t>
  </si>
  <si>
    <t>Nº 5</t>
  </si>
  <si>
    <t>Nº 8</t>
  </si>
  <si>
    <t>Outros Trafos Particulares</t>
  </si>
  <si>
    <t>Qte Potências</t>
  </si>
  <si>
    <t>Qte</t>
  </si>
  <si>
    <t>Potência</t>
  </si>
  <si>
    <t>è</t>
  </si>
  <si>
    <r>
      <t>Nota</t>
    </r>
    <r>
      <rPr>
        <vertAlign val="superscript"/>
        <sz val="11"/>
        <color theme="1"/>
        <rFont val="Calibri"/>
        <family val="2"/>
        <scheme val="minor"/>
      </rPr>
      <t>1</t>
    </r>
    <r>
      <rPr>
        <sz val="11"/>
        <color theme="1"/>
        <rFont val="Calibri"/>
        <family val="2"/>
        <scheme val="minor"/>
      </rPr>
      <t>: Os Técnicos em Eletrotécnica poderão projetar e dirigir instalações com potência até 800 kVA (Decreto nº 90.922/85)</t>
    </r>
  </si>
  <si>
    <t>Notas Explicativas:</t>
  </si>
  <si>
    <t>As informações contidas neste Formulário de Solicitação de Acesso devem estar em conformidade com o Diagrama Unifilar Básico e o Memorial Descritivo enviados à Cemig.</t>
  </si>
  <si>
    <t>1 - Número da Instalação: O número da unidade consumidora na qual será instalada a geração distribuída. Caso tratar-se de ligação nova, não preencher.</t>
  </si>
  <si>
    <t>2 - Grupo e Subgrupo: Informe o código de subgrupo aplicável conforme o nível de tensão para o grupo A ou finalidade para o grupo B.</t>
  </si>
  <si>
    <t>Grupo A - grupamento composto de unidades consumidoras com fornecimento em tensão igual ou superior a 2,3 kV</t>
  </si>
  <si>
    <t>Subgrupo</t>
  </si>
  <si>
    <t>Nível de Tensão</t>
  </si>
  <si>
    <t>Finalidade</t>
  </si>
  <si>
    <t>A1</t>
  </si>
  <si>
    <t>Igual ou superior a 230 kV</t>
  </si>
  <si>
    <t>B1</t>
  </si>
  <si>
    <t>Residencial</t>
  </si>
  <si>
    <t>A2</t>
  </si>
  <si>
    <t>88 kV a 138 kV</t>
  </si>
  <si>
    <t>B2</t>
  </si>
  <si>
    <t>Rural</t>
  </si>
  <si>
    <t>A3</t>
  </si>
  <si>
    <t>69 kV</t>
  </si>
  <si>
    <t>B3</t>
  </si>
  <si>
    <t>Industrial</t>
  </si>
  <si>
    <t>A3a</t>
  </si>
  <si>
    <t>30 kV a 44 kV</t>
  </si>
  <si>
    <t>Demais Classes</t>
  </si>
  <si>
    <t>A4</t>
  </si>
  <si>
    <t>2,3 kV a 25 kV</t>
  </si>
  <si>
    <t>B4</t>
  </si>
  <si>
    <t>Iluminação Pública</t>
  </si>
  <si>
    <t>Site para conversão de coordenadas geográficas: http://www.dpi.inpe.br/calcula/. Selecione o Datum: SIRGAS2000.</t>
  </si>
  <si>
    <t>As subestações tipo Nº 5 e Nº 8 somente são aplicáveis para potências de transformação até 300 kVA e não podem ser de uso compartilhado.</t>
  </si>
  <si>
    <t>De acordo com as definições contidas nas ND’s 5.1 e 5.2:</t>
  </si>
  <si>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</si>
  <si>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</si>
  <si>
    <t>• Edificações de uso coletivo (telhado coletivo ou em área comum do condomínio): Comprovação de posse do proprietário do imóvel e autorização do condomínio.</t>
  </si>
  <si>
    <t>• Edificações de uso coletivo (telhado independente e privativo): Comprovação de posse do proprietário do imóvel.</t>
  </si>
  <si>
    <t>• Agrupamentos: Comprovação de posse do proprietário do imóvel.</t>
  </si>
  <si>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</si>
  <si>
    <t>ATENÇÃO: Por potência disponibilizada (Seção 1.1, Módulo 1, da Resolução Normativa nº 956/2021), considera-se a potência que o sistema elétrico da distribuidora deve dispor para atender aos equipamentos elétricos e instalações do usuário, calculada da seguinte forma:</t>
  </si>
  <si>
    <t>Esse é o valor de referência considerado na Resolução Normativa nº 482/2012 da ANEEL e que é utilizado para enquadramento no limite de unidade consumidora caracterizada como microgeração (até 75kW).</t>
  </si>
  <si>
    <t>ATENÇÃO: O usuário deve atentar-se ao disposto no Art. 353 da Resolução Normativa ANEEL nº 1000/2021:</t>
  </si>
  <si>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</si>
  <si>
    <t>(...)</t>
  </si>
  <si>
    <t>II - o aumento da geração instalada sem consulta à distribuidora, em qualquer hipótese</t>
  </si>
  <si>
    <t>Potência Total Módulos (kWp): Informe a potência elétrica total, em kWp, obtida a partir do efeito fotovoltaico, somando todos os módulos agrupados em arranjos.</t>
  </si>
  <si>
    <t>Potência Total Inversores (kW): Informe a potência nominal elétrica total, em kW, somando todas as saídas dos inversores, respeitadas limitações de potência decorrentes dos módulos, do controle de potência do inversor ou de outras restrições técnicas.</t>
  </si>
  <si>
    <t>3 - Classe: Informe a classificação da unidade consumidora em Residencial, Industrial, Comercial, Rural, Poder Público, Iluminação Pública ou Serviço Público.</t>
  </si>
  <si>
    <t>4 - Localização em Coordenadas: Informe as coordenadas da localização do ponto de entrega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</si>
  <si>
    <t>21 - Dados para Sistema de Registro de Geração Distribuída – SISGD Central Geradora Hidrelétrica - CGH.</t>
  </si>
  <si>
    <t>22 - Dados para Sistema de Registro de Geração Distribuída – SISGD de Central Geradora Térmica - UTE.</t>
  </si>
  <si>
    <t>23 - Dados para Sistema de Registro de Geração Distribuída – SISGD de Central Geradora Eólica - EOL.</t>
  </si>
  <si>
    <t>19 - Dados para Sistema de Registro de Geração Distribuída – SISGD de Outorga ou Registro.</t>
  </si>
  <si>
    <t>18 - Tipo de fonte renovável de energia elétrica ou cogeração qualificada (conforme Resolução Normativa nº 235/2006) utilizada pela central geradora.</t>
  </si>
  <si>
    <t>17 - Potência Ativa Instalada Total de Geração (kW): Corresponde à máxima potência ativa gerada pela central geradora, em kW. Para centrais geradoras fotovoltaicas, trata-se do menor valor entre a Potência Total dos Inversores (kW) e a Potência Total dos Módulos (kWp).</t>
  </si>
  <si>
    <t>16 - Caracterização: Modalidade de alocação de créditos utilizada no sistema de compensação de energia elétrica.</t>
  </si>
  <si>
    <t>15 - Tipo de Solicitação:</t>
  </si>
  <si>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</si>
  <si>
    <t>6 - Demanda Máxima de Carga - Consumo Próprio (kVA): Valor máximo de demanda de carga consumida na Unidade Consumidora. Para os casos que não houver Demanda de Carga, conforme Ofício Circular nº 0010/2017 da ANEEL, a solução de conexão informada no Parecer de Acesso considera exclusivamente a atividade de geração, sendo o consumo da unidade no ponto de conexão nulo. Assim, deve ser solicitada nova análise de aumento de carga quando necessário.</t>
  </si>
  <si>
    <t>7 -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</si>
  <si>
    <t>8 - Transformador particular (kVA): Informe a potência instalada de transformação da subestação de entrada ou o arranjo de transformadores utilizados.</t>
  </si>
  <si>
    <t>9 -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</si>
  <si>
    <t xml:space="preserve">  </t>
  </si>
  <si>
    <t>10 -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</si>
  <si>
    <t>11 - Disjuntor Solicitado para Alteração de Carga: Informe a capacidade do novo disjuntor, caso haja necessidade de alteração de carga. Vale destacar que deverá ser anexado também o formulário de alteração de carga com informações específicas.</t>
  </si>
  <si>
    <t>12 - Tensão de Atendimento (V): Tensão nominal do ponto de conexão com a rede da concessionária.</t>
  </si>
  <si>
    <t>13 - Tipo de Ramal: Assinalar o tipo de ramal de ligação, se aéreo ou subterrâneo, no qual a unidade consumidora será atendida.</t>
  </si>
  <si>
    <t>14 - Localização dos Módulos Solares:</t>
  </si>
  <si>
    <r>
      <rPr>
        <b/>
        <sz val="11"/>
        <color theme="1"/>
        <rFont val="Calibri"/>
        <family val="2"/>
        <scheme val="minor"/>
      </rPr>
      <t>Conexão de GD em Unidade Consumidora Existente COM Alteração de Potência Disponibilizada</t>
    </r>
    <r>
      <rPr>
        <sz val="11"/>
        <color theme="1"/>
        <rFont val="Calibri"/>
        <family val="2"/>
        <scheme val="minor"/>
      </rPr>
      <t>: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r>
  </si>
  <si>
    <r>
      <rPr>
        <b/>
        <sz val="11"/>
        <color theme="1"/>
        <rFont val="Calibri"/>
        <family val="2"/>
        <scheme val="minor"/>
      </rPr>
      <t>Conexão de GD em Unidade Consumidora Existente SEM Alteração de Potência Disponibilizada</t>
    </r>
    <r>
      <rPr>
        <sz val="11"/>
        <color theme="1"/>
        <rFont val="Calibri"/>
        <family val="2"/>
        <scheme val="minor"/>
      </rPr>
      <t>: trata-se de conexão de GD em unidade consumidora do grupo B (que não precisará alterar o disjuntor existente) ou do grupo A (que não precisará alterar o contrato de demanda - CUSD).</t>
    </r>
  </si>
  <si>
    <r>
      <rPr>
        <b/>
        <sz val="11"/>
        <color theme="1"/>
        <rFont val="Calibri"/>
        <family val="2"/>
        <scheme val="minor"/>
      </rPr>
      <t>Ligação de Nova Unidade Consumidora COM Geração Distribuída</t>
    </r>
    <r>
      <rPr>
        <sz val="11"/>
        <color theme="1"/>
        <rFont val="Calibri"/>
        <family val="2"/>
        <scheme val="minor"/>
      </rPr>
      <t>: as ligações de novas unidades consumidoras são as que podem ser caracterizadas por pontos de conexão ainda não atendidos pela concessionária. Para novas unidades consumidoras do grupo B deverá também ser anexado, no APR Web, o Formulário de Ligação Nova.</t>
    </r>
  </si>
  <si>
    <t>§ 1º Enquadram-se no caput:</t>
  </si>
  <si>
    <t>20 - Dados para Sistema de Registro de Geração Distribuída – SISGD - Central Geradora Fotovoltaica.</t>
  </si>
  <si>
    <r>
      <rPr>
        <b/>
        <sz val="11"/>
        <color theme="1"/>
        <rFont val="Calibri"/>
        <family val="2"/>
        <scheme val="minor"/>
      </rPr>
      <t>GD Existente COM Alteração de Potência Ativa Instalada Total</t>
    </r>
    <r>
      <rPr>
        <sz val="11"/>
        <color theme="1"/>
        <rFont val="Calibri"/>
        <family val="2"/>
        <scheme val="minor"/>
      </rPr>
      <t>: trata-se de unidade consumidora existe na qual já possui geração distribuída e o acessante deseja alterar a potência de injeção da central geradora.</t>
    </r>
  </si>
  <si>
    <r>
      <rPr>
        <b/>
        <sz val="11"/>
        <color theme="1"/>
        <rFont val="Calibri"/>
        <family val="2"/>
        <scheme val="minor"/>
      </rPr>
      <t>Edificação Individual</t>
    </r>
    <r>
      <rPr>
        <sz val="11"/>
        <color theme="1"/>
        <rFont val="Calibri"/>
        <family val="2"/>
        <scheme val="minor"/>
      </rPr>
      <t>: É toda e qualquer construção, reconhecida pelos poderes públicos, contendo uma única unidade consumidora.</t>
    </r>
  </si>
  <si>
    <r>
      <rPr>
        <b/>
        <sz val="11"/>
        <color theme="1"/>
        <rFont val="Calibri"/>
        <family val="2"/>
        <scheme val="minor"/>
      </rPr>
      <t>Edificações de Uso Coletivo</t>
    </r>
    <r>
      <rPr>
        <sz val="11"/>
        <color theme="1"/>
        <rFont val="Calibri"/>
        <family val="2"/>
        <scheme val="minor"/>
      </rPr>
      <t>: É toda e qualquer construção, reconhecida pelos poderes públicos, constituída por duas ou mais unidades consumidoras, cujas áreas comuns, com consumo de energia, sejam juridicamente de responsabilidade do condomínio.</t>
    </r>
  </si>
  <si>
    <r>
      <rPr>
        <b/>
        <sz val="11"/>
        <color theme="1"/>
        <rFont val="Calibri"/>
        <family val="2"/>
        <scheme val="minor"/>
      </rPr>
      <t>Edificações Agrupadas ou Agrupamentos</t>
    </r>
    <r>
      <rPr>
        <sz val="11"/>
        <color theme="1"/>
        <rFont val="Calibri"/>
        <family val="2"/>
        <scheme val="minor"/>
      </rPr>
      <t>: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r>
  </si>
  <si>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</si>
  <si>
    <r>
      <rPr>
        <b/>
        <u/>
        <sz val="11"/>
        <color theme="1"/>
        <rFont val="Calibri"/>
        <family val="2"/>
        <scheme val="minor"/>
      </rPr>
      <t>Diante do exposto acima, será necessário apresentar documentação específica nos seguintes casos</t>
    </r>
    <r>
      <rPr>
        <sz val="11"/>
        <color theme="1"/>
        <rFont val="Calibri"/>
        <family val="2"/>
        <scheme val="minor"/>
      </rPr>
      <t>:</t>
    </r>
  </si>
  <si>
    <t>1 - ART ou TRT¹ do Responsável Técnico pelo projeto e instalação do sistema de microgeração.</t>
  </si>
  <si>
    <t>Observações:</t>
  </si>
  <si>
    <t>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</si>
  <si>
    <r>
      <t>Endereço de Correspondência</t>
    </r>
    <r>
      <rPr>
        <sz val="11"/>
        <color rgb="FFFF0000"/>
        <rFont val="Calibri"/>
        <family val="2"/>
        <scheme val="minor"/>
      </rPr>
      <t>*</t>
    </r>
    <r>
      <rPr>
        <sz val="11"/>
        <color theme="1"/>
        <rFont val="Calibri"/>
        <family val="2"/>
        <scheme val="minor"/>
      </rPr>
      <t>:</t>
    </r>
  </si>
  <si>
    <t>Nome do Consumidor ou Procurador Legal</t>
  </si>
  <si>
    <r>
      <t>Nome do Consumidor ou Procurador Legal</t>
    </r>
    <r>
      <rPr>
        <sz val="11"/>
        <color rgb="FFFF0000"/>
        <rFont val="Calibri"/>
        <family val="2"/>
        <scheme val="minor"/>
      </rPr>
      <t>*</t>
    </r>
    <r>
      <rPr>
        <sz val="11"/>
        <color theme="1"/>
        <rFont val="Calibri"/>
        <family val="2"/>
        <scheme val="minor"/>
      </rPr>
      <t>:</t>
    </r>
  </si>
  <si>
    <t>Endereço de Correspondência</t>
  </si>
  <si>
    <t>E-mail</t>
  </si>
  <si>
    <t>Tabela Disjuntores Geral</t>
  </si>
  <si>
    <t>Qte Disjuntor Geral:</t>
  </si>
  <si>
    <t>Qte Disjuntor Geral</t>
  </si>
  <si>
    <t>Valida o tipo de SE Nº 1 em ligação nova</t>
  </si>
  <si>
    <r>
      <t xml:space="preserve">O uso da subestação tipo Nº 1 foi descontinuado das normas Cemig, portanto </t>
    </r>
    <r>
      <rPr>
        <b/>
        <u/>
        <sz val="11"/>
        <color theme="1"/>
        <rFont val="Calibri"/>
        <family val="2"/>
        <scheme val="minor"/>
      </rPr>
      <t>NÃO</t>
    </r>
    <r>
      <rPr>
        <sz val="11"/>
        <color theme="1"/>
        <rFont val="Calibri"/>
        <family val="2"/>
        <scheme val="minor"/>
      </rPr>
      <t xml:space="preserve"> é permitida para ligação de novas Unidades Consumidoras usando esse padrão de construção</t>
    </r>
  </si>
  <si>
    <r>
      <t xml:space="preserve">    Local e data</t>
    </r>
    <r>
      <rPr>
        <b/>
        <sz val="11"/>
        <color rgb="FFFF0000"/>
        <rFont val="Calibri"/>
        <family val="2"/>
        <scheme val="minor"/>
      </rPr>
      <t>*</t>
    </r>
    <r>
      <rPr>
        <sz val="11"/>
        <color theme="1"/>
        <rFont val="Calibri"/>
        <family val="2"/>
        <scheme val="minor"/>
      </rPr>
      <t>:</t>
    </r>
  </si>
  <si>
    <t>Local e data</t>
  </si>
  <si>
    <t>Sinaliza tipo de SE</t>
  </si>
  <si>
    <t>Não</t>
  </si>
  <si>
    <t>Pot. Atual (kW)</t>
  </si>
  <si>
    <t>Identifica SE tipos Nº 2 ou Nº 4</t>
  </si>
  <si>
    <t>Identifica SE tipos Nº 1 ou Nº 5 ou Nº 8</t>
  </si>
  <si>
    <t>Indentifica SE tipo Nº 1</t>
  </si>
  <si>
    <t>Qte e potência do(s) transformador(es)</t>
  </si>
  <si>
    <t>TiposDisjuntores_Fases</t>
  </si>
  <si>
    <t>Sem Disj. Geral</t>
  </si>
  <si>
    <t>Disjuntor de Baixa Tensão</t>
  </si>
  <si>
    <t>Disjuntores das SE 1, 5 e 8</t>
  </si>
  <si>
    <t>Assinatura do Consumidor/Responsável Legal:</t>
  </si>
  <si>
    <r>
      <t>Celular</t>
    </r>
    <r>
      <rPr>
        <b/>
        <sz val="11"/>
        <color rgb="FFFF0000"/>
        <rFont val="Calibri"/>
        <family val="2"/>
        <scheme val="minor"/>
      </rPr>
      <t>*</t>
    </r>
    <r>
      <rPr>
        <sz val="11"/>
        <color theme="1"/>
        <rFont val="Calibri"/>
        <family val="2"/>
        <scheme val="minor"/>
      </rPr>
      <t>:</t>
    </r>
  </si>
  <si>
    <t>Celular</t>
  </si>
  <si>
    <r>
      <t>Celular</t>
    </r>
    <r>
      <rPr>
        <sz val="11"/>
        <color rgb="FFFF0000"/>
        <rFont val="Calibri"/>
        <family val="2"/>
        <scheme val="minor"/>
      </rPr>
      <t>*</t>
    </r>
    <r>
      <rPr>
        <sz val="11"/>
        <color theme="1"/>
        <rFont val="Calibri"/>
        <family val="2"/>
        <scheme val="minor"/>
      </rPr>
      <t>:</t>
    </r>
  </si>
  <si>
    <t>Valida o somatório das potências dos trafos em relação à Potência Ativa Instalada</t>
  </si>
  <si>
    <t>Carga Instalada (consumo próprio) (kW):</t>
  </si>
  <si>
    <t>Sem Alter. Carga</t>
  </si>
  <si>
    <t>Revisão</t>
  </si>
  <si>
    <t>Data</t>
  </si>
  <si>
    <t>Modificação</t>
  </si>
  <si>
    <t>i</t>
  </si>
  <si>
    <t>Tabela Disjuntores Revisada 06/10/2022</t>
  </si>
  <si>
    <t>Tabela Disjuntores Padronizados na ND 5.1</t>
  </si>
  <si>
    <t>Gerência de Processos Especiais de Expansão de Média e Baixa Tensão - EM/PE - Revisão i - 07/10/2022</t>
  </si>
  <si>
    <t>Atualização da carga de acordo com o disjuntor instalado
Criação da tabela de disjuntores padronizados
Alteração das fórmulas dos disjuntores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</si>
</sst>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lt;100000000000]000\.000\.000\-00;00\.000\.000\/0000\-00"/>
    <numFmt numFmtId="165" formatCode="\(##\)\ ####\-####"/>
    <numFmt numFmtId="166" formatCode="\(##\)\ #\ ####\-####"/>
    <numFmt numFmtId="167" formatCode="00000\-000"/>
  </numFmts>
  <fonts count="21" x14ac:knownFonts="1">
    <font>
      <sz val="11"/>
      <color theme="1"/>
      <name val="Calibri"/>
      <family val="2"/>
      <scheme val="minor"/>
    </font>
    <font>
      <sz val="11"/>
      <color indexed="10"/>
      <name val="Calibri"/>
      <family val="2"/>
    </font>
    <font>
      <b/>
      <sz val="11"/>
      <color indexed="8"/>
      <name val="Calibri"/>
      <family val="2"/>
    </font>
    <font>
      <sz val="11"/>
      <color rgb="FF0070C0"/>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0"/>
      <color theme="1"/>
      <name val="Calibri"/>
      <family val="2"/>
      <scheme val="minor"/>
    </font>
    <font>
      <sz val="8"/>
      <color rgb="FFFF0000"/>
      <name val="Calibri"/>
      <family val="2"/>
      <scheme val="minor"/>
    </font>
    <font>
      <b/>
      <sz val="14"/>
      <color theme="1"/>
      <name val="Calibri"/>
      <family val="2"/>
      <scheme val="minor"/>
    </font>
    <font>
      <sz val="12"/>
      <color theme="1"/>
      <name val="Calibri"/>
      <family val="2"/>
      <scheme val="minor"/>
    </font>
    <font>
      <sz val="10"/>
      <color theme="1"/>
      <name val="Times New Roman"/>
      <family val="1"/>
    </font>
    <font>
      <sz val="11"/>
      <color theme="8" tint="-0.249977111117893"/>
      <name val="Calibri"/>
      <family val="2"/>
      <scheme val="minor"/>
    </font>
    <font>
      <b/>
      <sz val="11"/>
      <color theme="1"/>
      <name val="Times New Roman"/>
      <family val="1"/>
    </font>
    <font>
      <b/>
      <sz val="11"/>
      <color rgb="FF0070C0"/>
      <name val="Calibri"/>
      <family val="2"/>
      <scheme val="minor"/>
    </font>
    <font>
      <sz val="8"/>
      <name val="Calibri"/>
      <family val="2"/>
      <scheme val="minor"/>
    </font>
    <font>
      <sz val="8"/>
      <color theme="1" tint="0.34998626667073579"/>
      <name val="Wingdings"/>
      <charset val="2"/>
    </font>
    <font>
      <vertAlign val="superscript"/>
      <sz val="11"/>
      <color theme="1"/>
      <name val="Calibri"/>
      <family val="2"/>
      <scheme val="minor"/>
    </font>
    <font>
      <b/>
      <u/>
      <sz val="11"/>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s>
  <borders count="29">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79"/>
      </right>
      <top/>
      <bottom/>
      <diagonal/>
    </border>
    <border>
      <left style="medium">
        <color theme="1" tint="0.34998626667073579"/>
      </left>
      <right/>
      <top style="medium">
        <color theme="1" tint="0.34998626667073579"/>
      </top>
      <bottom style="thin">
        <color theme="0" tint="-0.14996795556505021"/>
      </bottom>
      <diagonal/>
    </border>
    <border>
      <left/>
      <right/>
      <top style="medium">
        <color theme="1" tint="0.34998626667073579"/>
      </top>
      <bottom style="thin">
        <color theme="0" tint="-0.14996795556505021"/>
      </bottom>
      <diagonal/>
    </border>
    <border>
      <left/>
      <right style="thin">
        <color theme="0" tint="-0.14996795556505021"/>
      </right>
      <top style="medium">
        <color theme="1" tint="0.34998626667073579"/>
      </top>
      <bottom style="thin">
        <color theme="0" tint="-0.14996795556505021"/>
      </bottom>
      <diagonal/>
    </border>
    <border>
      <left style="medium">
        <color theme="1" tint="0.34998626667073579"/>
      </left>
      <right/>
      <top style="medium">
        <color theme="1" tint="0.34998626667073579"/>
      </top>
      <bottom style="thin">
        <color theme="0" tint="-0.14993743705557422"/>
      </bottom>
      <diagonal/>
    </border>
    <border>
      <left/>
      <right style="thin">
        <color theme="0" tint="-0.14993743705557422"/>
      </right>
      <top style="medium">
        <color theme="1" tint="0.34998626667073579"/>
      </top>
      <bottom style="thin">
        <color theme="0" tint="-0.14993743705557422"/>
      </bottom>
      <diagonal/>
    </border>
    <border>
      <left/>
      <right/>
      <top style="medium">
        <color theme="1" tint="0.34998626667073579"/>
      </top>
      <bottom style="thin">
        <color theme="0" tint="-0.14993743705557422"/>
      </bottom>
      <diagonal/>
    </border>
    <border>
      <left style="thin">
        <color theme="0" tint="-0.14996795556505021"/>
      </left>
      <right/>
      <top/>
      <bottom/>
      <diagonal/>
    </border>
    <border>
      <left style="thin">
        <color indexed="64"/>
      </left>
      <right style="thin">
        <color indexed="64"/>
      </right>
      <top style="thin">
        <color indexed="64"/>
      </top>
      <bottom style="thin">
        <color indexed="64"/>
      </bottom>
      <diagonal/>
    </border>
    <border>
      <left style="medium">
        <color theme="1" tint="0.34998626667073579"/>
      </left>
      <right/>
      <top style="medium">
        <color theme="1" tint="0.34998626667073579"/>
      </top>
      <bottom style="thin">
        <color theme="0" tint="-0.14990691854609822"/>
      </bottom>
      <diagonal/>
    </border>
    <border>
      <left/>
      <right/>
      <top style="medium">
        <color theme="1" tint="0.34998626667073579"/>
      </top>
      <bottom style="thin">
        <color theme="0" tint="-0.14990691854609822"/>
      </bottom>
      <diagonal/>
    </border>
    <border>
      <left style="medium">
        <color theme="1" tint="0.34998626667073579"/>
      </left>
      <right/>
      <top style="medium">
        <color theme="1" tint="0.34998626667073579"/>
      </top>
      <bottom style="medium">
        <color theme="0" tint="-0.14996795556505021"/>
      </bottom>
      <diagonal/>
    </border>
    <border>
      <left/>
      <right/>
      <top style="medium">
        <color theme="1" tint="0.34998626667073579"/>
      </top>
      <bottom style="medium">
        <color theme="0" tint="-0.14996795556505021"/>
      </bottom>
      <diagonal/>
    </border>
    <border>
      <left/>
      <right style="medium">
        <color theme="0" tint="-0.14996795556505021"/>
      </right>
      <top style="medium">
        <color theme="1" tint="0.34998626667073579"/>
      </top>
      <bottom style="medium">
        <color theme="0" tint="-0.14996795556505021"/>
      </bottom>
      <diagonal/>
    </border>
    <border>
      <left/>
      <right style="thin">
        <color theme="0" tint="-0.14996795556505021"/>
      </right>
      <top/>
      <bottom/>
      <diagonal/>
    </border>
    <border>
      <left/>
      <right/>
      <top style="thin">
        <color theme="0" tint="-0.14996795556505021"/>
      </top>
      <bottom/>
      <diagonal/>
    </border>
    <border>
      <left/>
      <right style="thin">
        <color theme="0" tint="-0.14990691854609822"/>
      </right>
      <top style="medium">
        <color theme="1" tint="0.34998626667073579"/>
      </top>
      <bottom style="thin">
        <color theme="0" tint="-0.14990691854609822"/>
      </bottom>
      <diagonal/>
    </border>
  </borders>
  <cellStyleXfs count="1">
    <xf numFmtId="0" fontId="0" fillId="0" borderId="0"/>
  </cellStyleXfs>
  <cellXfs count="199">
    <xf numFmtId="0" fontId="0" fillId="0" borderId="0" xfId="0"/>
    <xf numFmtId="0" fontId="0" fillId="0" borderId="1" xfId="0" applyBorder="1"/>
    <xf numFmtId="0" fontId="3" fillId="0" borderId="0" xfId="0" applyFont="1"/>
    <xf numFmtId="164" fontId="3" fillId="0" borderId="0" xfId="0" applyNumberFormat="1" applyFont="1"/>
    <xf numFmtId="164" fontId="3" fillId="0" borderId="0" xfId="0" applyNumberFormat="1" applyFont="1" applyAlignment="1">
      <alignment horizontal="left"/>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right"/>
    </xf>
    <xf numFmtId="0" fontId="0" fillId="0" borderId="2" xfId="0" applyBorder="1"/>
    <xf numFmtId="0" fontId="4" fillId="0" borderId="3"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3" fillId="0" borderId="0" xfId="0" applyFont="1" applyAlignment="1">
      <alignment horizontal="left"/>
    </xf>
    <xf numFmtId="0" fontId="0" fillId="0" borderId="0" xfId="0" applyAlignment="1">
      <alignment horizontal="left"/>
    </xf>
    <xf numFmtId="0" fontId="5" fillId="0" borderId="3" xfId="0" applyFont="1" applyBorder="1"/>
    <xf numFmtId="0" fontId="0" fillId="0" borderId="0" xfId="0" applyAlignment="1">
      <alignment horizontal="center"/>
    </xf>
    <xf numFmtId="0" fontId="0" fillId="0" borderId="12" xfId="0" applyBorder="1"/>
    <xf numFmtId="0" fontId="6" fillId="0" borderId="3" xfId="0" applyFont="1" applyBorder="1"/>
    <xf numFmtId="0" fontId="0" fillId="2" borderId="6" xfId="0" applyFill="1" applyBorder="1"/>
    <xf numFmtId="0" fontId="7" fillId="0" borderId="20" xfId="0" applyFont="1" applyBorder="1" applyAlignment="1">
      <alignment horizontal="center"/>
    </xf>
    <xf numFmtId="0" fontId="11" fillId="0" borderId="20" xfId="0" applyFont="1" applyBorder="1" applyAlignment="1">
      <alignment horizontal="center"/>
    </xf>
    <xf numFmtId="0" fontId="0" fillId="0" borderId="20" xfId="0" applyBorder="1" applyAlignment="1">
      <alignment horizontal="center"/>
    </xf>
    <xf numFmtId="0" fontId="10" fillId="0" borderId="20" xfId="0" applyFont="1" applyBorder="1"/>
    <xf numFmtId="0" fontId="12" fillId="0" borderId="0" xfId="0" applyFont="1" applyAlignment="1">
      <alignment vertical="center"/>
    </xf>
    <xf numFmtId="0" fontId="0" fillId="0" borderId="0" xfId="0" applyProtection="1">
      <protection hidden="1"/>
    </xf>
    <xf numFmtId="0" fontId="0" fillId="0" borderId="3" xfId="0" applyBorder="1" applyProtection="1">
      <protection hidden="1"/>
    </xf>
    <xf numFmtId="0" fontId="11" fillId="0" borderId="20" xfId="0" quotePrefix="1" applyFont="1" applyBorder="1" applyAlignment="1">
      <alignment horizontal="center"/>
    </xf>
    <xf numFmtId="0" fontId="14" fillId="0" borderId="0" xfId="0" applyFont="1"/>
    <xf numFmtId="0" fontId="0" fillId="0" borderId="11" xfId="0" applyBorder="1"/>
    <xf numFmtId="0" fontId="0" fillId="0" borderId="0" xfId="0" applyAlignment="1">
      <alignment horizontal="left" vertical="center"/>
    </xf>
    <xf numFmtId="0" fontId="0" fillId="2" borderId="5" xfId="0" applyFill="1" applyBorder="1"/>
    <xf numFmtId="0" fontId="0" fillId="0" borderId="3" xfId="0" applyBorder="1" applyAlignment="1">
      <alignment vertical="top"/>
    </xf>
    <xf numFmtId="0" fontId="0" fillId="0" borderId="0" xfId="0" applyAlignment="1">
      <alignment vertical="top"/>
    </xf>
    <xf numFmtId="0" fontId="5" fillId="0" borderId="3" xfId="0" applyFont="1" applyBorder="1" applyAlignment="1">
      <alignment horizontal="center"/>
    </xf>
    <xf numFmtId="0" fontId="5" fillId="0" borderId="0" xfId="0" applyFont="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7" fillId="0" borderId="8" xfId="0" applyFont="1" applyBorder="1" applyAlignment="1" applyProtection="1">
      <alignment vertical="center" wrapText="1"/>
      <protection hidden="1"/>
    </xf>
    <xf numFmtId="0" fontId="7" fillId="0" borderId="0" xfId="0" applyFont="1" applyAlignment="1" applyProtection="1">
      <alignment vertical="center" wrapText="1"/>
      <protection hidden="1"/>
    </xf>
    <xf numFmtId="0" fontId="0" fillId="0" borderId="0" xfId="0" applyAlignment="1" applyProtection="1">
      <alignment horizontal="center"/>
      <protection hidden="1"/>
    </xf>
    <xf numFmtId="0" fontId="17" fillId="0" borderId="0" xfId="0" quotePrefix="1" applyFont="1"/>
    <xf numFmtId="0" fontId="0" fillId="0" borderId="4" xfId="0" applyBorder="1" applyAlignment="1">
      <alignment horizontal="left" vertical="center"/>
    </xf>
    <xf numFmtId="0" fontId="0" fillId="0" borderId="3" xfId="0" applyBorder="1" applyAlignment="1">
      <alignmen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pplyProtection="1">
      <alignment horizontal="left" vertical="center" wrapText="1"/>
      <protection hidden="1"/>
    </xf>
    <xf numFmtId="0" fontId="0" fillId="0" borderId="0" xfId="0" applyAlignment="1" applyProtection="1">
      <alignment horizontal="left" vertical="center" wrapText="1"/>
      <protection hidden="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19" fillId="0" borderId="0" xfId="0" applyFont="1"/>
    <xf numFmtId="0" fontId="5" fillId="0" borderId="0" xfId="0" applyFont="1"/>
    <xf numFmtId="0" fontId="11" fillId="9" borderId="20" xfId="0" applyFont="1" applyFill="1" applyBorder="1" applyAlignment="1">
      <alignment horizontal="center"/>
    </xf>
    <xf numFmtId="0" fontId="0" fillId="9" borderId="20" xfId="0" applyFill="1" applyBorder="1" applyAlignment="1">
      <alignment horizontal="center"/>
    </xf>
    <xf numFmtId="0" fontId="0" fillId="9" borderId="0" xfId="0" applyFill="1"/>
    <xf numFmtId="165" fontId="3" fillId="0" borderId="0" xfId="0" applyNumberFormat="1" applyFont="1" applyAlignment="1">
      <alignment horizontal="left" vertical="center"/>
    </xf>
    <xf numFmtId="166" fontId="3" fillId="0" borderId="0" xfId="0" applyNumberFormat="1" applyFont="1" applyAlignment="1">
      <alignment horizontal="left"/>
    </xf>
    <xf numFmtId="0" fontId="3" fillId="0" borderId="0" xfId="0" applyFont="1" applyAlignment="1">
      <alignment vertical="center"/>
    </xf>
    <xf numFmtId="0" fontId="0" fillId="8" borderId="0" xfId="0" applyFill="1" applyAlignment="1">
      <alignment horizontal="center"/>
    </xf>
    <xf numFmtId="0" fontId="15" fillId="0" borderId="0" xfId="0" applyFont="1" applyAlignment="1">
      <alignment horizontal="left" vertical="center" shrinkToFit="1"/>
    </xf>
    <xf numFmtId="0" fontId="0" fillId="0" borderId="20" xfId="0" applyBorder="1" applyAlignment="1">
      <alignment horizontal="center" vertical="center"/>
    </xf>
    <xf numFmtId="14" fontId="0" fillId="0" borderId="20" xfId="0" applyNumberFormat="1" applyBorder="1" applyAlignment="1">
      <alignment horizontal="center" vertical="center"/>
    </xf>
    <xf numFmtId="0" fontId="0" fillId="0" borderId="20" xfId="0" applyBorder="1" applyAlignment="1">
      <alignment horizontal="center" vertical="center" wrapText="1"/>
    </xf>
    <xf numFmtId="0" fontId="5" fillId="10" borderId="20" xfId="0" applyFont="1" applyFill="1" applyBorder="1" applyAlignment="1">
      <alignment horizontal="center" vertical="center"/>
    </xf>
    <xf numFmtId="0" fontId="0" fillId="0" borderId="3" xfId="0" applyBorder="1" applyAlignment="1">
      <alignment horizontal="right" vertical="center" wrapText="1"/>
    </xf>
    <xf numFmtId="0" fontId="0" fillId="0" borderId="0" xfId="0" applyAlignment="1">
      <alignment horizontal="right" vertical="center" wrapText="1"/>
    </xf>
    <xf numFmtId="0" fontId="0" fillId="0" borderId="2" xfId="0" applyBorder="1" applyAlignment="1">
      <alignment horizontal="right" vertical="center" wrapText="1"/>
    </xf>
    <xf numFmtId="0" fontId="0" fillId="0" borderId="0" xfId="0" applyAlignment="1">
      <alignment horizontal="center"/>
    </xf>
    <xf numFmtId="0" fontId="0" fillId="0" borderId="12" xfId="0" applyBorder="1" applyAlignment="1">
      <alignment horizontal="center"/>
    </xf>
    <xf numFmtId="0" fontId="0" fillId="0" borderId="13"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14" xfId="0" applyBorder="1" applyAlignment="1" applyProtection="1">
      <alignment horizontal="center"/>
      <protection locked="0"/>
    </xf>
    <xf numFmtId="0" fontId="0" fillId="0" borderId="3" xfId="0" applyBorder="1" applyAlignment="1" applyProtection="1">
      <alignment horizontal="left"/>
      <protection hidden="1"/>
    </xf>
    <xf numFmtId="0" fontId="0" fillId="0" borderId="0" xfId="0" applyAlignment="1" applyProtection="1">
      <alignment horizontal="left"/>
      <protection hidden="1"/>
    </xf>
    <xf numFmtId="0" fontId="3" fillId="0" borderId="13" xfId="0" applyFont="1" applyBorder="1" applyAlignment="1" applyProtection="1">
      <alignment horizontal="center" vertical="center"/>
      <protection locked="0"/>
    </xf>
    <xf numFmtId="0" fontId="3" fillId="0" borderId="14" xfId="0"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0" fontId="15" fillId="0" borderId="13" xfId="0" applyFont="1" applyBorder="1" applyAlignment="1" applyProtection="1">
      <alignment horizontal="left" vertical="center" shrinkToFit="1"/>
      <protection locked="0"/>
    </xf>
    <xf numFmtId="0" fontId="15" fillId="0" borderId="14" xfId="0" applyFont="1" applyBorder="1" applyAlignment="1" applyProtection="1">
      <alignment horizontal="left" vertical="center" shrinkToFit="1"/>
      <protection locked="0"/>
    </xf>
    <xf numFmtId="0" fontId="15" fillId="0" borderId="15" xfId="0" applyFont="1" applyBorder="1" applyAlignment="1" applyProtection="1">
      <alignment horizontal="left" vertical="center" shrinkToFit="1"/>
      <protection locked="0"/>
    </xf>
    <xf numFmtId="0" fontId="5" fillId="0" borderId="4" xfId="0" applyFont="1" applyBorder="1" applyAlignment="1">
      <alignment horizontal="center"/>
    </xf>
    <xf numFmtId="0" fontId="5" fillId="0" borderId="1" xfId="0" applyFont="1" applyBorder="1" applyAlignment="1">
      <alignment horizontal="center"/>
    </xf>
    <xf numFmtId="0" fontId="5" fillId="6" borderId="0" xfId="0" applyFont="1" applyFill="1" applyAlignment="1">
      <alignment horizontal="center" vertical="center"/>
    </xf>
    <xf numFmtId="0" fontId="3" fillId="0" borderId="16" xfId="0"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0" fontId="15" fillId="0" borderId="13" xfId="0" applyFont="1" applyBorder="1" applyAlignment="1" applyProtection="1">
      <alignment horizontal="left"/>
      <protection locked="0"/>
    </xf>
    <xf numFmtId="0" fontId="15" fillId="0" borderId="14" xfId="0" applyFont="1" applyBorder="1" applyAlignment="1" applyProtection="1">
      <alignment horizontal="left"/>
      <protection locked="0"/>
    </xf>
    <xf numFmtId="0" fontId="15" fillId="0" borderId="15" xfId="0" applyFont="1" applyBorder="1" applyAlignment="1" applyProtection="1">
      <alignment horizontal="left"/>
      <protection locked="0"/>
    </xf>
    <xf numFmtId="0" fontId="3" fillId="0" borderId="13" xfId="0" applyFont="1" applyBorder="1" applyAlignment="1" applyProtection="1">
      <alignment horizontal="center"/>
      <protection locked="0"/>
    </xf>
    <xf numFmtId="0" fontId="3" fillId="0" borderId="14" xfId="0" applyFont="1" applyBorder="1" applyAlignment="1" applyProtection="1">
      <alignment horizontal="center"/>
      <protection locked="0"/>
    </xf>
    <xf numFmtId="0" fontId="3" fillId="0" borderId="15" xfId="0" applyFont="1" applyBorder="1" applyAlignment="1" applyProtection="1">
      <alignment horizontal="center"/>
      <protection locked="0"/>
    </xf>
    <xf numFmtId="0" fontId="0" fillId="0" borderId="0" xfId="0" applyAlignment="1">
      <alignment horizontal="left"/>
    </xf>
    <xf numFmtId="0" fontId="0" fillId="0" borderId="26" xfId="0" applyBorder="1" applyAlignment="1">
      <alignment horizontal="left"/>
    </xf>
    <xf numFmtId="0" fontId="13" fillId="0" borderId="13" xfId="0" applyFont="1" applyBorder="1" applyAlignment="1" applyProtection="1">
      <alignment horizontal="center"/>
      <protection locked="0"/>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3" fillId="0" borderId="13" xfId="0" applyFont="1" applyBorder="1" applyAlignment="1" applyProtection="1">
      <alignment horizontal="center" shrinkToFit="1"/>
      <protection locked="0"/>
    </xf>
    <xf numFmtId="0" fontId="3" fillId="0" borderId="14" xfId="0" applyFont="1" applyBorder="1" applyAlignment="1" applyProtection="1">
      <alignment horizontal="center" shrinkToFit="1"/>
      <protection locked="0"/>
    </xf>
    <xf numFmtId="0" fontId="3" fillId="0" borderId="15" xfId="0" applyFont="1" applyBorder="1" applyAlignment="1" applyProtection="1">
      <alignment horizontal="center" shrinkToFit="1"/>
      <protection locked="0"/>
    </xf>
    <xf numFmtId="0" fontId="3" fillId="0" borderId="23" xfId="0" applyFont="1" applyBorder="1" applyAlignment="1" applyProtection="1">
      <alignment horizontal="left" vertical="center"/>
      <protection locked="0"/>
    </xf>
    <xf numFmtId="0" fontId="3" fillId="0" borderId="24" xfId="0" applyFont="1" applyBorder="1" applyAlignment="1" applyProtection="1">
      <alignment horizontal="left" vertical="center"/>
      <protection locked="0"/>
    </xf>
    <xf numFmtId="0" fontId="3" fillId="0" borderId="25" xfId="0" applyFont="1" applyBorder="1" applyAlignment="1" applyProtection="1">
      <alignment horizontal="left" vertical="center"/>
      <protection locked="0"/>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8" xfId="0" applyFont="1" applyBorder="1" applyAlignment="1" applyProtection="1">
      <alignment horizontal="center" vertical="center"/>
      <protection locked="0"/>
    </xf>
    <xf numFmtId="0" fontId="0" fillId="0" borderId="0" xfId="0" applyAlignment="1">
      <alignment horizontal="right"/>
    </xf>
    <xf numFmtId="0" fontId="0" fillId="0" borderId="12" xfId="0" applyBorder="1" applyAlignment="1">
      <alignment horizontal="right"/>
    </xf>
    <xf numFmtId="0" fontId="3" fillId="0" borderId="13" xfId="0" applyFont="1" applyBorder="1" applyAlignment="1" applyProtection="1">
      <alignment horizontal="left" vertical="center"/>
      <protection locked="0"/>
    </xf>
    <xf numFmtId="0" fontId="3" fillId="0" borderId="14" xfId="0" applyFont="1" applyBorder="1" applyAlignment="1" applyProtection="1">
      <alignment horizontal="left" vertical="center"/>
      <protection locked="0"/>
    </xf>
    <xf numFmtId="0" fontId="3" fillId="0" borderId="15" xfId="0" applyFont="1" applyBorder="1" applyAlignment="1" applyProtection="1">
      <alignment horizontal="left" vertical="center"/>
      <protection locked="0"/>
    </xf>
    <xf numFmtId="167" fontId="3" fillId="0" borderId="13" xfId="0" applyNumberFormat="1" applyFont="1" applyBorder="1" applyAlignment="1" applyProtection="1">
      <alignment horizontal="center" vertical="center"/>
      <protection locked="0"/>
    </xf>
    <xf numFmtId="167" fontId="3" fillId="0" borderId="14" xfId="0" applyNumberFormat="1" applyFont="1" applyBorder="1" applyAlignment="1" applyProtection="1">
      <alignment horizontal="center" vertical="center"/>
      <protection locked="0"/>
    </xf>
    <xf numFmtId="167" fontId="3" fillId="0" borderId="15" xfId="0" applyNumberFormat="1" applyFont="1" applyBorder="1" applyAlignment="1" applyProtection="1">
      <alignment horizontal="center" vertical="center"/>
      <protection locked="0"/>
    </xf>
    <xf numFmtId="0" fontId="3" fillId="0" borderId="13" xfId="0" applyFont="1" applyBorder="1" applyAlignment="1" applyProtection="1">
      <alignment horizontal="left"/>
      <protection locked="0"/>
    </xf>
    <xf numFmtId="0" fontId="3" fillId="0" borderId="14" xfId="0" applyFont="1" applyBorder="1" applyAlignment="1" applyProtection="1">
      <alignment horizontal="left"/>
      <protection locked="0"/>
    </xf>
    <xf numFmtId="0" fontId="3" fillId="0" borderId="15" xfId="0" applyFont="1" applyBorder="1" applyAlignment="1" applyProtection="1">
      <alignment horizontal="left"/>
      <protection locked="0"/>
    </xf>
    <xf numFmtId="164" fontId="3" fillId="0" borderId="13" xfId="0" applyNumberFormat="1" applyFont="1" applyBorder="1" applyAlignment="1" applyProtection="1">
      <alignment horizontal="left"/>
      <protection locked="0"/>
    </xf>
    <xf numFmtId="164" fontId="3" fillId="0" borderId="14" xfId="0" applyNumberFormat="1" applyFont="1" applyBorder="1" applyAlignment="1" applyProtection="1">
      <alignment horizontal="left"/>
      <protection locked="0"/>
    </xf>
    <xf numFmtId="164" fontId="3" fillId="0" borderId="15" xfId="0" applyNumberFormat="1" applyFont="1" applyBorder="1" applyAlignment="1" applyProtection="1">
      <alignment horizontal="left"/>
      <protection locked="0"/>
    </xf>
    <xf numFmtId="0" fontId="4" fillId="2" borderId="4" xfId="0" applyFont="1" applyFill="1" applyBorder="1" applyAlignment="1">
      <alignment horizontal="center"/>
    </xf>
    <xf numFmtId="0" fontId="4" fillId="2" borderId="1" xfId="0" applyFont="1" applyFill="1" applyBorder="1" applyAlignment="1">
      <alignment horizontal="center"/>
    </xf>
    <xf numFmtId="165" fontId="3" fillId="0" borderId="13" xfId="0" applyNumberFormat="1" applyFont="1" applyBorder="1" applyAlignment="1" applyProtection="1">
      <alignment horizontal="left" vertical="center"/>
      <protection locked="0"/>
    </xf>
    <xf numFmtId="165" fontId="3" fillId="0" borderId="14" xfId="0" applyNumberFormat="1" applyFont="1" applyBorder="1" applyAlignment="1" applyProtection="1">
      <alignment horizontal="left" vertical="center"/>
      <protection locked="0"/>
    </xf>
    <xf numFmtId="165" fontId="3" fillId="0" borderId="15" xfId="0" applyNumberFormat="1" applyFont="1" applyBorder="1" applyAlignment="1" applyProtection="1">
      <alignment horizontal="left" vertical="center"/>
      <protection locked="0"/>
    </xf>
    <xf numFmtId="0" fontId="3" fillId="0" borderId="16" xfId="0" applyFont="1" applyBorder="1" applyAlignment="1" applyProtection="1">
      <alignment horizontal="center"/>
      <protection locked="0"/>
    </xf>
    <xf numFmtId="0" fontId="3" fillId="0" borderId="17" xfId="0" applyFont="1" applyBorder="1" applyAlignment="1" applyProtection="1">
      <alignment horizontal="center"/>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166" fontId="3" fillId="0" borderId="13" xfId="0" applyNumberFormat="1" applyFont="1" applyBorder="1" applyAlignment="1" applyProtection="1">
      <alignment horizontal="left"/>
      <protection locked="0"/>
    </xf>
    <xf numFmtId="166" fontId="3" fillId="0" borderId="14" xfId="0" applyNumberFormat="1" applyFont="1" applyBorder="1" applyAlignment="1" applyProtection="1">
      <alignment horizontal="left"/>
      <protection locked="0"/>
    </xf>
    <xf numFmtId="166" fontId="3" fillId="0" borderId="15" xfId="0" applyNumberFormat="1" applyFont="1" applyBorder="1" applyAlignment="1" applyProtection="1">
      <alignment horizontal="left"/>
      <protection locked="0"/>
    </xf>
    <xf numFmtId="0" fontId="3" fillId="3" borderId="16" xfId="0" applyFont="1" applyFill="1" applyBorder="1" applyAlignment="1" applyProtection="1">
      <alignment horizontal="center"/>
      <protection hidden="1"/>
    </xf>
    <xf numFmtId="0" fontId="3" fillId="3" borderId="18" xfId="0" applyFont="1" applyFill="1" applyBorder="1" applyAlignment="1" applyProtection="1">
      <alignment horizontal="center"/>
      <protection hidden="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5" borderId="0" xfId="0" applyFill="1" applyAlignment="1">
      <alignment horizontal="left"/>
    </xf>
    <xf numFmtId="0" fontId="0" fillId="0" borderId="11" xfId="0" applyBorder="1" applyAlignment="1">
      <alignment horizontal="left"/>
    </xf>
    <xf numFmtId="0" fontId="0" fillId="0" borderId="6" xfId="0" applyBorder="1" applyAlignment="1">
      <alignment horizontal="left"/>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center"/>
    </xf>
    <xf numFmtId="0" fontId="4" fillId="2" borderId="20" xfId="0" applyFont="1" applyFill="1" applyBorder="1" applyAlignment="1">
      <alignment horizontal="center"/>
    </xf>
    <xf numFmtId="0" fontId="0" fillId="0" borderId="1" xfId="0" applyBorder="1" applyAlignment="1">
      <alignment horizontal="center" vertical="top"/>
    </xf>
    <xf numFmtId="0" fontId="0" fillId="0" borderId="27" xfId="0" applyBorder="1" applyAlignment="1">
      <alignment horizontal="left" vertical="top"/>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6" xfId="0" applyFont="1" applyFill="1" applyBorder="1" applyAlignment="1">
      <alignment horizontal="center"/>
    </xf>
    <xf numFmtId="0" fontId="0" fillId="0" borderId="3" xfId="0" applyBorder="1" applyAlignment="1" applyProtection="1">
      <alignment horizontal="left" vertical="center" wrapText="1"/>
      <protection hidden="1"/>
    </xf>
    <xf numFmtId="0" fontId="0" fillId="0" borderId="0" xfId="0" applyAlignment="1" applyProtection="1">
      <alignment horizontal="left" vertical="center" wrapText="1"/>
      <protection hidden="1"/>
    </xf>
    <xf numFmtId="0" fontId="0" fillId="0" borderId="3" xfId="0" applyBorder="1" applyAlignment="1">
      <alignment horizontal="left" vertical="top" wrapText="1"/>
    </xf>
    <xf numFmtId="0" fontId="0" fillId="0" borderId="0" xfId="0" applyAlignment="1">
      <alignment horizontal="left" vertical="top" wrapText="1"/>
    </xf>
    <xf numFmtId="0" fontId="0" fillId="0" borderId="21" xfId="0" applyBorder="1" applyAlignment="1" applyProtection="1">
      <alignment horizontal="center"/>
      <protection locked="0"/>
    </xf>
    <xf numFmtId="0" fontId="0" fillId="0" borderId="22" xfId="0" applyBorder="1" applyAlignment="1" applyProtection="1">
      <alignment horizontal="center"/>
      <protection locked="0"/>
    </xf>
    <xf numFmtId="0" fontId="0" fillId="0" borderId="28" xfId="0" applyBorder="1" applyAlignment="1" applyProtection="1">
      <alignment horizontal="center"/>
      <protection locked="0"/>
    </xf>
    <xf numFmtId="0" fontId="7" fillId="0" borderId="8" xfId="0" applyFont="1" applyBorder="1" applyAlignment="1" applyProtection="1">
      <alignment horizontal="center" vertical="center" wrapText="1"/>
      <protection hidden="1"/>
    </xf>
    <xf numFmtId="0" fontId="7" fillId="0" borderId="0" xfId="0" applyFont="1" applyAlignment="1" applyProtection="1">
      <alignment horizontal="center" vertical="center" wrapText="1"/>
      <protection hidden="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8" fillId="0" borderId="1" xfId="0" applyFont="1" applyBorder="1" applyAlignment="1">
      <alignment horizontal="center" vertical="center"/>
    </xf>
    <xf numFmtId="0" fontId="3" fillId="0" borderId="16" xfId="0" applyFont="1" applyBorder="1" applyAlignment="1" applyProtection="1">
      <alignment horizontal="left"/>
      <protection locked="0"/>
    </xf>
    <xf numFmtId="0" fontId="3" fillId="0" borderId="18" xfId="0" applyFont="1" applyBorder="1" applyAlignment="1" applyProtection="1">
      <alignment horizontal="left"/>
      <protection locked="0"/>
    </xf>
    <xf numFmtId="0" fontId="3" fillId="0" borderId="17" xfId="0" applyFont="1" applyBorder="1" applyAlignment="1" applyProtection="1">
      <alignment horizontal="left"/>
      <protection locked="0"/>
    </xf>
    <xf numFmtId="0" fontId="3" fillId="4" borderId="13" xfId="0" applyFont="1" applyFill="1" applyBorder="1" applyAlignment="1" applyProtection="1">
      <alignment horizontal="center" vertical="center"/>
      <protection locked="0"/>
    </xf>
    <xf numFmtId="0" fontId="3" fillId="4" borderId="14" xfId="0" applyFont="1" applyFill="1" applyBorder="1" applyAlignment="1" applyProtection="1">
      <alignment horizontal="center" vertical="center"/>
      <protection locked="0"/>
    </xf>
    <xf numFmtId="0" fontId="3" fillId="4" borderId="15" xfId="0" applyFont="1" applyFill="1" applyBorder="1" applyAlignment="1" applyProtection="1">
      <alignment horizontal="center" vertical="center"/>
      <protection locked="0"/>
    </xf>
    <xf numFmtId="0" fontId="3" fillId="4" borderId="16" xfId="0" applyFont="1" applyFill="1" applyBorder="1" applyAlignment="1" applyProtection="1">
      <alignment horizontal="center"/>
      <protection locked="0"/>
    </xf>
    <xf numFmtId="0" fontId="3" fillId="4" borderId="17" xfId="0" applyFont="1" applyFill="1" applyBorder="1" applyAlignment="1" applyProtection="1">
      <alignment horizontal="center"/>
      <protection locked="0"/>
    </xf>
    <xf numFmtId="0" fontId="0" fillId="0" borderId="19" xfId="0" applyBorder="1" applyAlignment="1">
      <alignment horizontal="right"/>
    </xf>
    <xf numFmtId="0" fontId="7" fillId="0" borderId="0" xfId="0" applyFont="1" applyAlignment="1" applyProtection="1">
      <alignment horizontal="center" vertical="center" shrinkToFit="1"/>
      <protection hidden="1"/>
    </xf>
    <xf numFmtId="0" fontId="9" fillId="0" borderId="0" xfId="0" applyFont="1" applyAlignment="1">
      <alignment horizontal="center" vertical="center"/>
    </xf>
    <xf numFmtId="0" fontId="0" fillId="0" borderId="0" xfId="0" applyAlignment="1">
      <alignment horizontal="left" wrapText="1"/>
    </xf>
    <xf numFmtId="0" fontId="0" fillId="0" borderId="0" xfId="0" applyAlignment="1">
      <alignment wrapText="1"/>
    </xf>
    <xf numFmtId="0" fontId="0" fillId="0" borderId="11" xfId="0" applyBorder="1" applyAlignment="1">
      <alignment horizontal="center"/>
    </xf>
    <xf numFmtId="0" fontId="0" fillId="0" borderId="10" xfId="0" applyBorder="1" applyAlignment="1">
      <alignment horizontal="center"/>
    </xf>
    <xf numFmtId="0" fontId="0" fillId="7" borderId="11" xfId="0" applyFill="1" applyBorder="1" applyAlignment="1">
      <alignment horizontal="center"/>
    </xf>
    <xf numFmtId="0" fontId="0" fillId="7" borderId="10" xfId="0" applyFill="1" applyBorder="1" applyAlignment="1">
      <alignment horizontal="center"/>
    </xf>
    <xf numFmtId="0" fontId="7" fillId="0" borderId="20" xfId="0" applyFont="1" applyBorder="1" applyAlignment="1">
      <alignment horizontal="center"/>
    </xf>
    <xf numFmtId="0" fontId="7" fillId="0" borderId="20" xfId="0" applyFont="1" applyBorder="1" applyAlignment="1">
      <alignment horizontal="center" vertical="center"/>
    </xf>
    <xf numFmtId="0" fontId="10" fillId="0" borderId="20" xfId="0" applyFont="1" applyBorder="1" applyAlignment="1">
      <alignment horizontal="center"/>
    </xf>
  </cellXfs>
  <cellStyles count="1">
    <cellStyle name="Normal" xfId="0" builtinId="0"/>
  </cellStyles>
  <dxfs count="43">
    <dxf>
      <font>
        <b/>
        <i val="0"/>
        <color theme="0"/>
      </font>
      <fill>
        <patternFill>
          <bgColor rgb="FFFF0000"/>
        </patternFill>
      </fill>
    </dxf>
    <dxf>
      <font>
        <b/>
        <i val="0"/>
        <color theme="0"/>
      </font>
      <fill>
        <patternFill>
          <bgColor rgb="FFFF0000"/>
        </patternFill>
      </fill>
    </dxf>
    <dxf>
      <font>
        <b/>
        <i/>
        <color theme="0"/>
      </font>
      <fill>
        <patternFill>
          <bgColor rgb="FFFF0000"/>
        </patternFill>
      </fill>
    </dxf>
    <dxf>
      <font>
        <b/>
        <i/>
        <color theme="0"/>
      </font>
      <fill>
        <patternFill>
          <bgColor rgb="FFFF0000"/>
        </patternFill>
      </fill>
    </dxf>
    <dxf>
      <font>
        <b/>
        <i val="0"/>
        <color theme="0"/>
      </font>
      <fill>
        <patternFill>
          <bgColor rgb="FFFF0000"/>
        </patternFill>
      </fill>
    </dxf>
    <dxf>
      <font>
        <b/>
        <i val="0"/>
        <color theme="0"/>
      </font>
      <fill>
        <patternFill>
          <bgColor rgb="FFFF0000"/>
        </patternFill>
      </fill>
    </dxf>
    <dxf>
      <font>
        <b/>
        <i/>
        <color theme="0"/>
      </font>
      <fill>
        <patternFill>
          <bgColor rgb="FFFF0000"/>
        </patternFill>
      </fill>
    </dxf>
    <dxf>
      <font>
        <b/>
        <i val="0"/>
        <color theme="0"/>
      </font>
      <fill>
        <patternFill>
          <bgColor rgb="FFFF0000"/>
        </patternFill>
      </fill>
    </dxf>
    <dxf>
      <font>
        <color theme="0"/>
      </font>
      <border>
        <left/>
        <right/>
        <top/>
        <bottom/>
        <vertical/>
        <horizontal/>
      </border>
    </dxf>
    <dxf>
      <font>
        <b/>
        <i val="0"/>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right/>
        <top/>
        <bottom/>
        <vertical/>
        <horizontal/>
      </border>
    </dxf>
    <dxf>
      <font>
        <color theme="0"/>
      </font>
      <fill>
        <patternFill>
          <bgColor theme="0"/>
        </patternFill>
      </fill>
      <border>
        <left/>
        <right style="thin">
          <color theme="1" tint="0.34998626667073579"/>
        </right>
        <top/>
        <bottom/>
        <vertical/>
        <horizontal/>
      </border>
    </dxf>
    <dxf>
      <font>
        <color theme="0"/>
      </font>
      <fill>
        <patternFill>
          <bgColor theme="0"/>
        </patternFill>
      </fill>
      <border>
        <left/>
        <right/>
        <top/>
        <bottom/>
        <vertical/>
        <horizontal/>
      </border>
    </dxf>
    <dxf>
      <font>
        <b/>
        <i val="0"/>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font>
        <color theme="0"/>
      </font>
      <fill>
        <patternFill>
          <bgColor theme="0"/>
        </patternFill>
      </fill>
      <border>
        <left/>
        <right/>
        <top/>
        <bottom/>
        <vertical/>
        <horizontal/>
      </border>
    </dxf>
    <dxf>
      <border>
        <right style="thin">
          <color auto="1"/>
        </right>
        <vertical/>
        <horizontal/>
      </border>
    </dxf>
    <dxf>
      <font>
        <color theme="0" tint="-4.9989318521683403E-2"/>
      </font>
      <fill>
        <patternFill>
          <bgColor theme="0" tint="-4.9989318521683403E-2"/>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border>
        <left/>
        <right/>
        <top/>
        <bottom/>
        <vertical/>
        <horizontal/>
      </border>
    </dxf>
    <dxf>
      <font>
        <color theme="0"/>
      </font>
      <fill>
        <patternFill>
          <bgColor theme="0"/>
        </patternFill>
      </fill>
    </dxf>
    <dxf>
      <border>
        <right style="thin">
          <color auto="1"/>
        </right>
        <vertical/>
        <horizontal/>
      </border>
    </dxf>
    <dxf>
      <font>
        <color theme="0"/>
      </font>
      <fill>
        <patternFill>
          <bgColor theme="0"/>
        </patternFill>
      </fill>
    </dxf>
    <dxf>
      <font>
        <color rgb="FF9C0006"/>
      </font>
      <fill>
        <patternFill>
          <bgColor rgb="FFFFC7CE"/>
        </patternFill>
      </fill>
    </dxf>
    <dxf>
      <border>
        <left/>
        <right/>
        <top/>
        <bottom/>
      </border>
    </dxf>
    <dxf>
      <font>
        <color theme="0"/>
      </font>
      <fill>
        <patternFill>
          <bgColor theme="0"/>
        </patternFill>
      </fill>
      <border>
        <left/>
        <right/>
        <top/>
        <bottom/>
      </border>
    </dxf>
    <dxf>
      <font>
        <color theme="0"/>
      </font>
      <border>
        <left/>
        <right/>
        <top/>
        <bottom/>
      </border>
    </dxf>
  </dxfs>
  <tableStyles count="0" defaultTableStyle="TableStyleMedium2" defaultPivotStyle="PivotStyleMedium9"/>
  <colors>
    <mruColors>
      <color rgb="FFFBC8AB"/>
      <color rgb="FFF9B691"/>
      <color rgb="FFF69660"/>
      <color rgb="FFF476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1</xdr:row>
      <xdr:rowOff>57150</xdr:rowOff>
    </xdr:from>
    <xdr:to>
      <xdr:col>9</xdr:col>
      <xdr:colOff>19050</xdr:colOff>
      <xdr:row>4</xdr:row>
      <xdr:rowOff>133350</xdr:rowOff>
    </xdr:to>
    <xdr:pic>
      <xdr:nvPicPr>
        <xdr:cNvPr id="1026" name="Imagem 2">
          <a:extLst>
            <a:ext uri="{FF2B5EF4-FFF2-40B4-BE49-F238E27FC236}">
              <a16:creationId xmlns:a16="http://schemas.microsoft.com/office/drawing/2014/main" id="{3D3696E7-A0BC-74E9-54AC-CF5EEE06A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247650"/>
          <a:ext cx="13430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142875</xdr:colOff>
      <xdr:row>164</xdr:row>
      <xdr:rowOff>171450</xdr:rowOff>
    </xdr:from>
    <xdr:to>
      <xdr:col>40</xdr:col>
      <xdr:colOff>57150</xdr:colOff>
      <xdr:row>168</xdr:row>
      <xdr:rowOff>39370</xdr:rowOff>
    </xdr:to>
    <xdr:pic>
      <xdr:nvPicPr>
        <xdr:cNvPr id="2" name="Imagem 1">
          <a:extLst>
            <a:ext uri="{FF2B5EF4-FFF2-40B4-BE49-F238E27FC236}">
              <a16:creationId xmlns:a16="http://schemas.microsoft.com/office/drawing/2014/main" id="{D5C30970-A153-8F20-E830-CD2AD5713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5" y="20202525"/>
          <a:ext cx="2162175" cy="515620"/>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tabColor rgb="FF00B050"/>
    <pageSetUpPr fitToPage="1"/>
  </sheetPr>
  <dimension ref="A2:AX168"/>
  <sheetViews>
    <sheetView showGridLines="0" showRowColHeaders="0" tabSelected="1" zoomScaleNormal="100" workbookViewId="0">
      <pane ySplit="9" topLeftCell="A148" activePane="bottomLeft" state="frozen"/>
      <selection pane="bottomLeft" activeCell="C167" sqref="C167:T167"/>
    </sheetView>
  </sheetViews>
  <sheetFormatPr defaultColWidth="0" defaultRowHeight="15" x14ac:dyDescent="0.25"/>
  <cols>
    <col min="1" max="30" width="2.7109375" customWidth="1"/>
    <col min="31" max="31" width="3.85546875" customWidth="1"/>
    <col min="32" max="43" width="2.7109375" customWidth="1"/>
    <col min="44" max="44" width="3.42578125" customWidth="1"/>
    <col min="45" max="45" width="3.140625" customWidth="1"/>
    <col min="46" max="48" width="2.7109375" customWidth="1"/>
    <col min="49" max="49" width="0.7109375" customWidth="1"/>
    <col min="50" max="50" width="2.7109375" customWidth="1"/>
    <col min="51" max="16384" width="2.7109375" hidden="1"/>
  </cols>
  <sheetData>
    <row r="2" spans="2:49" ht="15" customHeight="1" x14ac:dyDescent="0.25">
      <c r="B2" s="13"/>
      <c r="C2" s="14"/>
      <c r="D2" s="14"/>
      <c r="E2" s="14"/>
      <c r="F2" s="14"/>
      <c r="G2" s="14"/>
      <c r="H2" s="14"/>
      <c r="I2" s="14"/>
      <c r="J2" s="14"/>
      <c r="K2" s="14"/>
      <c r="L2" s="170" t="str">
        <f>"      FORMULÁRIO DE SOLICITAÇÃO DE ACESSO PARA MICROGERAÇÃO DISTRIBUÍDA "&amp;IF(OR(AT59=0,AT59=""),"",IF(AT59&lt;=10," COM POTÊNCIA IGUAL OU INFERIOR A 10kW     "," COM POTÊNCIA SUPERIOR A 10 KW      "))</f>
        <v xml:space="preserve">      FORMULÁRIO DE SOLICITAÇÃO DE ACESSO PARA MICROGERAÇÃO DISTRIBUÍDA </v>
      </c>
      <c r="M2" s="170"/>
      <c r="N2" s="170"/>
      <c r="O2" s="170"/>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c r="AQ2" s="170"/>
      <c r="AR2" s="170"/>
      <c r="AS2" s="170"/>
      <c r="AT2" s="41"/>
      <c r="AU2" s="41"/>
      <c r="AV2" s="41"/>
      <c r="AW2" s="15"/>
    </row>
    <row r="3" spans="2:49" ht="15" customHeight="1" x14ac:dyDescent="0.25">
      <c r="B3" s="10"/>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42"/>
      <c r="AU3" s="42"/>
      <c r="AV3" s="42"/>
      <c r="AW3" s="8"/>
    </row>
    <row r="4" spans="2:49" ht="15" customHeight="1" x14ac:dyDescent="0.25">
      <c r="B4" s="10"/>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42"/>
      <c r="AU4" s="42"/>
      <c r="AV4" s="42"/>
      <c r="AW4" s="8"/>
    </row>
    <row r="5" spans="2:49" x14ac:dyDescent="0.25">
      <c r="B5" s="11"/>
      <c r="C5" s="1"/>
      <c r="D5" s="1"/>
      <c r="E5" s="1"/>
      <c r="F5" s="1"/>
      <c r="G5" s="1"/>
      <c r="H5" s="1"/>
      <c r="I5" s="1"/>
      <c r="J5" s="1"/>
      <c r="K5" s="1"/>
      <c r="L5" s="178" t="s">
        <v>294</v>
      </c>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2"/>
    </row>
    <row r="6" spans="2:49" ht="3" customHeight="1" x14ac:dyDescent="0.25"/>
    <row r="7" spans="2:49" s="56" customFormat="1" ht="9" customHeight="1" x14ac:dyDescent="0.25">
      <c r="B7" s="188" t="str">
        <f>Mensagem_Erro</f>
        <v>O campo "Número do Cliente" deve ser preenchido.</v>
      </c>
      <c r="C7" s="188"/>
      <c r="D7" s="188"/>
      <c r="E7" s="188"/>
      <c r="F7" s="18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88"/>
      <c r="AW7" s="188"/>
    </row>
    <row r="8" spans="2:49" s="56" customFormat="1" ht="9" customHeight="1" x14ac:dyDescent="0.25">
      <c r="B8" s="188"/>
      <c r="C8" s="188"/>
      <c r="D8" s="188"/>
      <c r="E8" s="188"/>
      <c r="F8" s="188"/>
      <c r="G8" s="188"/>
      <c r="H8" s="188"/>
      <c r="I8" s="188"/>
      <c r="J8" s="188"/>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8"/>
      <c r="AU8" s="188"/>
      <c r="AV8" s="188"/>
      <c r="AW8" s="188"/>
    </row>
    <row r="9" spans="2:49" ht="3" customHeight="1" x14ac:dyDescent="0.25"/>
    <row r="10" spans="2:49" x14ac:dyDescent="0.25">
      <c r="B10" s="160" t="s">
        <v>0</v>
      </c>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22"/>
    </row>
    <row r="11" spans="2:49" ht="3" customHeight="1" thickBot="1" x14ac:dyDescent="0.3">
      <c r="B11" s="39"/>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15"/>
    </row>
    <row r="12" spans="2:49" x14ac:dyDescent="0.25">
      <c r="B12" s="10" t="s">
        <v>19</v>
      </c>
      <c r="I12" s="79"/>
      <c r="J12" s="80"/>
      <c r="K12" s="80"/>
      <c r="L12" s="80"/>
      <c r="M12" s="81"/>
      <c r="Y12" s="110" t="s">
        <v>6</v>
      </c>
      <c r="Z12" s="110"/>
      <c r="AA12" s="110"/>
      <c r="AB12" s="110"/>
      <c r="AC12" s="110"/>
      <c r="AD12" s="110"/>
      <c r="AE12" s="110"/>
      <c r="AF12" s="110"/>
      <c r="AG12" s="93"/>
      <c r="AH12" s="94"/>
      <c r="AI12" s="94"/>
      <c r="AJ12" s="94"/>
      <c r="AK12" s="95"/>
      <c r="AW12" s="8"/>
    </row>
    <row r="13" spans="2:49" ht="3" customHeight="1" thickBot="1" x14ac:dyDescent="0.3">
      <c r="B13" s="9"/>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8"/>
    </row>
    <row r="14" spans="2:49" x14ac:dyDescent="0.25">
      <c r="B14" s="10" t="s">
        <v>56</v>
      </c>
      <c r="M14" s="20"/>
      <c r="N14" s="118"/>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20"/>
      <c r="AW14" s="8"/>
    </row>
    <row r="15" spans="2:49" ht="3" customHeight="1" thickBot="1" x14ac:dyDescent="0.3">
      <c r="B15" s="9"/>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8"/>
    </row>
    <row r="16" spans="2:49" x14ac:dyDescent="0.25">
      <c r="B16" s="10" t="s">
        <v>20</v>
      </c>
      <c r="E16" s="93"/>
      <c r="F16" s="95"/>
      <c r="H16" t="s">
        <v>22</v>
      </c>
      <c r="K16" s="112"/>
      <c r="L16" s="113"/>
      <c r="M16" s="113"/>
      <c r="N16" s="113"/>
      <c r="O16" s="113"/>
      <c r="P16" s="113"/>
      <c r="Q16" s="114"/>
      <c r="Y16" t="s">
        <v>18</v>
      </c>
      <c r="AC16" s="121"/>
      <c r="AD16" s="122"/>
      <c r="AE16" s="122"/>
      <c r="AF16" s="122"/>
      <c r="AG16" s="122"/>
      <c r="AH16" s="122"/>
      <c r="AI16" s="123"/>
      <c r="AJ16" s="3"/>
      <c r="AK16" s="3"/>
      <c r="AL16" s="3"/>
      <c r="AW16" s="8"/>
    </row>
    <row r="17" spans="2:49" ht="3" customHeight="1" thickBot="1" x14ac:dyDescent="0.3">
      <c r="B17" s="10"/>
      <c r="E17" s="2"/>
      <c r="AC17" s="4"/>
      <c r="AD17" s="4"/>
      <c r="AE17" s="4"/>
      <c r="AF17" s="4"/>
      <c r="AG17" s="4"/>
      <c r="AH17" s="4"/>
      <c r="AI17" s="4"/>
      <c r="AJ17" s="3"/>
      <c r="AK17" s="3"/>
      <c r="AL17" s="3"/>
      <c r="AW17" s="8"/>
    </row>
    <row r="18" spans="2:49" x14ac:dyDescent="0.25">
      <c r="B18" s="10" t="s">
        <v>21</v>
      </c>
      <c r="G18" s="118"/>
      <c r="H18" s="119"/>
      <c r="I18" s="119"/>
      <c r="J18" s="119"/>
      <c r="K18" s="119"/>
      <c r="L18" s="119"/>
      <c r="M18" s="119"/>
      <c r="N18" s="119"/>
      <c r="O18" s="119"/>
      <c r="P18" s="119"/>
      <c r="Q18" s="119"/>
      <c r="R18" s="119"/>
      <c r="S18" s="119"/>
      <c r="T18" s="119"/>
      <c r="U18" s="119"/>
      <c r="V18" s="119"/>
      <c r="W18" s="119"/>
      <c r="X18" s="119"/>
      <c r="Y18" s="119"/>
      <c r="Z18" s="119"/>
      <c r="AA18" s="119"/>
      <c r="AB18" s="119"/>
      <c r="AC18" s="119"/>
      <c r="AD18" s="120"/>
      <c r="AE18" s="110" t="s">
        <v>23</v>
      </c>
      <c r="AF18" s="110"/>
      <c r="AG18" s="110"/>
      <c r="AH18" s="111"/>
      <c r="AI18" s="93"/>
      <c r="AJ18" s="94"/>
      <c r="AK18" s="95"/>
      <c r="AL18" s="110" t="s">
        <v>48</v>
      </c>
      <c r="AM18" s="110"/>
      <c r="AN18" s="110"/>
      <c r="AO18" s="110"/>
      <c r="AP18" s="110"/>
      <c r="AQ18" s="110"/>
      <c r="AR18" s="93"/>
      <c r="AS18" s="94"/>
      <c r="AT18" s="94"/>
      <c r="AU18" s="94"/>
      <c r="AV18" s="95"/>
      <c r="AW18" s="8"/>
    </row>
    <row r="19" spans="2:49" ht="3" customHeight="1" thickBot="1" x14ac:dyDescent="0.3">
      <c r="B19" s="10"/>
      <c r="AW19" s="8"/>
    </row>
    <row r="20" spans="2:49" x14ac:dyDescent="0.25">
      <c r="B20" s="10" t="s">
        <v>27</v>
      </c>
      <c r="E20" s="118"/>
      <c r="F20" s="119"/>
      <c r="G20" s="119"/>
      <c r="H20" s="119"/>
      <c r="I20" s="119"/>
      <c r="J20" s="119"/>
      <c r="K20" s="119"/>
      <c r="L20" s="119"/>
      <c r="M20" s="119"/>
      <c r="N20" s="120"/>
      <c r="P20" s="110" t="s">
        <v>26</v>
      </c>
      <c r="Q20" s="110"/>
      <c r="R20" s="110"/>
      <c r="S20" s="110"/>
      <c r="T20" s="118"/>
      <c r="U20" s="119"/>
      <c r="V20" s="119"/>
      <c r="W20" s="119"/>
      <c r="X20" s="119"/>
      <c r="Y20" s="119"/>
      <c r="Z20" s="119"/>
      <c r="AA20" s="119"/>
      <c r="AB20" s="119"/>
      <c r="AC20" s="119"/>
      <c r="AD20" s="119"/>
      <c r="AE20" s="119"/>
      <c r="AF20" s="119"/>
      <c r="AG20" s="119"/>
      <c r="AH20" s="119"/>
      <c r="AI20" s="120"/>
      <c r="AK20" s="110" t="s">
        <v>24</v>
      </c>
      <c r="AL20" s="110"/>
      <c r="AM20" s="111"/>
      <c r="AN20" s="93"/>
      <c r="AO20" s="95"/>
      <c r="AQ20" s="110" t="s">
        <v>25</v>
      </c>
      <c r="AR20" s="111"/>
      <c r="AS20" s="115"/>
      <c r="AT20" s="116"/>
      <c r="AU20" s="116"/>
      <c r="AV20" s="117"/>
      <c r="AW20" s="8"/>
    </row>
    <row r="21" spans="2:49" ht="3" customHeight="1" thickBot="1" x14ac:dyDescent="0.3">
      <c r="B21" s="10"/>
      <c r="AW21" s="8"/>
    </row>
    <row r="22" spans="2:49" x14ac:dyDescent="0.25">
      <c r="B22" s="10" t="s">
        <v>1</v>
      </c>
      <c r="F22" s="126"/>
      <c r="G22" s="127"/>
      <c r="H22" s="127"/>
      <c r="I22" s="127"/>
      <c r="J22" s="128"/>
      <c r="L22" t="s">
        <v>284</v>
      </c>
      <c r="O22" s="134"/>
      <c r="P22" s="135"/>
      <c r="Q22" s="135"/>
      <c r="R22" s="135"/>
      <c r="S22" s="135"/>
      <c r="T22" s="136"/>
      <c r="V22" s="110" t="s">
        <v>78</v>
      </c>
      <c r="W22" s="110"/>
      <c r="X22" s="110"/>
      <c r="Y22" s="131"/>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3"/>
      <c r="AW22" s="8"/>
    </row>
    <row r="23" spans="2:49" ht="3" customHeight="1" x14ac:dyDescent="0.25">
      <c r="B23" s="1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2"/>
    </row>
    <row r="24" spans="2:49" ht="3" customHeight="1" x14ac:dyDescent="0.25">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row>
    <row r="25" spans="2:49" x14ac:dyDescent="0.25">
      <c r="B25" s="124" t="s">
        <v>2</v>
      </c>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25"/>
      <c r="AS25" s="125"/>
      <c r="AT25" s="125"/>
      <c r="AU25" s="125"/>
      <c r="AV25" s="125"/>
      <c r="AW25" s="34"/>
    </row>
    <row r="26" spans="2:49" ht="3" customHeight="1" thickBot="1" x14ac:dyDescent="0.3">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v>1620000</v>
      </c>
      <c r="AE26" s="14"/>
      <c r="AF26" s="14"/>
      <c r="AG26" s="14"/>
      <c r="AH26" s="14"/>
      <c r="AI26" s="14"/>
      <c r="AJ26" s="14"/>
      <c r="AK26" s="14"/>
      <c r="AL26" s="14"/>
      <c r="AM26" s="14"/>
      <c r="AN26" s="14"/>
      <c r="AO26" s="14"/>
      <c r="AP26" s="14"/>
      <c r="AQ26" s="14"/>
      <c r="AR26" s="14"/>
      <c r="AS26" s="14"/>
      <c r="AT26" s="14"/>
      <c r="AU26" s="14"/>
      <c r="AV26" s="14"/>
      <c r="AW26" s="15"/>
    </row>
    <row r="27" spans="2:49" x14ac:dyDescent="0.25">
      <c r="B27" s="10" t="s">
        <v>79</v>
      </c>
      <c r="T27" s="110" t="s">
        <v>3</v>
      </c>
      <c r="U27" s="110"/>
      <c r="V27" s="93"/>
      <c r="W27" s="95"/>
      <c r="X27" s="110" t="s">
        <v>4</v>
      </c>
      <c r="Y27" s="110"/>
      <c r="Z27" s="110"/>
      <c r="AA27" s="110"/>
      <c r="AB27" s="110"/>
      <c r="AC27" s="93"/>
      <c r="AD27" s="94"/>
      <c r="AE27" s="95"/>
      <c r="AG27" s="110" t="s">
        <v>5</v>
      </c>
      <c r="AH27" s="110"/>
      <c r="AI27" s="110"/>
      <c r="AJ27" s="110"/>
      <c r="AK27" s="110"/>
      <c r="AL27" s="93"/>
      <c r="AM27" s="94"/>
      <c r="AN27" s="95"/>
      <c r="AW27" s="8"/>
    </row>
    <row r="28" spans="2:49" ht="3" customHeight="1" thickBot="1" x14ac:dyDescent="0.3">
      <c r="B28" s="10"/>
      <c r="AF28" s="7"/>
      <c r="AG28" s="7"/>
      <c r="AH28" s="16"/>
      <c r="AI28" s="16"/>
      <c r="AO28" s="7"/>
      <c r="AW28" s="8"/>
    </row>
    <row r="29" spans="2:49" x14ac:dyDescent="0.25">
      <c r="B29" s="10" t="s">
        <v>286</v>
      </c>
      <c r="P29" s="137" t="str">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138"/>
      <c r="R29" s="167"/>
      <c r="S29" s="168"/>
      <c r="T29" s="168"/>
      <c r="U29" s="169"/>
      <c r="Y29" s="189" t="str">
        <f>IF(V27="","Indique o fuso",IF(AND(Apoio!I4="Ok",OR(V27="",Conferencia!B16=1)),"",IF(AND(AC27&lt;&gt;"",V27&lt;&gt;"",Apoio!I4&lt;&gt;"Ok"),"Verifique a Abscissa","De "&amp;VLOOKUP(V27,Apoio!B1:F4,2,FALSE)&amp;" a "&amp;VLOOKUP(V27,Apoio!B1:F4,3,FALSE))))</f>
        <v>Indique o fuso</v>
      </c>
      <c r="Z29" s="189"/>
      <c r="AA29" s="189"/>
      <c r="AB29" s="189"/>
      <c r="AC29" s="189"/>
      <c r="AD29" s="189"/>
      <c r="AE29" s="189"/>
      <c r="AG29" s="189" t="str">
        <f>IF(V27="","Indique o fuso",IF(V27="","",IF(AND(Apoio!K4="Ok",OR(V27="",Conferencia!B16=1)),"",IF(AND(AL27&lt;&gt;"",V27&lt;&gt;"",Apoio!K4&lt;&gt;"Ok"),"Verifique a Ordenada","De "&amp;VLOOKUP($V$27,Apoio!B1:F4,4,FALSE)&amp;" a "&amp;VLOOKUP($V$27,Apoio!B1:F4,5,FALSE)))))</f>
        <v>Indique o fuso</v>
      </c>
      <c r="AH29" s="189"/>
      <c r="AI29" s="189"/>
      <c r="AJ29" s="189"/>
      <c r="AK29" s="189"/>
      <c r="AL29" s="189"/>
      <c r="AM29" s="189"/>
      <c r="AN29" s="189"/>
      <c r="AW29" s="8"/>
    </row>
    <row r="30" spans="2:49" ht="3" customHeight="1" thickBot="1" x14ac:dyDescent="0.3">
      <c r="B30" s="10"/>
      <c r="AW30" s="8"/>
    </row>
    <row r="31" spans="2:49" x14ac:dyDescent="0.25">
      <c r="B31" s="10" t="s">
        <v>11</v>
      </c>
      <c r="AH31" s="88"/>
      <c r="AI31" s="89"/>
      <c r="AW31" s="8"/>
    </row>
    <row r="32" spans="2:49" ht="3" customHeight="1" x14ac:dyDescent="0.25">
      <c r="B32" s="10"/>
      <c r="AW32" s="8"/>
    </row>
    <row r="33" spans="1:49" ht="3" customHeight="1" thickBot="1" x14ac:dyDescent="0.3">
      <c r="B33" s="13"/>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ht="15" customHeight="1" x14ac:dyDescent="0.25">
      <c r="B34" s="139" t="str">
        <f>IF(Grupo="A","Para clientes do Grupo A:","")</f>
        <v/>
      </c>
      <c r="C34" s="140"/>
      <c r="D34" s="140"/>
      <c r="E34" s="140"/>
      <c r="F34" s="141"/>
      <c r="G34" t="s">
        <v>28</v>
      </c>
      <c r="T34" s="185"/>
      <c r="U34" s="186"/>
      <c r="X34" s="72" t="s">
        <v>175</v>
      </c>
      <c r="Y34" s="73"/>
      <c r="Z34" s="74"/>
      <c r="AA34" s="75"/>
      <c r="AB34" s="44" t="s">
        <v>177</v>
      </c>
      <c r="AC34" s="72" t="s">
        <v>176</v>
      </c>
      <c r="AD34" s="72"/>
      <c r="AE34" s="72"/>
      <c r="AF34" s="74"/>
      <c r="AG34" s="76"/>
      <c r="AH34" s="75"/>
      <c r="AK34" s="72" t="s">
        <v>175</v>
      </c>
      <c r="AL34" s="73"/>
      <c r="AM34" s="74"/>
      <c r="AN34" s="75"/>
      <c r="AO34" s="44" t="s">
        <v>177</v>
      </c>
      <c r="AP34" s="72" t="s">
        <v>176</v>
      </c>
      <c r="AQ34" s="72"/>
      <c r="AR34" s="72"/>
      <c r="AS34" s="74"/>
      <c r="AT34" s="76"/>
      <c r="AU34" s="75"/>
      <c r="AW34" s="8"/>
    </row>
    <row r="35" spans="1:49" ht="3" customHeight="1" thickBot="1" x14ac:dyDescent="0.3">
      <c r="B35" s="139"/>
      <c r="C35" s="140"/>
      <c r="D35" s="140"/>
      <c r="E35" s="140"/>
      <c r="F35" s="141"/>
      <c r="AW35" s="8"/>
    </row>
    <row r="36" spans="1:49" x14ac:dyDescent="0.25">
      <c r="A36" s="8"/>
      <c r="B36" s="139"/>
      <c r="C36" s="140"/>
      <c r="D36" s="140"/>
      <c r="E36" s="140"/>
      <c r="F36" s="141"/>
      <c r="G36" t="str">
        <f>IF(OR(TipoSE="Nº 1",TipoSE="Nº 5",TipoSE="Nº 8"),"Transformador particular (kVA):","Qte de potência distinta dos trafos:")</f>
        <v>Qte de potência distinta dos trafos:</v>
      </c>
      <c r="S36" s="182"/>
      <c r="T36" s="183"/>
      <c r="U36" s="184"/>
      <c r="X36" s="72" t="s">
        <v>175</v>
      </c>
      <c r="Y36" s="73"/>
      <c r="Z36" s="74"/>
      <c r="AA36" s="75"/>
      <c r="AB36" s="44" t="s">
        <v>177</v>
      </c>
      <c r="AC36" s="72" t="s">
        <v>176</v>
      </c>
      <c r="AD36" s="72"/>
      <c r="AE36" s="72"/>
      <c r="AF36" s="74"/>
      <c r="AG36" s="76"/>
      <c r="AH36" s="75"/>
      <c r="AK36" s="72" t="s">
        <v>175</v>
      </c>
      <c r="AL36" s="73"/>
      <c r="AM36" s="74"/>
      <c r="AN36" s="75"/>
      <c r="AO36" s="44" t="s">
        <v>177</v>
      </c>
      <c r="AP36" s="72" t="s">
        <v>176</v>
      </c>
      <c r="AQ36" s="72"/>
      <c r="AR36" s="72"/>
      <c r="AS36" s="74"/>
      <c r="AT36" s="76"/>
      <c r="AU36" s="75"/>
      <c r="AW36" s="8"/>
    </row>
    <row r="37" spans="1:49" ht="3" customHeight="1" x14ac:dyDescent="0.25">
      <c r="B37" s="1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2"/>
    </row>
    <row r="38" spans="1:49" ht="3" customHeight="1" thickBot="1" x14ac:dyDescent="0.3">
      <c r="B38" s="10"/>
      <c r="AW38" s="8"/>
    </row>
    <row r="39" spans="1:49" x14ac:dyDescent="0.25">
      <c r="B39" s="10" t="s">
        <v>62</v>
      </c>
      <c r="I39" s="179"/>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c r="AH39" s="180"/>
      <c r="AI39" s="180"/>
      <c r="AJ39" s="180"/>
      <c r="AK39" s="180"/>
      <c r="AL39" s="180"/>
      <c r="AM39" s="180"/>
      <c r="AN39" s="181"/>
      <c r="AO39" s="110" t="str">
        <f>IF(I39="GD Existente COM Alteração de Potência Ativa Instalada Total","Pot. Atual (kW):","")</f>
        <v/>
      </c>
      <c r="AP39" s="110"/>
      <c r="AQ39" s="110"/>
      <c r="AR39" s="110"/>
      <c r="AS39" s="110"/>
      <c r="AT39" s="110"/>
      <c r="AU39" s="129"/>
      <c r="AV39" s="130"/>
      <c r="AW39" s="8"/>
    </row>
    <row r="40" spans="1:49" ht="3" customHeight="1" thickBot="1" x14ac:dyDescent="0.3">
      <c r="B40" s="10"/>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7"/>
      <c r="AP40" s="7"/>
      <c r="AQ40" s="7"/>
      <c r="AR40" s="7"/>
      <c r="AS40" s="7"/>
      <c r="AT40" s="7"/>
      <c r="AU40" s="5"/>
      <c r="AV40" s="5"/>
      <c r="AW40" s="8"/>
    </row>
    <row r="41" spans="1:49" x14ac:dyDescent="0.25">
      <c r="B41" s="10" t="s">
        <v>12</v>
      </c>
      <c r="I41" s="179"/>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c r="AH41" s="180"/>
      <c r="AI41" s="17"/>
      <c r="AJ41" s="17"/>
      <c r="AK41" s="17"/>
      <c r="AL41" s="17"/>
      <c r="AM41" s="110" t="str">
        <f>IF(I39="GD Existente COM Alteração de Potência Ativa Instalada Total","Nova Pot. Total (kW):","")</f>
        <v/>
      </c>
      <c r="AN41" s="110"/>
      <c r="AO41" s="110"/>
      <c r="AP41" s="110"/>
      <c r="AQ41" s="110"/>
      <c r="AR41" s="110"/>
      <c r="AS41" s="110"/>
      <c r="AT41" s="110"/>
      <c r="AU41" s="129"/>
      <c r="AV41" s="130"/>
      <c r="AW41" s="8"/>
    </row>
    <row r="42" spans="1:49" ht="3" customHeight="1" x14ac:dyDescent="0.25">
      <c r="B42" s="10"/>
      <c r="I42" s="16"/>
      <c r="J42" s="16"/>
      <c r="K42" s="16"/>
      <c r="L42" s="16"/>
      <c r="M42" s="16"/>
      <c r="N42" s="16"/>
      <c r="O42" s="16"/>
      <c r="P42" s="16"/>
      <c r="Q42" s="16"/>
      <c r="R42" s="16"/>
      <c r="S42" s="16"/>
      <c r="T42" s="16"/>
      <c r="U42" s="17"/>
      <c r="V42" s="17"/>
      <c r="W42" s="17"/>
      <c r="X42" s="17"/>
      <c r="Y42" s="17"/>
      <c r="Z42" s="17"/>
      <c r="AA42" s="17"/>
      <c r="AB42" s="17"/>
      <c r="AC42" s="17"/>
      <c r="AD42" s="17"/>
      <c r="AE42" s="17"/>
      <c r="AF42" s="17"/>
      <c r="AG42" s="17"/>
      <c r="AH42" s="17"/>
      <c r="AI42" s="17"/>
      <c r="AJ42" s="17"/>
      <c r="AK42" s="17"/>
      <c r="AL42" s="17"/>
      <c r="AM42" s="7"/>
      <c r="AN42" s="7"/>
      <c r="AO42" s="7"/>
      <c r="AP42" s="7"/>
      <c r="AQ42" s="7"/>
      <c r="AR42" s="7"/>
      <c r="AS42" s="7"/>
      <c r="AT42" s="7"/>
      <c r="AU42" s="5"/>
      <c r="AV42" s="5"/>
      <c r="AW42" s="8"/>
    </row>
    <row r="43" spans="1:49" ht="3" customHeight="1" x14ac:dyDescent="0.25">
      <c r="B43" s="10"/>
      <c r="AW43" s="8"/>
    </row>
    <row r="44" spans="1:49" ht="3" customHeight="1" thickBot="1" x14ac:dyDescent="0.3">
      <c r="B44" s="10"/>
      <c r="AW44" s="8"/>
    </row>
    <row r="45" spans="1:49" x14ac:dyDescent="0.25">
      <c r="B45" s="69" t="s">
        <v>100</v>
      </c>
      <c r="C45" s="70"/>
      <c r="D45" s="70"/>
      <c r="E45" s="70"/>
      <c r="F45" s="70"/>
      <c r="G45" s="71"/>
      <c r="H45" s="77" t="str">
        <f>IF(Grupo="B"," Disjuntor Individual Atual:",IF(OR(TipoSE="Nº 1",TipoSE="Nº 5",TipoSE="Nº 8"),"Disjuntor de Baixa Tensão:"," Relé de Proteção Secundária"))</f>
        <v xml:space="preserve"> Relé de Proteção Secundária</v>
      </c>
      <c r="I45" s="78"/>
      <c r="J45" s="78"/>
      <c r="K45" s="78"/>
      <c r="L45" s="78"/>
      <c r="M45" s="78"/>
      <c r="N45" s="78"/>
      <c r="O45" s="78"/>
      <c r="P45" s="78"/>
      <c r="Q45" s="78"/>
      <c r="R45" s="78"/>
      <c r="S45" s="78"/>
      <c r="T45" s="78"/>
      <c r="U45" s="28"/>
      <c r="V45" s="28"/>
      <c r="W45" s="28"/>
      <c r="X45" s="28"/>
      <c r="Y45" s="28"/>
      <c r="Z45" s="28"/>
      <c r="AB45" s="93"/>
      <c r="AC45" s="94"/>
      <c r="AD45" s="94"/>
      <c r="AE45" s="94"/>
      <c r="AF45" s="95"/>
      <c r="AH45" s="93"/>
      <c r="AI45" s="94"/>
      <c r="AJ45" s="95"/>
      <c r="AK45" s="17" t="s">
        <v>29</v>
      </c>
      <c r="AW45" s="8"/>
    </row>
    <row r="46" spans="1:49" ht="4.5" customHeight="1" thickBot="1" x14ac:dyDescent="0.3">
      <c r="B46" s="69"/>
      <c r="C46" s="70"/>
      <c r="D46" s="70"/>
      <c r="E46" s="70"/>
      <c r="F46" s="70"/>
      <c r="G46" s="71"/>
      <c r="H46" s="28"/>
      <c r="I46" s="28"/>
      <c r="J46" s="28"/>
      <c r="K46" s="28"/>
      <c r="L46" s="28"/>
      <c r="M46" s="28"/>
      <c r="N46" s="28"/>
      <c r="O46" s="28"/>
      <c r="P46" s="28"/>
      <c r="Q46" s="28"/>
      <c r="R46" s="28"/>
      <c r="S46" s="28"/>
      <c r="T46" s="28"/>
      <c r="U46" s="28"/>
      <c r="V46" s="28"/>
      <c r="W46" s="28"/>
      <c r="X46" s="28"/>
      <c r="Y46" s="28"/>
      <c r="Z46" s="28"/>
      <c r="AW46" s="8"/>
    </row>
    <row r="47" spans="1:49" x14ac:dyDescent="0.25">
      <c r="B47" s="69"/>
      <c r="C47" s="70"/>
      <c r="D47" s="70"/>
      <c r="E47" s="70"/>
      <c r="F47" s="70"/>
      <c r="G47" s="71"/>
      <c r="H47" s="77" t="str">
        <f>IF(Grupo="A","",IF(OR(MAX(Dados!D4:D7)=1,MAX(Dados!D4:D7)=3)," Disjuntor Individual Solicitado para Alteração de Carga:",IF(AND(OR(MAX(Dados!D4:D7)=2,MAX(Dados!D4:D7)=4),MAX(Dados!D13:D17)&gt;1)," Disjuntor Geral do Padrão (Conforme ND 5.2):","")))</f>
        <v/>
      </c>
      <c r="I47" s="78"/>
      <c r="J47" s="78"/>
      <c r="K47" s="78"/>
      <c r="L47" s="78"/>
      <c r="M47" s="78"/>
      <c r="N47" s="78"/>
      <c r="O47" s="78"/>
      <c r="P47" s="78"/>
      <c r="Q47" s="78"/>
      <c r="R47" s="78"/>
      <c r="S47" s="78"/>
      <c r="T47" s="78"/>
      <c r="U47" s="78"/>
      <c r="V47" s="78"/>
      <c r="W47" s="78"/>
      <c r="X47" s="78"/>
      <c r="Y47" s="78"/>
      <c r="Z47" s="78"/>
      <c r="AB47" s="101"/>
      <c r="AC47" s="102"/>
      <c r="AD47" s="102"/>
      <c r="AE47" s="102"/>
      <c r="AF47" s="103"/>
      <c r="AH47" s="93"/>
      <c r="AI47" s="94"/>
      <c r="AJ47" s="95"/>
      <c r="AK47" s="17" t="str">
        <f>IF(H47="","","A")</f>
        <v/>
      </c>
      <c r="AW47" s="8"/>
    </row>
    <row r="48" spans="1:49" ht="3" customHeight="1" thickBot="1" x14ac:dyDescent="0.3">
      <c r="B48" s="69"/>
      <c r="C48" s="70"/>
      <c r="D48" s="70"/>
      <c r="E48" s="70"/>
      <c r="F48" s="70"/>
      <c r="G48" s="71"/>
      <c r="H48" s="28"/>
      <c r="I48" s="28"/>
      <c r="J48" s="28"/>
      <c r="K48" s="28"/>
      <c r="L48" s="28"/>
      <c r="M48" s="28"/>
      <c r="N48" s="28"/>
      <c r="O48" s="28"/>
      <c r="P48" s="28"/>
      <c r="Q48" s="28"/>
      <c r="R48" s="28"/>
      <c r="S48" s="28"/>
      <c r="T48" s="28"/>
      <c r="U48" s="28"/>
      <c r="V48" s="28"/>
      <c r="W48" s="28"/>
      <c r="X48" s="28"/>
      <c r="Y48" s="28"/>
      <c r="Z48" s="28"/>
      <c r="AW48" s="8"/>
    </row>
    <row r="49" spans="1:49" ht="17.25" customHeight="1" x14ac:dyDescent="0.25">
      <c r="B49" s="69"/>
      <c r="C49" s="70"/>
      <c r="D49" s="70"/>
      <c r="E49" s="70"/>
      <c r="F49" s="70"/>
      <c r="G49" s="71"/>
      <c r="H49" s="77" t="str">
        <f>IF(Grupo="A","",IF(AND(OR(MAX(Dados!D4:D7)=1,MAX(Dados!D4:D7)=3),MAX(Dados!D13:D17)&gt;1)," Disjuntor Geral do Padrão (Conforme ND 5.2):",""))</f>
        <v/>
      </c>
      <c r="I49" s="78"/>
      <c r="J49" s="78"/>
      <c r="K49" s="78"/>
      <c r="L49" s="78"/>
      <c r="M49" s="78"/>
      <c r="N49" s="78"/>
      <c r="O49" s="78"/>
      <c r="P49" s="78"/>
      <c r="Q49" s="78"/>
      <c r="R49" s="78"/>
      <c r="S49" s="78"/>
      <c r="T49" s="78"/>
      <c r="U49" s="78"/>
      <c r="V49" s="78"/>
      <c r="W49" s="78"/>
      <c r="X49" s="78"/>
      <c r="Y49" s="78"/>
      <c r="Z49" s="78"/>
      <c r="AB49" s="98"/>
      <c r="AC49" s="99"/>
      <c r="AD49" s="99"/>
      <c r="AE49" s="99"/>
      <c r="AF49" s="100"/>
      <c r="AH49" s="98"/>
      <c r="AI49" s="99"/>
      <c r="AJ49" s="100"/>
      <c r="AK49" s="17" t="str">
        <f>IF(H49="","","A")</f>
        <v/>
      </c>
      <c r="AM49" s="17" t="s">
        <v>264</v>
      </c>
      <c r="AT49" s="79"/>
      <c r="AU49" s="80"/>
      <c r="AV49" s="81"/>
      <c r="AW49" s="8"/>
    </row>
    <row r="50" spans="1:49" ht="3" customHeight="1" x14ac:dyDescent="0.25">
      <c r="B50" s="10"/>
      <c r="AW50" s="8"/>
    </row>
    <row r="51" spans="1:49" ht="3" customHeight="1" thickBot="1" x14ac:dyDescent="0.3">
      <c r="B51" s="10"/>
      <c r="AW51" s="8"/>
    </row>
    <row r="52" spans="1:49" x14ac:dyDescent="0.25">
      <c r="B52" s="10" t="s">
        <v>13</v>
      </c>
      <c r="L52" s="88"/>
      <c r="M52" s="109"/>
      <c r="N52" s="109"/>
      <c r="O52" s="109"/>
      <c r="S52" t="s">
        <v>14</v>
      </c>
      <c r="X52" s="88"/>
      <c r="Y52" s="109"/>
      <c r="Z52" s="109"/>
      <c r="AA52" s="109"/>
      <c r="AB52" s="89"/>
      <c r="AE52" s="142" t="str">
        <f>IF(AND(OR(AH45&gt;=300,AH47&gt;=300,AH49&gt;=300),Ramal="Aéreo")," &lt;-- Atenção! Altere o tipo de ramal","")</f>
        <v/>
      </c>
      <c r="AF52" s="142"/>
      <c r="AG52" s="142"/>
      <c r="AH52" s="142"/>
      <c r="AI52" s="142"/>
      <c r="AJ52" s="142"/>
      <c r="AK52" s="142"/>
      <c r="AL52" s="142"/>
      <c r="AM52" s="142"/>
      <c r="AN52" s="142"/>
      <c r="AO52" s="142"/>
      <c r="AP52" s="142"/>
      <c r="AQ52" s="142"/>
      <c r="AR52" s="142"/>
      <c r="AS52" s="142"/>
      <c r="AT52" s="142"/>
      <c r="AW52" s="8"/>
    </row>
    <row r="53" spans="1:49" ht="3" customHeight="1" thickBot="1" x14ac:dyDescent="0.3">
      <c r="B53" s="10"/>
      <c r="X53" s="16"/>
      <c r="Y53" s="16"/>
      <c r="Z53" s="16"/>
      <c r="AA53" s="16"/>
      <c r="AB53" s="16"/>
      <c r="AW53" s="8"/>
    </row>
    <row r="54" spans="1:49" x14ac:dyDescent="0.25">
      <c r="A54" s="8"/>
      <c r="B54" s="29" t="str">
        <f>IF(MAX(Dados!D4:D7)&lt;4,"Haverá Mudança de Local do Padrão de Entrada:","")</f>
        <v>Haverá Mudança de Local do Padrão de Entrada:</v>
      </c>
      <c r="C54" s="28"/>
      <c r="D54" s="28"/>
      <c r="E54" s="28"/>
      <c r="F54" s="28"/>
      <c r="G54" s="28"/>
      <c r="H54" s="28"/>
      <c r="I54" s="28"/>
      <c r="J54" s="28"/>
      <c r="K54" s="28"/>
      <c r="L54" s="28"/>
      <c r="M54" s="28"/>
      <c r="N54" s="28"/>
      <c r="O54" s="28"/>
      <c r="P54" s="28"/>
      <c r="R54" s="88"/>
      <c r="S54" s="89"/>
      <c r="U54" s="96" t="str">
        <f>IF(AND(TipoSE="Nº 1",R54="Sim"),"&lt;-- Para SE Nº 1 não pode haver mudança de local do Padrão de Entrada. Altere...","")</f>
        <v/>
      </c>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7"/>
      <c r="AW54" s="8"/>
    </row>
    <row r="55" spans="1:49" ht="3" customHeight="1" x14ac:dyDescent="0.25">
      <c r="B55" s="10"/>
      <c r="AW55" s="8"/>
    </row>
    <row r="56" spans="1:49" ht="3" customHeight="1" x14ac:dyDescent="0.25">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spans="1:49" x14ac:dyDescent="0.25">
      <c r="B57" s="124" t="s">
        <v>15</v>
      </c>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5"/>
      <c r="AP57" s="125"/>
      <c r="AQ57" s="125"/>
      <c r="AR57" s="125"/>
      <c r="AS57" s="125"/>
      <c r="AT57" s="125"/>
      <c r="AU57" s="125"/>
      <c r="AV57" s="125"/>
      <c r="AW57" s="34"/>
    </row>
    <row r="58" spans="1:49" ht="3" customHeight="1" thickBot="1" x14ac:dyDescent="0.3">
      <c r="B58" s="13"/>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5"/>
    </row>
    <row r="59" spans="1:49" ht="15.75" thickBot="1" x14ac:dyDescent="0.3">
      <c r="B59" s="10" t="s">
        <v>41</v>
      </c>
      <c r="L59" s="104"/>
      <c r="M59" s="105"/>
      <c r="N59" s="105"/>
      <c r="O59" s="105"/>
      <c r="P59" s="105"/>
      <c r="Q59" s="105"/>
      <c r="R59" s="105"/>
      <c r="S59" s="106"/>
      <c r="T59" s="107"/>
      <c r="U59" s="107"/>
      <c r="V59" s="107"/>
      <c r="W59" s="107"/>
      <c r="X59" s="107"/>
      <c r="Y59" s="107"/>
      <c r="Z59" s="108"/>
      <c r="AA59" t="s">
        <v>42</v>
      </c>
      <c r="AT59" s="137" t="str">
        <f>IF(OR(TipoFonte="Hidráulica",TipoFonte="Eólica"),P71,IF(AND(TipoFonte&lt;&gt;"Eólica",P69+P71=0),"",MIN(P69,P71)))</f>
        <v/>
      </c>
      <c r="AU59" s="138"/>
      <c r="AV59" s="138"/>
      <c r="AW59" s="8"/>
    </row>
    <row r="60" spans="1:49" ht="3" customHeight="1" thickBot="1" x14ac:dyDescent="0.3">
      <c r="B60" s="10"/>
      <c r="AW60" s="8"/>
    </row>
    <row r="61" spans="1:49" x14ac:dyDescent="0.25">
      <c r="B61" s="10" t="s">
        <v>16</v>
      </c>
      <c r="L61" s="112"/>
      <c r="M61" s="113"/>
      <c r="N61" s="113"/>
      <c r="O61" s="113"/>
      <c r="P61" s="113"/>
      <c r="Q61" s="113"/>
      <c r="R61" s="113"/>
      <c r="S61" s="113"/>
      <c r="T61" s="113"/>
      <c r="U61" s="113"/>
      <c r="V61" s="113"/>
      <c r="W61" s="113"/>
      <c r="X61" s="113"/>
      <c r="Y61" s="113"/>
      <c r="Z61" s="113"/>
      <c r="AA61" s="113"/>
      <c r="AB61" s="113"/>
      <c r="AC61" s="113"/>
      <c r="AD61" s="114"/>
      <c r="AE61" s="187" t="s">
        <v>71</v>
      </c>
      <c r="AF61" s="110"/>
      <c r="AG61" s="110"/>
      <c r="AH61" s="110"/>
      <c r="AI61" s="110"/>
      <c r="AJ61" s="110"/>
      <c r="AK61" s="110"/>
      <c r="AL61" s="110"/>
      <c r="AM61" s="110"/>
      <c r="AN61" s="110"/>
      <c r="AO61" s="110"/>
      <c r="AP61" s="110"/>
      <c r="AQ61" s="110"/>
      <c r="AR61" s="111"/>
      <c r="AS61" s="88"/>
      <c r="AT61" s="109"/>
      <c r="AU61" s="109"/>
      <c r="AV61" s="89"/>
      <c r="AW61" s="8"/>
    </row>
    <row r="62" spans="1:49" ht="3" customHeight="1" x14ac:dyDescent="0.25">
      <c r="B62" s="1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2"/>
    </row>
    <row r="63" spans="1:49" ht="3" customHeight="1" x14ac:dyDescent="0.25">
      <c r="B63" s="172"/>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4"/>
    </row>
    <row r="64" spans="1:49" ht="15" customHeight="1" x14ac:dyDescent="0.25">
      <c r="B64" s="85" t="str">
        <f>IF(TipoFonte="Solar","Preencher o quadro abaixo para projeto de CENTRAL GERADORA FOTOVOLTAICA.",IF(TipoFonte="Hidráulica","Preencher o quadro abaixo para projeto de CENTRAL GERADORA HIDRELÉTRICA - CGH.",IF(OR(TipoFonte="Cogeração Qualificada",TipoFonte="Biomassa")," Preencher o quadro abaixo para projeto de CENTRAL GERADORA TÉRMICA.",IF(TipoFonte="Eólica"," Preencher o quadro abaixo para projeto de CENTRAL GERADORA EÓLICA.",""))))</f>
        <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
    </row>
    <row r="65" spans="2:50" ht="3" customHeight="1" x14ac:dyDescent="0.25">
      <c r="B65" s="37"/>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8"/>
    </row>
    <row r="66" spans="2:50" ht="3" customHeight="1" x14ac:dyDescent="0.25">
      <c r="B66" s="10"/>
      <c r="AW66" s="8"/>
    </row>
    <row r="67" spans="2:50" ht="15" customHeight="1" x14ac:dyDescent="0.25">
      <c r="B67" s="10"/>
      <c r="C67" s="87" t="str">
        <f>IF(Dados!D6=3," Os dados abaixo deverão ser preenchidos considerando a condição final da usina (potência atual + potência acrescida)","")</f>
        <v/>
      </c>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W67" s="8"/>
    </row>
    <row r="68" spans="2:50" ht="6" customHeight="1" thickBot="1" x14ac:dyDescent="0.3">
      <c r="B68" s="10"/>
      <c r="AW68" s="8"/>
    </row>
    <row r="69" spans="2:50" ht="15" customHeight="1" x14ac:dyDescent="0.25">
      <c r="B69" s="10" t="str">
        <f>IF(TipoFonte="Solar","Potência Total Módulos (kW):",IF(OR(TipoFonte="Hidráulica",TipoFonte="Biomassa",TipoFonte="Cogeração Qualificada"),"Potência Aparente (kVA):",IF(TipoFonte="Eólica","Quantidade de Aerogeradores:","")))</f>
        <v/>
      </c>
      <c r="P69" s="90"/>
      <c r="Q69" s="91"/>
      <c r="R69" s="91"/>
      <c r="S69" s="91"/>
      <c r="T69" s="91"/>
      <c r="U69" s="91"/>
      <c r="V69" s="92"/>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W69" s="8"/>
    </row>
    <row r="70" spans="2:50" ht="3.95" customHeight="1" thickBot="1" x14ac:dyDescent="0.3">
      <c r="B70" s="10"/>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W70" s="8"/>
    </row>
    <row r="71" spans="2:50" ht="15" customHeight="1" x14ac:dyDescent="0.25">
      <c r="B71" s="10" t="str">
        <f>IF(TipoFonte="Solar","Potência Total Inversores (kW):",IF(OR(TipoFonte="Hidráulica",TipoFonte="Biomassa",TipoFonte="Eólica",TipoFonte="Cogeração Qualificada"),"Potência Instalada (kW):",""))</f>
        <v/>
      </c>
      <c r="P71" s="90"/>
      <c r="Q71" s="91"/>
      <c r="R71" s="91"/>
      <c r="S71" s="91"/>
      <c r="T71" s="91"/>
      <c r="U71" s="91"/>
      <c r="V71" s="92"/>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W71" s="8"/>
    </row>
    <row r="72" spans="2:50" ht="3.95" customHeight="1" thickBot="1" x14ac:dyDescent="0.3">
      <c r="B72" s="10"/>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W72" s="8"/>
    </row>
    <row r="73" spans="2:50" ht="15" customHeight="1" x14ac:dyDescent="0.25">
      <c r="B73" s="10" t="str">
        <f>IF(TipoFonte="Solar","Área dos Arranjos (m²):",IF(OR(TipoFonte="Hidráulica",TipoFonte="Biomassa",TipoFonte="Eólica",TipoFonte="Cogeração Qualificada"),"Fator de Potência:",""))</f>
        <v/>
      </c>
      <c r="P73" s="90"/>
      <c r="Q73" s="91"/>
      <c r="R73" s="91"/>
      <c r="S73" s="91"/>
      <c r="T73" s="91"/>
      <c r="U73" s="91"/>
      <c r="V73" s="92"/>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W73" s="8"/>
    </row>
    <row r="74" spans="2:50" ht="3.95" customHeight="1" thickBot="1" x14ac:dyDescent="0.3">
      <c r="B74" s="10"/>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W74" s="8"/>
    </row>
    <row r="75" spans="2:50" ht="15" customHeight="1" x14ac:dyDescent="0.25">
      <c r="B75" s="10" t="str">
        <f>IF(TipoFonte="Solar","Quantidade de Módulos:",IF(TipoFonte="Hidráulica","Tensão (kV):",IF(OR(TipoFonte="Cogeração Qualificada",TipoFonte="Biomassa"),"Combustível:",IF(TipoFonte="Eólica","Fabricante dos Aerogeradores:",""))))</f>
        <v/>
      </c>
      <c r="P75" s="90"/>
      <c r="Q75" s="91"/>
      <c r="R75" s="91"/>
      <c r="S75" s="91"/>
      <c r="T75" s="91"/>
      <c r="U75" s="91"/>
      <c r="V75" s="92"/>
      <c r="W75" s="17"/>
      <c r="X75" s="17"/>
      <c r="Y75" s="64"/>
      <c r="Z75" s="64"/>
      <c r="AA75" s="17"/>
      <c r="AB75" s="17"/>
      <c r="AC75" s="17"/>
      <c r="AD75" s="17"/>
      <c r="AE75" s="17"/>
      <c r="AF75" s="17"/>
      <c r="AG75" s="17"/>
      <c r="AH75" s="17"/>
      <c r="AI75" s="17"/>
      <c r="AJ75" s="17"/>
      <c r="AK75" s="17"/>
      <c r="AL75" s="17"/>
      <c r="AM75" s="17"/>
      <c r="AN75" s="17"/>
      <c r="AO75" s="17"/>
      <c r="AP75" s="17"/>
      <c r="AQ75" s="17"/>
      <c r="AR75" s="17"/>
      <c r="AS75" s="17"/>
      <c r="AT75" s="17"/>
      <c r="AU75" s="17"/>
      <c r="AW75" s="8"/>
    </row>
    <row r="76" spans="2:50" ht="3.95" customHeight="1" thickBot="1" x14ac:dyDescent="0.3">
      <c r="B76" s="10"/>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W76" s="8"/>
    </row>
    <row r="77" spans="2:50" ht="15" customHeight="1" x14ac:dyDescent="0.25">
      <c r="B77" s="10" t="str">
        <f>IF(TipoFonte="Solar","Modelo dos Módulos:",IF(OR(TipoFonte="Cogeração Qualificada",TipoFonte="Biomassa"),"Máquina Motriz (Motor/Turbina):",IF(TipoFonte="Eólica","Altura da pá (m):",IF(TipoFonte="Hidráulica","Nome do rio:",""))))</f>
        <v/>
      </c>
      <c r="P77" s="82"/>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4"/>
      <c r="AW77" s="8"/>
    </row>
    <row r="78" spans="2:50" ht="3" customHeight="1" thickBot="1" x14ac:dyDescent="0.3">
      <c r="B78" s="10"/>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W78" s="8"/>
    </row>
    <row r="79" spans="2:50" ht="15" customHeight="1" x14ac:dyDescent="0.25">
      <c r="B79" s="10" t="str">
        <f>IF(TipoFonte="Solar","Fabricante dos Módulos:",IF(TipoFonte="Hidráulica","Nível Oper. Normal de Jusante (m):",IF(OR(TipoFonte="Cogeração Qualificada",TipoFonte="Biomassa"),"Ciclo Termodinâmico (Aberto/Fechado):",IF(TipoFonte="Eólica","Eixo do rotor:",""))))</f>
        <v/>
      </c>
      <c r="P79" s="82"/>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4"/>
      <c r="AW79" s="8"/>
      <c r="AX79" s="10"/>
    </row>
    <row r="80" spans="2:50" ht="3" customHeight="1" thickBot="1" x14ac:dyDescent="0.3">
      <c r="B80" s="10"/>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W80" s="8"/>
      <c r="AX80" s="10"/>
    </row>
    <row r="81" spans="2:50" x14ac:dyDescent="0.25">
      <c r="B81" s="10" t="str">
        <f>IF(TipoFonte="Solar","Quantidade de Inversores:",IF(OR(TipoFonte="Cogeração Qualificada",TipoFonte="Biomassa"),"Nº do Despacho de qualificação:",IF(TipoFonte="Eólica","Modelo dos Aerogeradores:","")))</f>
        <v/>
      </c>
      <c r="P81" s="90"/>
      <c r="Q81" s="91"/>
      <c r="R81" s="91"/>
      <c r="S81" s="91"/>
      <c r="T81" s="91"/>
      <c r="U81" s="91"/>
      <c r="V81" s="92"/>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W81" s="8"/>
      <c r="AX81" s="10"/>
    </row>
    <row r="82" spans="2:50" ht="3" customHeight="1" thickBot="1" x14ac:dyDescent="0.3">
      <c r="B82" s="10"/>
      <c r="P82" s="17"/>
      <c r="Q82" s="17"/>
      <c r="R82" s="17"/>
      <c r="S82" s="17"/>
      <c r="T82" s="17"/>
      <c r="U82" s="17"/>
      <c r="V82" s="17"/>
      <c r="W82" s="17"/>
      <c r="X82" s="17"/>
      <c r="Y82" s="64"/>
      <c r="Z82" s="64"/>
      <c r="AA82" s="17"/>
      <c r="AB82" s="17"/>
      <c r="AC82" s="17"/>
      <c r="AD82" s="17"/>
      <c r="AE82" s="17"/>
      <c r="AF82" s="17"/>
      <c r="AG82" s="17"/>
      <c r="AH82" s="17"/>
      <c r="AI82" s="17"/>
      <c r="AJ82" s="17"/>
      <c r="AK82" s="17"/>
      <c r="AL82" s="17"/>
      <c r="AM82" s="17"/>
      <c r="AN82" s="17"/>
      <c r="AO82" s="17"/>
      <c r="AP82" s="17"/>
      <c r="AQ82" s="17"/>
      <c r="AR82" s="17"/>
      <c r="AS82" s="17"/>
      <c r="AT82" s="17"/>
      <c r="AU82" s="17"/>
      <c r="AW82" s="8"/>
      <c r="AX82" s="10"/>
    </row>
    <row r="83" spans="2:50" x14ac:dyDescent="0.25">
      <c r="B83" s="10" t="str">
        <f>IF(TipoFonte="Solar","Modelo dos Inversores:","")</f>
        <v/>
      </c>
      <c r="P83" s="82"/>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4"/>
      <c r="AW83" s="8"/>
      <c r="AX83" s="10"/>
    </row>
    <row r="84" spans="2:50" ht="3" customHeight="1" thickBot="1" x14ac:dyDescent="0.3">
      <c r="B84" s="10"/>
      <c r="P84" s="17"/>
      <c r="Q84" s="17"/>
      <c r="R84" s="17"/>
      <c r="S84" s="17"/>
      <c r="T84" s="17"/>
      <c r="U84" s="17"/>
      <c r="V84" s="17"/>
      <c r="W84" s="17"/>
      <c r="X84" s="17"/>
      <c r="Y84" s="64"/>
      <c r="Z84" s="64"/>
      <c r="AA84" s="17"/>
      <c r="AB84" s="17"/>
      <c r="AC84" s="17"/>
      <c r="AD84" s="17"/>
      <c r="AE84" s="17"/>
      <c r="AF84" s="17"/>
      <c r="AG84" s="17"/>
      <c r="AH84" s="17"/>
      <c r="AI84" s="17"/>
      <c r="AJ84" s="17"/>
      <c r="AK84" s="17"/>
      <c r="AL84" s="17"/>
      <c r="AM84" s="17"/>
      <c r="AN84" s="17"/>
      <c r="AO84" s="17"/>
      <c r="AP84" s="17"/>
      <c r="AQ84" s="17"/>
      <c r="AR84" s="17"/>
      <c r="AS84" s="17"/>
      <c r="AT84" s="17"/>
      <c r="AU84" s="17"/>
      <c r="AW84" s="8"/>
      <c r="AX84" s="10"/>
    </row>
    <row r="85" spans="2:50" ht="15" customHeight="1" x14ac:dyDescent="0.25">
      <c r="B85" s="10" t="str">
        <f>IF(TipoFonte="Solar","Fabricante dos Inversores:","")</f>
        <v/>
      </c>
      <c r="D85" s="17"/>
      <c r="P85" s="82"/>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4"/>
      <c r="AW85" s="8"/>
      <c r="AX85" s="10"/>
    </row>
    <row r="86" spans="2:50" ht="3" customHeight="1" x14ac:dyDescent="0.25">
      <c r="B86" s="10"/>
      <c r="S86" s="64"/>
      <c r="T86" s="64"/>
      <c r="U86" s="64"/>
      <c r="V86" s="64"/>
      <c r="W86" s="64"/>
      <c r="X86" s="64"/>
      <c r="Y86" s="64"/>
      <c r="Z86" s="64"/>
      <c r="AW86" s="8"/>
    </row>
    <row r="87" spans="2:50" ht="3.95" customHeight="1" x14ac:dyDescent="0.25">
      <c r="B87" s="175"/>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7"/>
    </row>
    <row r="88" spans="2:50" ht="3.95" customHeight="1" x14ac:dyDescent="0.25">
      <c r="B88" s="172"/>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4"/>
    </row>
    <row r="89" spans="2:50" x14ac:dyDescent="0.25">
      <c r="B89" s="18" t="s">
        <v>17</v>
      </c>
      <c r="AW89" s="8"/>
    </row>
    <row r="90" spans="2:50" ht="3" customHeight="1" thickBot="1" x14ac:dyDescent="0.3">
      <c r="B90" s="10"/>
      <c r="AW90" s="8"/>
    </row>
    <row r="91" spans="2:50" x14ac:dyDescent="0.25">
      <c r="B91" s="10" t="s">
        <v>30</v>
      </c>
      <c r="K91" s="79"/>
      <c r="L91" s="80"/>
      <c r="M91" s="80"/>
      <c r="N91" s="80"/>
      <c r="O91" s="80"/>
      <c r="P91" s="80"/>
      <c r="Q91" s="80"/>
      <c r="R91" s="81"/>
      <c r="Y91" s="110" t="s">
        <v>32</v>
      </c>
      <c r="Z91" s="110"/>
      <c r="AA91" s="110"/>
      <c r="AB91" s="110"/>
      <c r="AC91" s="110"/>
      <c r="AD91" s="110"/>
      <c r="AE91" s="110"/>
      <c r="AF91" s="110"/>
      <c r="AG91" s="110"/>
      <c r="AH91" s="110"/>
      <c r="AI91" s="110"/>
      <c r="AJ91" s="110"/>
      <c r="AK91" s="111"/>
      <c r="AL91" s="79"/>
      <c r="AM91" s="80"/>
      <c r="AN91" s="80"/>
      <c r="AO91" s="80"/>
      <c r="AP91" s="80"/>
      <c r="AQ91" s="80"/>
      <c r="AR91" s="80"/>
      <c r="AS91" s="81"/>
      <c r="AW91" s="8"/>
    </row>
    <row r="92" spans="2:50" ht="3" customHeight="1" thickBot="1" x14ac:dyDescent="0.3">
      <c r="B92" s="10"/>
      <c r="AW92" s="8"/>
    </row>
    <row r="93" spans="2:50" x14ac:dyDescent="0.25">
      <c r="B93" s="10" t="s">
        <v>31</v>
      </c>
      <c r="H93" s="112"/>
      <c r="I93" s="113"/>
      <c r="J93" s="113"/>
      <c r="K93" s="113"/>
      <c r="L93" s="113"/>
      <c r="M93" s="113"/>
      <c r="N93" s="113"/>
      <c r="O93" s="113"/>
      <c r="P93" s="113"/>
      <c r="Q93" s="113"/>
      <c r="R93" s="114"/>
      <c r="Y93" t="s">
        <v>33</v>
      </c>
      <c r="AL93" s="88"/>
      <c r="AM93" s="89"/>
      <c r="AW93" s="8"/>
    </row>
    <row r="94" spans="2:50" ht="3" customHeight="1" thickBot="1" x14ac:dyDescent="0.3">
      <c r="B94" s="10"/>
      <c r="AW94" s="8"/>
    </row>
    <row r="95" spans="2:50" x14ac:dyDescent="0.25">
      <c r="B95" s="10" t="s">
        <v>34</v>
      </c>
      <c r="N95" s="112"/>
      <c r="O95" s="113"/>
      <c r="P95" s="113"/>
      <c r="Q95" s="113"/>
      <c r="R95" s="114"/>
      <c r="AW95" s="8"/>
    </row>
    <row r="96" spans="2:50" ht="3" customHeight="1" x14ac:dyDescent="0.25">
      <c r="B96" s="1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2"/>
    </row>
    <row r="97" spans="2:49" ht="3" customHeight="1" x14ac:dyDescent="0.25"/>
    <row r="98" spans="2:49" ht="15" customHeight="1" x14ac:dyDescent="0.25">
      <c r="B98" s="160" t="s">
        <v>140</v>
      </c>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2"/>
    </row>
    <row r="99" spans="2:49" ht="4.5" customHeight="1" x14ac:dyDescent="0.25">
      <c r="B99" s="10"/>
      <c r="E99" s="31"/>
      <c r="AW99" s="8"/>
    </row>
    <row r="100" spans="2:49" s="47" customFormat="1" ht="17.100000000000001" customHeight="1" x14ac:dyDescent="0.25">
      <c r="B100" s="46" t="s">
        <v>255</v>
      </c>
      <c r="AW100" s="48"/>
    </row>
    <row r="101" spans="2:49" s="47" customFormat="1" ht="3" customHeight="1" x14ac:dyDescent="0.25">
      <c r="B101" s="46"/>
      <c r="AW101" s="48"/>
    </row>
    <row r="102" spans="2:49" s="47" customFormat="1" ht="23.25" customHeight="1" x14ac:dyDescent="0.25">
      <c r="B102" s="163" t="s">
        <v>257</v>
      </c>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4"/>
      <c r="AI102" s="164"/>
      <c r="AJ102" s="164"/>
      <c r="AK102" s="164"/>
      <c r="AL102" s="164"/>
      <c r="AM102" s="164"/>
      <c r="AN102" s="164"/>
      <c r="AO102" s="164"/>
      <c r="AP102" s="164"/>
      <c r="AQ102" s="164"/>
      <c r="AR102" s="164"/>
      <c r="AS102" s="164"/>
      <c r="AT102" s="164"/>
      <c r="AU102" s="164"/>
      <c r="AV102" s="164"/>
      <c r="AW102" s="48"/>
    </row>
    <row r="103" spans="2:49" s="47" customFormat="1" x14ac:dyDescent="0.25">
      <c r="B103" s="163"/>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c r="AL103" s="164"/>
      <c r="AM103" s="164"/>
      <c r="AN103" s="164"/>
      <c r="AO103" s="164"/>
      <c r="AP103" s="164"/>
      <c r="AQ103" s="164"/>
      <c r="AR103" s="164"/>
      <c r="AS103" s="164"/>
      <c r="AT103" s="164"/>
      <c r="AU103" s="164"/>
      <c r="AV103" s="164"/>
      <c r="AW103" s="48"/>
    </row>
    <row r="104" spans="2:49" s="47" customFormat="1" ht="3" customHeight="1" x14ac:dyDescent="0.25">
      <c r="B104" s="49"/>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48"/>
    </row>
    <row r="105" spans="2:49" s="47" customFormat="1" ht="17.100000000000001" customHeight="1" x14ac:dyDescent="0.25">
      <c r="B105" s="46" t="s">
        <v>141</v>
      </c>
      <c r="AW105" s="48"/>
    </row>
    <row r="106" spans="2:49" s="47" customFormat="1" ht="3" customHeight="1" x14ac:dyDescent="0.25">
      <c r="B106" s="46"/>
      <c r="AW106" s="48"/>
    </row>
    <row r="107" spans="2:49" s="47" customFormat="1" ht="17.100000000000001" customHeight="1" x14ac:dyDescent="0.25">
      <c r="B107" s="147" t="s">
        <v>142</v>
      </c>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148"/>
      <c r="AO107" s="148"/>
      <c r="AP107" s="148"/>
      <c r="AQ107" s="148"/>
      <c r="AR107" s="148"/>
      <c r="AS107" s="148"/>
      <c r="AT107" s="148"/>
      <c r="AU107" s="148"/>
      <c r="AV107" s="148"/>
      <c r="AW107" s="48"/>
    </row>
    <row r="108" spans="2:49" s="47" customFormat="1" ht="17.100000000000001" customHeight="1" x14ac:dyDescent="0.25">
      <c r="B108" s="147"/>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c r="AG108" s="148"/>
      <c r="AH108" s="148"/>
      <c r="AI108" s="148"/>
      <c r="AJ108" s="148"/>
      <c r="AK108" s="148"/>
      <c r="AL108" s="148"/>
      <c r="AM108" s="148"/>
      <c r="AN108" s="148"/>
      <c r="AO108" s="148"/>
      <c r="AP108" s="148"/>
      <c r="AQ108" s="148"/>
      <c r="AR108" s="148"/>
      <c r="AS108" s="148"/>
      <c r="AT108" s="148"/>
      <c r="AU108" s="148"/>
      <c r="AV108" s="148"/>
      <c r="AW108" s="48"/>
    </row>
    <row r="109" spans="2:49" s="47" customFormat="1" ht="3" customHeight="1" x14ac:dyDescent="0.25">
      <c r="B109" s="51"/>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48"/>
    </row>
    <row r="110" spans="2:49" s="47" customFormat="1" ht="17.100000000000001" customHeight="1" x14ac:dyDescent="0.25">
      <c r="B110" s="46" t="s">
        <v>143</v>
      </c>
      <c r="AW110" s="48"/>
    </row>
    <row r="111" spans="2:49" s="47" customFormat="1" ht="3" customHeight="1" x14ac:dyDescent="0.25">
      <c r="B111" s="46"/>
      <c r="AW111" s="48"/>
    </row>
    <row r="112" spans="2:49" s="47" customFormat="1" ht="17.100000000000001" customHeight="1" x14ac:dyDescent="0.25">
      <c r="B112" s="147" t="s">
        <v>144</v>
      </c>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148"/>
      <c r="AO112" s="148"/>
      <c r="AP112" s="148"/>
      <c r="AQ112" s="148"/>
      <c r="AR112" s="148"/>
      <c r="AS112" s="148"/>
      <c r="AT112" s="148"/>
      <c r="AU112" s="148"/>
      <c r="AV112" s="148"/>
      <c r="AW112" s="48"/>
    </row>
    <row r="113" spans="2:49" s="47" customFormat="1" ht="17.100000000000001" customHeight="1" x14ac:dyDescent="0.25">
      <c r="B113" s="147"/>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148"/>
      <c r="AO113" s="148"/>
      <c r="AP113" s="148"/>
      <c r="AQ113" s="148"/>
      <c r="AR113" s="148"/>
      <c r="AS113" s="148"/>
      <c r="AT113" s="148"/>
      <c r="AU113" s="148"/>
      <c r="AV113" s="148"/>
      <c r="AW113" s="48"/>
    </row>
    <row r="114" spans="2:49" s="47" customFormat="1" ht="3" customHeight="1" x14ac:dyDescent="0.25">
      <c r="B114" s="51"/>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48"/>
    </row>
    <row r="115" spans="2:49" s="47" customFormat="1" ht="17.100000000000001" customHeight="1" x14ac:dyDescent="0.25">
      <c r="B115" s="46" t="s">
        <v>146</v>
      </c>
      <c r="AW115" s="48"/>
    </row>
    <row r="116" spans="2:49" s="47" customFormat="1" ht="3" customHeight="1" x14ac:dyDescent="0.25">
      <c r="B116" s="46"/>
      <c r="AW116" s="48"/>
    </row>
    <row r="117" spans="2:49" s="47" customFormat="1" ht="17.100000000000001" customHeight="1" x14ac:dyDescent="0.25">
      <c r="B117" s="165" t="s">
        <v>145</v>
      </c>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48"/>
    </row>
    <row r="118" spans="2:49" s="47" customFormat="1" ht="17.100000000000001" customHeight="1" x14ac:dyDescent="0.25">
      <c r="B118" s="165"/>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48"/>
    </row>
    <row r="119" spans="2:49" s="47" customFormat="1" ht="3" customHeight="1" x14ac:dyDescent="0.25">
      <c r="B119" s="165"/>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48"/>
    </row>
    <row r="120" spans="2:49" s="47" customFormat="1" ht="17.100000000000001" customHeight="1" x14ac:dyDescent="0.25">
      <c r="B120" s="147" t="s">
        <v>147</v>
      </c>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148"/>
      <c r="AO120" s="148"/>
      <c r="AP120" s="148"/>
      <c r="AQ120" s="148"/>
      <c r="AR120" s="148"/>
      <c r="AS120" s="148"/>
      <c r="AT120" s="148"/>
      <c r="AU120" s="148"/>
      <c r="AV120" s="148"/>
      <c r="AW120" s="48"/>
    </row>
    <row r="121" spans="2:49" s="47" customFormat="1" ht="17.100000000000001" customHeight="1" x14ac:dyDescent="0.25">
      <c r="B121" s="147"/>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c r="AG121" s="148"/>
      <c r="AH121" s="148"/>
      <c r="AI121" s="148"/>
      <c r="AJ121" s="148"/>
      <c r="AK121" s="148"/>
      <c r="AL121" s="148"/>
      <c r="AM121" s="148"/>
      <c r="AN121" s="148"/>
      <c r="AO121" s="148"/>
      <c r="AP121" s="148"/>
      <c r="AQ121" s="148"/>
      <c r="AR121" s="148"/>
      <c r="AS121" s="148"/>
      <c r="AT121" s="148"/>
      <c r="AU121" s="148"/>
      <c r="AV121" s="148"/>
      <c r="AW121" s="48"/>
    </row>
    <row r="122" spans="2:49" s="47" customFormat="1" ht="3.95" customHeight="1" x14ac:dyDescent="0.25">
      <c r="B122" s="51"/>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48"/>
    </row>
    <row r="123" spans="2:49" s="47" customFormat="1" ht="17.100000000000001" customHeight="1" x14ac:dyDescent="0.25">
      <c r="B123" s="147" t="s">
        <v>148</v>
      </c>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48"/>
    </row>
    <row r="124" spans="2:49" s="47" customFormat="1" ht="17.100000000000001" customHeight="1" x14ac:dyDescent="0.25">
      <c r="B124" s="147"/>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c r="AF124" s="148"/>
      <c r="AG124" s="148"/>
      <c r="AH124" s="148"/>
      <c r="AI124" s="148"/>
      <c r="AJ124" s="148"/>
      <c r="AK124" s="148"/>
      <c r="AL124" s="148"/>
      <c r="AM124" s="148"/>
      <c r="AN124" s="148"/>
      <c r="AO124" s="148"/>
      <c r="AP124" s="148"/>
      <c r="AQ124" s="148"/>
      <c r="AR124" s="148"/>
      <c r="AS124" s="148"/>
      <c r="AT124" s="148"/>
      <c r="AU124" s="148"/>
      <c r="AV124" s="148"/>
      <c r="AW124" s="48"/>
    </row>
    <row r="125" spans="2:49" s="47" customFormat="1" ht="3.95" customHeight="1" x14ac:dyDescent="0.25">
      <c r="B125" s="51"/>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48"/>
    </row>
    <row r="126" spans="2:49" s="47" customFormat="1" ht="17.100000000000001" customHeight="1" x14ac:dyDescent="0.25">
      <c r="B126" s="147" t="s">
        <v>149</v>
      </c>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48"/>
    </row>
    <row r="127" spans="2:49" s="47" customFormat="1" ht="17.100000000000001" customHeight="1" x14ac:dyDescent="0.25">
      <c r="B127" s="147"/>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148"/>
      <c r="AO127" s="148"/>
      <c r="AP127" s="148"/>
      <c r="AQ127" s="148"/>
      <c r="AR127" s="148"/>
      <c r="AS127" s="148"/>
      <c r="AT127" s="148"/>
      <c r="AU127" s="148"/>
      <c r="AV127" s="148"/>
      <c r="AW127" s="48"/>
    </row>
    <row r="128" spans="2:49" s="47" customFormat="1" ht="3.95" customHeight="1" x14ac:dyDescent="0.25">
      <c r="B128" s="51"/>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48"/>
    </row>
    <row r="129" spans="2:49" s="47" customFormat="1" ht="17.100000000000001" customHeight="1" x14ac:dyDescent="0.25">
      <c r="B129" s="147" t="s">
        <v>150</v>
      </c>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148"/>
      <c r="AO129" s="148"/>
      <c r="AP129" s="148"/>
      <c r="AQ129" s="148"/>
      <c r="AR129" s="148"/>
      <c r="AS129" s="148"/>
      <c r="AT129" s="148"/>
      <c r="AU129" s="148"/>
      <c r="AV129" s="148"/>
      <c r="AW129" s="48"/>
    </row>
    <row r="130" spans="2:49" s="47" customFormat="1" ht="17.100000000000001" customHeight="1" x14ac:dyDescent="0.25">
      <c r="B130" s="147"/>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148"/>
      <c r="AO130" s="148"/>
      <c r="AP130" s="148"/>
      <c r="AQ130" s="148"/>
      <c r="AR130" s="148"/>
      <c r="AS130" s="148"/>
      <c r="AT130" s="148"/>
      <c r="AU130" s="148"/>
      <c r="AV130" s="148"/>
      <c r="AW130" s="48"/>
    </row>
    <row r="131" spans="2:49" s="47" customFormat="1" ht="3.95" customHeight="1" x14ac:dyDescent="0.25">
      <c r="B131" s="51"/>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48"/>
    </row>
    <row r="132" spans="2:49" s="47" customFormat="1" ht="17.100000000000001" customHeight="1" x14ac:dyDescent="0.25">
      <c r="B132" s="147" t="s">
        <v>151</v>
      </c>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148"/>
      <c r="AO132" s="148"/>
      <c r="AP132" s="148"/>
      <c r="AQ132" s="148"/>
      <c r="AR132" s="148"/>
      <c r="AS132" s="148"/>
      <c r="AT132" s="148"/>
      <c r="AU132" s="148"/>
      <c r="AV132" s="148"/>
      <c r="AW132" s="48"/>
    </row>
    <row r="133" spans="2:49" s="47" customFormat="1" ht="17.100000000000001" customHeight="1" x14ac:dyDescent="0.25">
      <c r="B133" s="147"/>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48"/>
    </row>
    <row r="134" spans="2:49" s="47" customFormat="1" ht="3.95" customHeight="1" x14ac:dyDescent="0.25">
      <c r="B134" s="51"/>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48"/>
    </row>
    <row r="135" spans="2:49" s="47" customFormat="1" ht="17.100000000000001" customHeight="1" x14ac:dyDescent="0.25">
      <c r="B135" s="147" t="s">
        <v>152</v>
      </c>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148"/>
      <c r="AO135" s="148"/>
      <c r="AP135" s="148"/>
      <c r="AQ135" s="148"/>
      <c r="AR135" s="148"/>
      <c r="AS135" s="148"/>
      <c r="AT135" s="148"/>
      <c r="AU135" s="148"/>
      <c r="AV135" s="148"/>
      <c r="AW135" s="48"/>
    </row>
    <row r="136" spans="2:49" s="47" customFormat="1" ht="17.100000000000001" customHeight="1" x14ac:dyDescent="0.25">
      <c r="B136" s="147"/>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48"/>
    </row>
    <row r="137" spans="2:49" s="47" customFormat="1" ht="17.100000000000001" customHeight="1" x14ac:dyDescent="0.25">
      <c r="B137" s="147" t="s">
        <v>153</v>
      </c>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148"/>
      <c r="AO137" s="148"/>
      <c r="AP137" s="148"/>
      <c r="AQ137" s="148"/>
      <c r="AR137" s="148"/>
      <c r="AS137" s="148"/>
      <c r="AT137" s="148"/>
      <c r="AU137" s="148"/>
      <c r="AV137" s="148"/>
      <c r="AW137" s="48"/>
    </row>
    <row r="138" spans="2:49" s="47" customFormat="1" ht="17.100000000000001" customHeight="1" x14ac:dyDescent="0.25">
      <c r="B138" s="147"/>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c r="AF138" s="148"/>
      <c r="AG138" s="148"/>
      <c r="AH138" s="148"/>
      <c r="AI138" s="148"/>
      <c r="AJ138" s="148"/>
      <c r="AK138" s="148"/>
      <c r="AL138" s="148"/>
      <c r="AM138" s="148"/>
      <c r="AN138" s="148"/>
      <c r="AO138" s="148"/>
      <c r="AP138" s="148"/>
      <c r="AQ138" s="148"/>
      <c r="AR138" s="148"/>
      <c r="AS138" s="148"/>
      <c r="AT138" s="148"/>
      <c r="AU138" s="148"/>
      <c r="AV138" s="148"/>
      <c r="AW138" s="48"/>
    </row>
    <row r="139" spans="2:49" ht="6" customHeight="1" x14ac:dyDescent="0.25">
      <c r="B139" s="10"/>
      <c r="AW139" s="8"/>
    </row>
    <row r="140" spans="2:49" ht="17.100000000000001" customHeight="1" x14ac:dyDescent="0.25">
      <c r="B140" s="10" t="s">
        <v>178</v>
      </c>
      <c r="AW140" s="8"/>
    </row>
    <row r="141" spans="2:49" ht="3" customHeight="1" x14ac:dyDescent="0.25">
      <c r="B141" s="1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2"/>
    </row>
    <row r="142" spans="2:49" ht="3" customHeight="1" x14ac:dyDescent="0.25"/>
    <row r="143" spans="2:49" x14ac:dyDescent="0.25">
      <c r="B143" s="157" t="s">
        <v>154</v>
      </c>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c r="AA143" s="157"/>
      <c r="AB143" s="157"/>
      <c r="AC143" s="157"/>
      <c r="AD143" s="157"/>
      <c r="AE143" s="157"/>
      <c r="AF143" s="157"/>
      <c r="AG143" s="157"/>
      <c r="AH143" s="157"/>
      <c r="AI143" s="157"/>
      <c r="AJ143" s="157"/>
      <c r="AK143" s="157"/>
      <c r="AL143" s="157"/>
      <c r="AM143" s="157"/>
      <c r="AN143" s="157"/>
      <c r="AO143" s="157"/>
      <c r="AP143" s="157"/>
      <c r="AQ143" s="157"/>
      <c r="AR143" s="157"/>
      <c r="AS143" s="157"/>
      <c r="AT143" s="157"/>
      <c r="AU143" s="157"/>
      <c r="AV143" s="157"/>
      <c r="AW143" s="157"/>
    </row>
    <row r="144" spans="2:49" ht="3.75" customHeight="1" x14ac:dyDescent="0.25">
      <c r="B144" s="10"/>
      <c r="AW144" s="8"/>
    </row>
    <row r="145" spans="2:49" ht="15" customHeight="1" x14ac:dyDescent="0.25">
      <c r="B145" s="152" t="s">
        <v>158</v>
      </c>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4"/>
      <c r="AB145" s="13" t="s">
        <v>155</v>
      </c>
      <c r="AC145" s="14"/>
      <c r="AD145" s="14"/>
      <c r="AE145" s="14"/>
      <c r="AF145" s="14"/>
      <c r="AG145" s="14"/>
      <c r="AH145" s="14"/>
      <c r="AI145" s="14"/>
      <c r="AJ145" s="14"/>
      <c r="AK145" s="14"/>
      <c r="AL145" s="14"/>
      <c r="AM145" s="14"/>
      <c r="AN145" s="14"/>
      <c r="AO145" s="14"/>
      <c r="AP145" s="14"/>
      <c r="AQ145" s="14"/>
      <c r="AR145" s="14"/>
      <c r="AS145" s="14"/>
      <c r="AT145" s="14"/>
      <c r="AU145" s="14"/>
      <c r="AV145" s="14"/>
      <c r="AW145" s="15"/>
    </row>
    <row r="146" spans="2:49" ht="20.25" customHeight="1" x14ac:dyDescent="0.25">
      <c r="B146" s="149" t="s">
        <v>157</v>
      </c>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1"/>
      <c r="AB146" s="45" t="s">
        <v>156</v>
      </c>
      <c r="AC146" s="1"/>
      <c r="AD146" s="1"/>
      <c r="AE146" s="1"/>
      <c r="AF146" s="1"/>
      <c r="AG146" s="1"/>
      <c r="AH146" s="1"/>
      <c r="AI146" s="1"/>
      <c r="AJ146" s="1"/>
      <c r="AK146" s="1"/>
      <c r="AL146" s="1"/>
      <c r="AM146" s="1"/>
      <c r="AN146" s="1"/>
      <c r="AO146" s="1"/>
      <c r="AP146" s="1"/>
      <c r="AQ146" s="1"/>
      <c r="AR146" s="1"/>
      <c r="AS146" s="1"/>
      <c r="AT146" s="1"/>
      <c r="AU146" s="1"/>
      <c r="AV146" s="1"/>
      <c r="AW146" s="12"/>
    </row>
    <row r="147" spans="2:49" ht="15" customHeight="1" x14ac:dyDescent="0.25">
      <c r="B147" s="145" t="s">
        <v>159</v>
      </c>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c r="AA147" s="146"/>
      <c r="AB147" s="143" t="s">
        <v>160</v>
      </c>
      <c r="AC147" s="143"/>
      <c r="AD147" s="143"/>
      <c r="AE147" s="143"/>
      <c r="AF147" s="143"/>
      <c r="AG147" s="143"/>
      <c r="AH147" s="143"/>
      <c r="AI147" s="143"/>
      <c r="AJ147" s="143"/>
      <c r="AK147" s="143"/>
      <c r="AL147" s="143"/>
      <c r="AM147" s="143"/>
      <c r="AN147" s="143"/>
      <c r="AO147" s="143"/>
      <c r="AP147" s="143"/>
      <c r="AQ147" s="143"/>
      <c r="AR147" s="143"/>
      <c r="AS147" s="143"/>
      <c r="AT147" s="143"/>
      <c r="AU147" s="143"/>
      <c r="AV147" s="143"/>
      <c r="AW147" s="144"/>
    </row>
    <row r="148" spans="2:49" ht="3" customHeight="1" x14ac:dyDescent="0.25"/>
    <row r="149" spans="2:49" x14ac:dyDescent="0.25">
      <c r="B149" s="157" t="s">
        <v>161</v>
      </c>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c r="AC149" s="157"/>
      <c r="AD149" s="157"/>
      <c r="AE149" s="157"/>
      <c r="AF149" s="157"/>
      <c r="AG149" s="157"/>
      <c r="AH149" s="157"/>
      <c r="AI149" s="157"/>
      <c r="AJ149" s="157"/>
      <c r="AK149" s="157"/>
      <c r="AL149" s="157"/>
      <c r="AM149" s="157"/>
      <c r="AN149" s="157"/>
      <c r="AO149" s="157"/>
      <c r="AP149" s="157"/>
      <c r="AQ149" s="157"/>
      <c r="AR149" s="157"/>
      <c r="AS149" s="157"/>
      <c r="AT149" s="157"/>
      <c r="AU149" s="157"/>
      <c r="AV149" s="157"/>
      <c r="AW149" s="157"/>
    </row>
    <row r="150" spans="2:49" ht="3.75" customHeight="1" thickBot="1" x14ac:dyDescent="0.3">
      <c r="B150" s="10"/>
      <c r="AW150" s="8"/>
    </row>
    <row r="151" spans="2:49" x14ac:dyDescent="0.25">
      <c r="B151" s="10" t="s">
        <v>260</v>
      </c>
      <c r="O151" s="62"/>
      <c r="P151" s="62"/>
      <c r="Q151" s="112"/>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4"/>
      <c r="AW151" s="8"/>
    </row>
    <row r="152" spans="2:49" ht="3" customHeight="1" thickBot="1" x14ac:dyDescent="0.3">
      <c r="B152" s="10"/>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8"/>
    </row>
    <row r="153" spans="2:49" x14ac:dyDescent="0.25">
      <c r="B153" s="155" t="s">
        <v>258</v>
      </c>
      <c r="C153" s="156"/>
      <c r="D153" s="156"/>
      <c r="E153" s="156"/>
      <c r="F153" s="156"/>
      <c r="G153" s="156"/>
      <c r="H153" s="156"/>
      <c r="I153" s="156"/>
      <c r="J153" s="156"/>
      <c r="K153" s="156"/>
      <c r="L153" s="156"/>
      <c r="M153" s="156"/>
      <c r="N153" s="156"/>
      <c r="O153" s="112"/>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c r="AM153" s="113"/>
      <c r="AN153" s="113"/>
      <c r="AO153" s="113"/>
      <c r="AP153" s="113"/>
      <c r="AQ153" s="113"/>
      <c r="AR153" s="113"/>
      <c r="AS153" s="113"/>
      <c r="AT153" s="113"/>
      <c r="AU153" s="113"/>
      <c r="AV153" s="114"/>
      <c r="AW153" s="8"/>
    </row>
    <row r="154" spans="2:49" ht="3" customHeight="1" thickBot="1" x14ac:dyDescent="0.3">
      <c r="B154" s="155"/>
      <c r="C154" s="156"/>
      <c r="D154" s="156"/>
      <c r="E154" s="156"/>
      <c r="F154" s="156"/>
      <c r="G154" s="156"/>
      <c r="H154" s="156"/>
      <c r="I154" s="156"/>
      <c r="J154" s="156"/>
      <c r="K154" s="156"/>
      <c r="L154" s="156"/>
      <c r="M154" s="156"/>
      <c r="N154" s="156"/>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8"/>
    </row>
    <row r="155" spans="2:49" x14ac:dyDescent="0.25">
      <c r="B155" s="155"/>
      <c r="C155" s="156"/>
      <c r="D155" s="156"/>
      <c r="E155" s="156"/>
      <c r="F155" s="156"/>
      <c r="G155" s="156"/>
      <c r="H155" s="156"/>
      <c r="I155" s="156"/>
      <c r="J155" s="156"/>
      <c r="K155" s="156"/>
      <c r="L155" s="156"/>
      <c r="M155" s="156"/>
      <c r="N155" s="156"/>
      <c r="O155" s="112"/>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4"/>
      <c r="AW155" s="8"/>
    </row>
    <row r="156" spans="2:49" ht="7.5" customHeight="1" thickBot="1" x14ac:dyDescent="0.3">
      <c r="B156" s="10"/>
      <c r="AW156" s="8"/>
    </row>
    <row r="157" spans="2:49" x14ac:dyDescent="0.25">
      <c r="B157" s="10" t="s">
        <v>1</v>
      </c>
      <c r="F157" s="126"/>
      <c r="G157" s="127"/>
      <c r="H157" s="127"/>
      <c r="I157" s="127"/>
      <c r="J157" s="128"/>
      <c r="L157" t="s">
        <v>282</v>
      </c>
      <c r="O157" s="134"/>
      <c r="P157" s="135"/>
      <c r="Q157" s="135"/>
      <c r="R157" s="135"/>
      <c r="S157" s="135"/>
      <c r="T157" s="136"/>
      <c r="V157" s="110" t="s">
        <v>78</v>
      </c>
      <c r="W157" s="110"/>
      <c r="X157" s="110"/>
      <c r="Y157" s="131"/>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3"/>
      <c r="AW157" s="8"/>
    </row>
    <row r="158" spans="2:49" ht="3" customHeight="1" x14ac:dyDescent="0.25">
      <c r="B158" s="10"/>
      <c r="F158" s="60"/>
      <c r="G158" s="60"/>
      <c r="H158" s="60"/>
      <c r="I158" s="60"/>
      <c r="J158" s="60"/>
      <c r="O158" s="61"/>
      <c r="P158" s="61"/>
      <c r="Q158" s="61"/>
      <c r="R158" s="61"/>
      <c r="S158" s="61"/>
      <c r="T158" s="61"/>
      <c r="V158" s="7"/>
      <c r="W158" s="7"/>
      <c r="X158" s="7"/>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8"/>
    </row>
    <row r="159" spans="2:49" ht="3" customHeight="1" thickBot="1" x14ac:dyDescent="0.3">
      <c r="B159" s="10"/>
      <c r="AW159" s="8"/>
    </row>
    <row r="160" spans="2:49" ht="15" customHeight="1" x14ac:dyDescent="0.25">
      <c r="B160" s="10" t="s">
        <v>256</v>
      </c>
      <c r="G160" s="118"/>
      <c r="H160" s="119"/>
      <c r="I160" s="119"/>
      <c r="J160" s="119"/>
      <c r="K160" s="119"/>
      <c r="L160" s="119"/>
      <c r="M160" s="119"/>
      <c r="N160" s="119"/>
      <c r="O160" s="119"/>
      <c r="P160" s="119"/>
      <c r="Q160" s="119"/>
      <c r="R160" s="119"/>
      <c r="S160" s="119"/>
      <c r="T160" s="119"/>
      <c r="U160" s="119"/>
      <c r="V160" s="119"/>
      <c r="W160" s="119"/>
      <c r="X160" s="119"/>
      <c r="Y160" s="119"/>
      <c r="Z160" s="119"/>
      <c r="AA160" s="119"/>
      <c r="AB160" s="119"/>
      <c r="AC160" s="119"/>
      <c r="AD160" s="119"/>
      <c r="AE160" s="119"/>
      <c r="AF160" s="119"/>
      <c r="AG160" s="119"/>
      <c r="AH160" s="119"/>
      <c r="AI160" s="119"/>
      <c r="AJ160" s="119"/>
      <c r="AK160" s="119"/>
      <c r="AL160" s="119"/>
      <c r="AM160" s="119"/>
      <c r="AN160" s="119"/>
      <c r="AO160" s="119"/>
      <c r="AP160" s="119"/>
      <c r="AQ160" s="119"/>
      <c r="AR160" s="119"/>
      <c r="AS160" s="119"/>
      <c r="AT160" s="119"/>
      <c r="AU160" s="119"/>
      <c r="AV160" s="120"/>
      <c r="AW160" s="8"/>
    </row>
    <row r="161" spans="2:49" ht="3" customHeight="1" thickBot="1" x14ac:dyDescent="0.3">
      <c r="B161" s="10"/>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8"/>
    </row>
    <row r="162" spans="2:49" ht="15" customHeight="1" x14ac:dyDescent="0.25">
      <c r="B162" s="10"/>
      <c r="G162" s="118"/>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c r="AQ162" s="119"/>
      <c r="AR162" s="119"/>
      <c r="AS162" s="119"/>
      <c r="AT162" s="119"/>
      <c r="AU162" s="119"/>
      <c r="AV162" s="120"/>
      <c r="AW162" s="8"/>
    </row>
    <row r="163" spans="2:49" ht="3" customHeight="1" thickBot="1" x14ac:dyDescent="0.3">
      <c r="B163" s="10"/>
      <c r="AW163" s="8"/>
    </row>
    <row r="164" spans="2:49" ht="15" customHeight="1" x14ac:dyDescent="0.25">
      <c r="B164" s="10"/>
      <c r="G164" s="118"/>
      <c r="H164" s="119"/>
      <c r="I164" s="119"/>
      <c r="J164" s="119"/>
      <c r="K164" s="119"/>
      <c r="L164" s="119"/>
      <c r="M164" s="119"/>
      <c r="N164" s="119"/>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c r="AL164" s="119"/>
      <c r="AM164" s="119"/>
      <c r="AN164" s="119"/>
      <c r="AO164" s="119"/>
      <c r="AP164" s="119"/>
      <c r="AQ164" s="119"/>
      <c r="AR164" s="119"/>
      <c r="AS164" s="119"/>
      <c r="AT164" s="119"/>
      <c r="AU164" s="119"/>
      <c r="AV164" s="120"/>
      <c r="AW164" s="8"/>
    </row>
    <row r="165" spans="2:49" x14ac:dyDescent="0.25">
      <c r="B165" s="35" t="s">
        <v>268</v>
      </c>
      <c r="C165" s="36"/>
      <c r="D165" s="36"/>
      <c r="E165" s="36"/>
      <c r="F165" s="36"/>
      <c r="G165" s="36"/>
      <c r="H165" s="36"/>
      <c r="I165" s="36"/>
      <c r="J165" s="36"/>
      <c r="K165" s="36"/>
      <c r="L165" s="36"/>
      <c r="M165" s="36"/>
      <c r="N165" s="36"/>
      <c r="O165" s="36"/>
      <c r="P165" s="36"/>
      <c r="Q165" s="36"/>
      <c r="R165" s="36"/>
      <c r="S165" s="36"/>
      <c r="T165" s="36"/>
      <c r="V165" s="159" t="s">
        <v>281</v>
      </c>
      <c r="W165" s="159"/>
      <c r="X165" s="159"/>
      <c r="Y165" s="159"/>
      <c r="Z165" s="159"/>
      <c r="AA165" s="159"/>
      <c r="AB165" s="159"/>
      <c r="AC165" s="159"/>
      <c r="AD165" s="159"/>
      <c r="AE165" s="159"/>
      <c r="AF165" s="159"/>
      <c r="AG165" s="159"/>
      <c r="AH165" s="159"/>
      <c r="AI165" s="159"/>
      <c r="AJ165" s="159"/>
      <c r="AK165" s="159"/>
      <c r="AL165" s="159"/>
      <c r="AM165" s="159"/>
      <c r="AN165" s="159"/>
      <c r="AO165" s="159"/>
      <c r="AP165" s="159"/>
      <c r="AQ165" s="159"/>
      <c r="AR165" s="159"/>
      <c r="AS165" s="159"/>
      <c r="AT165" s="159"/>
      <c r="AU165" s="159"/>
      <c r="AV165" s="159"/>
      <c r="AW165" s="8"/>
    </row>
    <row r="166" spans="2:49" ht="3.75" customHeight="1" thickBot="1" x14ac:dyDescent="0.3">
      <c r="B166" s="35"/>
      <c r="C166" s="36"/>
      <c r="D166" s="36"/>
      <c r="E166" s="36"/>
      <c r="F166" s="36"/>
      <c r="G166" s="36"/>
      <c r="H166" s="36"/>
      <c r="I166" s="36"/>
      <c r="J166" s="36"/>
      <c r="K166" s="36"/>
      <c r="L166" s="36"/>
      <c r="M166" s="36"/>
      <c r="N166" s="36"/>
      <c r="O166" s="36"/>
      <c r="P166" s="36"/>
      <c r="Q166" s="36"/>
      <c r="R166" s="36"/>
      <c r="S166" s="36"/>
      <c r="T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8"/>
    </row>
    <row r="167" spans="2:49" ht="21" customHeight="1" x14ac:dyDescent="0.25">
      <c r="B167" s="35"/>
      <c r="C167" s="93"/>
      <c r="D167" s="94"/>
      <c r="E167" s="94"/>
      <c r="F167" s="94"/>
      <c r="G167" s="94"/>
      <c r="H167" s="94"/>
      <c r="I167" s="94"/>
      <c r="J167" s="94"/>
      <c r="K167" s="94"/>
      <c r="L167" s="94"/>
      <c r="M167" s="94"/>
      <c r="N167" s="94"/>
      <c r="O167" s="94"/>
      <c r="P167" s="94"/>
      <c r="Q167" s="94"/>
      <c r="R167" s="94"/>
      <c r="S167" s="94"/>
      <c r="T167" s="95"/>
      <c r="V167" s="158"/>
      <c r="W167" s="158"/>
      <c r="X167" s="158"/>
      <c r="Y167" s="158"/>
      <c r="Z167" s="158"/>
      <c r="AA167" s="158"/>
      <c r="AB167" s="158"/>
      <c r="AC167" s="158"/>
      <c r="AD167" s="158"/>
      <c r="AE167" s="158"/>
      <c r="AF167" s="158"/>
      <c r="AG167" s="158"/>
      <c r="AH167" s="158"/>
      <c r="AI167" s="158"/>
      <c r="AJ167" s="158"/>
      <c r="AK167" s="158"/>
      <c r="AL167" s="158"/>
      <c r="AM167" s="158"/>
      <c r="AN167" s="158"/>
      <c r="AO167" s="158"/>
      <c r="AP167" s="158"/>
      <c r="AQ167" s="158"/>
      <c r="AR167" s="158"/>
      <c r="AS167" s="158"/>
      <c r="AT167" s="158"/>
      <c r="AU167" s="158"/>
      <c r="AV167" s="158"/>
      <c r="AW167" s="8"/>
    </row>
    <row r="168" spans="2:49" ht="11.25" customHeight="1" x14ac:dyDescent="0.25">
      <c r="B168" s="1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2"/>
    </row>
  </sheetData>
  <sheetProtection algorithmName="SHA-512" hashValue="ZgWvMH4XvfAZL2FwZi0Jd0bwKH/pkORWE0UsXelgiAo78U9djCeehxySZVoZvBUBhbTgmupxN9qKD1LEh+A9Eg==" saltValue="4SiCerqCAHy4B+UZFTpv7Q==" spinCount="100000" sheet="1" selectLockedCells="1"/>
  <mergeCells count="139">
    <mergeCell ref="B10:AV10"/>
    <mergeCell ref="N95:R95"/>
    <mergeCell ref="R29:U29"/>
    <mergeCell ref="L2:AS4"/>
    <mergeCell ref="B88:AW88"/>
    <mergeCell ref="P73:V73"/>
    <mergeCell ref="B87:AW87"/>
    <mergeCell ref="L5:AV5"/>
    <mergeCell ref="T27:U27"/>
    <mergeCell ref="I39:AN39"/>
    <mergeCell ref="S36:U36"/>
    <mergeCell ref="X27:AB27"/>
    <mergeCell ref="P29:Q29"/>
    <mergeCell ref="I41:AH41"/>
    <mergeCell ref="AC27:AE27"/>
    <mergeCell ref="AG27:AK27"/>
    <mergeCell ref="AL27:AN27"/>
    <mergeCell ref="T34:U34"/>
    <mergeCell ref="AH31:AI31"/>
    <mergeCell ref="AE61:AR61"/>
    <mergeCell ref="B63:AW63"/>
    <mergeCell ref="B7:AW8"/>
    <mergeCell ref="Y29:AE29"/>
    <mergeCell ref="AG29:AN29"/>
    <mergeCell ref="B98:AW98"/>
    <mergeCell ref="B143:AW143"/>
    <mergeCell ref="B120:AV121"/>
    <mergeCell ref="B126:AV127"/>
    <mergeCell ref="B129:AV130"/>
    <mergeCell ref="B132:AV133"/>
    <mergeCell ref="B102:AV103"/>
    <mergeCell ref="B107:AV108"/>
    <mergeCell ref="B112:AV113"/>
    <mergeCell ref="B117:AV119"/>
    <mergeCell ref="AB147:AW147"/>
    <mergeCell ref="B147:AA147"/>
    <mergeCell ref="B123:AV124"/>
    <mergeCell ref="B146:AA146"/>
    <mergeCell ref="B145:AA145"/>
    <mergeCell ref="C167:T167"/>
    <mergeCell ref="F157:J157"/>
    <mergeCell ref="O157:T157"/>
    <mergeCell ref="V157:X157"/>
    <mergeCell ref="Y157:AV157"/>
    <mergeCell ref="B153:N155"/>
    <mergeCell ref="O153:AV153"/>
    <mergeCell ref="B149:AW149"/>
    <mergeCell ref="O155:AV155"/>
    <mergeCell ref="G160:AV160"/>
    <mergeCell ref="G162:AV162"/>
    <mergeCell ref="G164:AV164"/>
    <mergeCell ref="Q151:AV151"/>
    <mergeCell ref="V167:AV167"/>
    <mergeCell ref="V165:AV165"/>
    <mergeCell ref="B135:AV136"/>
    <mergeCell ref="B137:AV138"/>
    <mergeCell ref="B25:AV25"/>
    <mergeCell ref="B57:AV57"/>
    <mergeCell ref="F22:J22"/>
    <mergeCell ref="L61:AD61"/>
    <mergeCell ref="R54:S54"/>
    <mergeCell ref="X52:AB52"/>
    <mergeCell ref="V27:W27"/>
    <mergeCell ref="E16:F16"/>
    <mergeCell ref="AO39:AT39"/>
    <mergeCell ref="AU39:AV39"/>
    <mergeCell ref="AU41:AV41"/>
    <mergeCell ref="P20:S20"/>
    <mergeCell ref="T20:AI20"/>
    <mergeCell ref="V22:X22"/>
    <mergeCell ref="Y22:AV22"/>
    <mergeCell ref="O22:T22"/>
    <mergeCell ref="AM36:AN36"/>
    <mergeCell ref="AP36:AR36"/>
    <mergeCell ref="AS36:AU36"/>
    <mergeCell ref="AT59:AV59"/>
    <mergeCell ref="AM41:AT41"/>
    <mergeCell ref="AH45:AJ45"/>
    <mergeCell ref="B34:F36"/>
    <mergeCell ref="AE52:AT52"/>
    <mergeCell ref="Y12:AF12"/>
    <mergeCell ref="AS20:AV20"/>
    <mergeCell ref="E20:N20"/>
    <mergeCell ref="G18:AD18"/>
    <mergeCell ref="K16:Q16"/>
    <mergeCell ref="AC16:AI16"/>
    <mergeCell ref="AN20:AO20"/>
    <mergeCell ref="AK20:AM20"/>
    <mergeCell ref="AQ20:AR20"/>
    <mergeCell ref="N14:AV14"/>
    <mergeCell ref="I12:M12"/>
    <mergeCell ref="AG12:AK12"/>
    <mergeCell ref="AI18:AK18"/>
    <mergeCell ref="AR18:AV18"/>
    <mergeCell ref="AL18:AQ18"/>
    <mergeCell ref="AE18:AH18"/>
    <mergeCell ref="AL93:AM93"/>
    <mergeCell ref="P83:AU83"/>
    <mergeCell ref="P85:AU85"/>
    <mergeCell ref="P81:V81"/>
    <mergeCell ref="P69:V69"/>
    <mergeCell ref="P71:V71"/>
    <mergeCell ref="P75:V75"/>
    <mergeCell ref="AB45:AF45"/>
    <mergeCell ref="U54:AV54"/>
    <mergeCell ref="H45:T45"/>
    <mergeCell ref="AB49:AF49"/>
    <mergeCell ref="AH49:AJ49"/>
    <mergeCell ref="AB47:AF47"/>
    <mergeCell ref="AH47:AJ47"/>
    <mergeCell ref="AT49:AV49"/>
    <mergeCell ref="H49:Z49"/>
    <mergeCell ref="L59:S59"/>
    <mergeCell ref="T59:Z59"/>
    <mergeCell ref="L52:O52"/>
    <mergeCell ref="AS61:AV61"/>
    <mergeCell ref="Y91:AK91"/>
    <mergeCell ref="H93:R93"/>
    <mergeCell ref="AL91:AS91"/>
    <mergeCell ref="P77:AU77"/>
    <mergeCell ref="B45:G49"/>
    <mergeCell ref="AK34:AL34"/>
    <mergeCell ref="AM34:AN34"/>
    <mergeCell ref="AP34:AR34"/>
    <mergeCell ref="AS34:AU34"/>
    <mergeCell ref="AK36:AL36"/>
    <mergeCell ref="H47:Z47"/>
    <mergeCell ref="K91:R91"/>
    <mergeCell ref="P79:AU79"/>
    <mergeCell ref="Z34:AA34"/>
    <mergeCell ref="X34:Y34"/>
    <mergeCell ref="AC34:AE34"/>
    <mergeCell ref="AF34:AH34"/>
    <mergeCell ref="X36:Y36"/>
    <mergeCell ref="Z36:AA36"/>
    <mergeCell ref="AC36:AE36"/>
    <mergeCell ref="AF36:AH36"/>
    <mergeCell ref="B64:AV64"/>
    <mergeCell ref="C67:AU67"/>
  </mergeCells>
  <conditionalFormatting sqref="AU39:AV39 AU41:AV41">
    <cfRule type="expression" dxfId="42" priority="71">
      <formula>$AO$39=""</formula>
    </cfRule>
  </conditionalFormatting>
  <conditionalFormatting sqref="R54:S54">
    <cfRule type="expression" dxfId="41" priority="70">
      <formula>OR($I$39="",$I$39="Ligação de Nova Unidade Consumidora COM Geração Distribuída")</formula>
    </cfRule>
  </conditionalFormatting>
  <conditionalFormatting sqref="T59:Z59">
    <cfRule type="expression" dxfId="40" priority="76">
      <formula>$L$59&lt;&gt;"Outra (especificar)"</formula>
    </cfRule>
  </conditionalFormatting>
  <conditionalFormatting sqref="B7:AW8">
    <cfRule type="cellIs" dxfId="39" priority="66" operator="notEqual">
      <formula>""</formula>
    </cfRule>
  </conditionalFormatting>
  <conditionalFormatting sqref="AE52:AT52">
    <cfRule type="expression" dxfId="38" priority="61">
      <formula>$AE$52=""</formula>
    </cfRule>
  </conditionalFormatting>
  <conditionalFormatting sqref="A36">
    <cfRule type="expression" dxfId="37" priority="58">
      <formula>Grupo="B"</formula>
    </cfRule>
  </conditionalFormatting>
  <conditionalFormatting sqref="C67:AU67">
    <cfRule type="expression" dxfId="36" priority="56">
      <formula>$C$67=""</formula>
    </cfRule>
  </conditionalFormatting>
  <conditionalFormatting sqref="AH47:AJ47">
    <cfRule type="expression" dxfId="35" priority="80">
      <formula>$H$47=""</formula>
    </cfRule>
  </conditionalFormatting>
  <conditionalFormatting sqref="AB49:AF49 AH49:AX49">
    <cfRule type="expression" dxfId="34" priority="81">
      <formula>$H$49=""</formula>
    </cfRule>
  </conditionalFormatting>
  <conditionalFormatting sqref="AB47:AF47">
    <cfRule type="expression" dxfId="33" priority="4">
      <formula>$H$47=""</formula>
    </cfRule>
  </conditionalFormatting>
  <conditionalFormatting sqref="AO76:AU76">
    <cfRule type="expression" dxfId="32" priority="46">
      <formula>TipoFonte = "Eólica"</formula>
    </cfRule>
    <cfRule type="expression" dxfId="31" priority="47">
      <formula>TipoFonte="Biomassa"</formula>
    </cfRule>
  </conditionalFormatting>
  <conditionalFormatting sqref="X34:AU36">
    <cfRule type="expression" dxfId="30" priority="9">
      <formula>$S$36=""</formula>
    </cfRule>
    <cfRule type="expression" dxfId="29" priority="27">
      <formula>OR($T$34="Nº 1",$T$34="Nº 5",$T$34="Nº 8")</formula>
    </cfRule>
  </conditionalFormatting>
  <conditionalFormatting sqref="X34:AH34">
    <cfRule type="expression" dxfId="28" priority="14">
      <formula>AND(OR($T$34="Nº 2",$T$34="Nº 4"),$S$36=1)</formula>
    </cfRule>
  </conditionalFormatting>
  <conditionalFormatting sqref="AK34:AU34">
    <cfRule type="expression" dxfId="27" priority="12">
      <formula>AND(OR($T$34="Nº 2",$T$34="Nº 4"),$S$36&lt;=2)</formula>
    </cfRule>
  </conditionalFormatting>
  <conditionalFormatting sqref="AK36:AU36">
    <cfRule type="expression" dxfId="26" priority="10">
      <formula>AND(OR($T$34="Nº 2",$T$34="Nº 4"),$S$36&lt;=3)</formula>
    </cfRule>
  </conditionalFormatting>
  <conditionalFormatting sqref="B34:AV36">
    <cfRule type="expression" dxfId="25" priority="6">
      <formula>$E$16="B"</formula>
    </cfRule>
  </conditionalFormatting>
  <conditionalFormatting sqref="A34:A36">
    <cfRule type="expression" dxfId="24" priority="26">
      <formula>$E$16="B"</formula>
    </cfRule>
  </conditionalFormatting>
  <conditionalFormatting sqref="B67:AU86">
    <cfRule type="expression" dxfId="23" priority="1">
      <formula>$L$59=""</formula>
    </cfRule>
  </conditionalFormatting>
  <conditionalFormatting sqref="A82 A67:A79 A84:A86">
    <cfRule type="expression" dxfId="22" priority="24">
      <formula>$L$59=""</formula>
    </cfRule>
  </conditionalFormatting>
  <conditionalFormatting sqref="AH49:AV49">
    <cfRule type="expression" dxfId="21" priority="20">
      <formula>$AB$49="Sem Disj. Geral"</formula>
    </cfRule>
  </conditionalFormatting>
  <conditionalFormatting sqref="AH47:AK47">
    <cfRule type="expression" dxfId="20" priority="19">
      <formula>OR($AB$47="Sem Disj. Geral",$AB$47="Sem Alter. Carga",)</formula>
    </cfRule>
  </conditionalFormatting>
  <conditionalFormatting sqref="U54:AV54">
    <cfRule type="expression" dxfId="19" priority="18">
      <formula>$U$54="&lt;-- Para SE Nº 1 não pode haver mudança de local do Padrão de Entrada. Altere..."</formula>
    </cfRule>
  </conditionalFormatting>
  <conditionalFormatting sqref="AB45:AK45">
    <cfRule type="expression" dxfId="18" priority="17">
      <formula>$H$45=" Relé de Proteção Secundária"</formula>
    </cfRule>
  </conditionalFormatting>
  <conditionalFormatting sqref="P29:Q29">
    <cfRule type="expression" dxfId="17" priority="16">
      <formula>$E$16="A"</formula>
    </cfRule>
  </conditionalFormatting>
  <conditionalFormatting sqref="R29:U29">
    <cfRule type="expression" dxfId="16" priority="15">
      <formula>OR($E$16="B",$E$16="")</formula>
    </cfRule>
  </conditionalFormatting>
  <conditionalFormatting sqref="AJ74:AU74">
    <cfRule type="expression" dxfId="15" priority="39">
      <formula>TipoFonte="Cogeração Qualificada"</formula>
    </cfRule>
    <cfRule type="expression" dxfId="14" priority="42">
      <formula>TipoFonte = "Eólica"</formula>
    </cfRule>
    <cfRule type="expression" dxfId="13" priority="43">
      <formula>TipoFonte = "Biomassa"</formula>
    </cfRule>
    <cfRule type="expression" dxfId="12" priority="44">
      <formula>TipoFonte = "Hidráulica"</formula>
    </cfRule>
  </conditionalFormatting>
  <conditionalFormatting sqref="P81:AU85">
    <cfRule type="expression" dxfId="11" priority="2">
      <formula>$L$59="Hidráulica"</formula>
    </cfRule>
  </conditionalFormatting>
  <conditionalFormatting sqref="P83:AU85">
    <cfRule type="expression" dxfId="10" priority="25">
      <formula>OR($L$59="Biomassa",$L$59="Cogeração Qualificada",$L$59="Eólica")</formula>
    </cfRule>
  </conditionalFormatting>
  <dataValidations count="36">
    <dataValidation type="list" allowBlank="1" showInputMessage="1" showErrorMessage="1" sqref="I42" xr:uid="{00000000-0002-0000-0000-000001000000}">
      <formula1>"Edificação Individual,Edificação Coletiva ou Agrupamento"</formula1>
    </dataValidation>
    <dataValidation type="list" allowBlank="1" showInputMessage="1" showErrorMessage="1" sqref="X53" xr:uid="{00000000-0002-0000-0000-000002000000}">
      <formula1>"Aéreo,Subterrâneo"</formula1>
    </dataValidation>
    <dataValidation type="list" allowBlank="1" showInputMessage="1" showErrorMessage="1" sqref="L61" xr:uid="{00000000-0002-0000-0000-000004000000}">
      <formula1>"Consumo Local,Autoconsumo Remoto,Geração Compartilhada,Empreendimento de Múltiplas Unidades Consumidoras"</formula1>
    </dataValidation>
    <dataValidation type="whole" operator="greaterThan" allowBlank="1" showInputMessage="1" showErrorMessage="1" prompt="Apenas números" sqref="AC16:AI17" xr:uid="{00000000-0002-0000-0000-000005000000}">
      <formula1>0</formula1>
    </dataValidation>
    <dataValidation type="whole" allowBlank="1" showInputMessage="1" showErrorMessage="1" errorTitle="Valor não permitido" error="O número deve estar entre 7000000000 e 7999999999" promptTitle="Número do Cliente" prompt="Número de identificação do consumidor na distribuidora. É iniciado, sempre, pelo dígito 7" sqref="I12" xr:uid="{00000000-0002-0000-0000-000006000000}">
      <formula1>7000000000</formula1>
      <formula2>7999999999</formula2>
    </dataValidation>
    <dataValidation type="whole" allowBlank="1" showInputMessage="1" showErrorMessage="1" promptTitle="Número de instalação" prompt="Número de identificação da unidade consumidora na distribuidora. É iniciado, sempre, pelo dígito 3._x000a__x000a_Se ligação nova, não preencher este campo." sqref="AG12" xr:uid="{00000000-0002-0000-0000-000007000000}">
      <formula1>3000000000</formula1>
      <formula2>3999999999</formula2>
    </dataValidation>
    <dataValidation type="list" allowBlank="1" showInputMessage="1" showErrorMessage="1" sqref="AN20:AO20" xr:uid="{00000000-0002-0000-0000-000008000000}">
      <formula1>"MG"</formula1>
    </dataValidation>
    <dataValidation type="list" allowBlank="1" showInputMessage="1" showErrorMessage="1" sqref="K16" xr:uid="{00000000-0002-0000-0000-000009000000}">
      <formula1>"Residencial,Industrial,Comercial,Rural,Poder Público,Iluminação Pública,Serviço Público"</formula1>
    </dataValidation>
    <dataValidation type="list" allowBlank="1" showInputMessage="1" showErrorMessage="1" promptTitle="Grupo de Tensão" prompt="A - Clientes Atendidos em Média e Alta Tensão_x000a_B - Clientes Atendidos em Baixa Tensão e Iluminação Pública" sqref="E16:F16" xr:uid="{00000000-0002-0000-0000-00000A000000}">
      <formula1>"A,B"</formula1>
    </dataValidation>
    <dataValidation type="list" allowBlank="1" showInputMessage="1" showErrorMessage="1" sqref="AH28:AI28 V27:W27" xr:uid="{00000000-0002-0000-0000-00000B000000}">
      <formula1>"22,23,24"</formula1>
    </dataValidation>
    <dataValidation type="list" allowBlank="1" showInputMessage="1" showErrorMessage="1" sqref="T34:U34" xr:uid="{00000000-0002-0000-0000-00000E000000}">
      <formula1>"Nº 1,Nº 2,Nº 4,Nº 5,Nº 8"</formula1>
    </dataValidation>
    <dataValidation allowBlank="1" showInputMessage="1" showErrorMessage="1" prompt="GGG.FF.UF.999999-9.VV" sqref="K91:R91" xr:uid="{00000000-0002-0000-0000-000010000000}"/>
    <dataValidation allowBlank="1" showInputMessage="1" showErrorMessage="1" prompt="Instalação geradora + Instalações recebedoras" sqref="AS61:AV61" xr:uid="{00000000-0002-0000-0000-000011000000}"/>
    <dataValidation type="whole" allowBlank="1" showInputMessage="1" showErrorMessage="1" prompt="Apenas números" sqref="AS20:AV20" xr:uid="{00000000-0002-0000-0000-000012000000}">
      <formula1>0</formula1>
      <formula2>99999999</formula2>
    </dataValidation>
    <dataValidation type="whole" errorStyle="warning" allowBlank="1" showInputMessage="1" showErrorMessage="1" errorTitle="Informar telefone" error="Informe o telefone com 10 dígitos" promptTitle="Telefone" prompt="Informe apenas os números de seu telefone com o DDD" sqref="F22:J22 F157:J158" xr:uid="{00000000-0002-0000-0000-000013000000}">
      <formula1>1000000000</formula1>
      <formula2>9999999999</formula2>
    </dataValidation>
    <dataValidation type="whole" allowBlank="1" showInputMessage="1" showErrorMessage="1" promptTitle="Celular" prompt="Informe apenas os números de seu celular com o DDD" sqref="O22:T22 O157:T158" xr:uid="{00000000-0002-0000-0000-000014000000}">
      <formula1>10000000000</formula1>
      <formula2>99999999999</formula2>
    </dataValidation>
    <dataValidation type="list" allowBlank="1" showInputMessage="1" showErrorMessage="1" sqref="I41:AH41" xr:uid="{43C958B2-6E6C-496F-8414-07EC81994C3E}">
      <formula1>Tipos_Edificações</formula1>
    </dataValidation>
    <dataValidation type="list" allowBlank="1" showInputMessage="1" showErrorMessage="1" sqref="I39:AN39" xr:uid="{3948EA52-3C56-4B8A-A6FF-9CC4A6D61EF3}">
      <formula1>Tipos_Solicitação</formula1>
    </dataValidation>
    <dataValidation allowBlank="1" showInputMessage="1" showErrorMessage="1" promptTitle="Carga Instalada" prompt="Campo com preenchimento automático." sqref="P29:Q29" xr:uid="{2CB5B700-ACF0-4D87-A323-BC06FFFD29A5}"/>
    <dataValidation type="list" allowBlank="1" showInputMessage="1" showErrorMessage="1" sqref="L52:O52" xr:uid="{CD5D3885-4D6C-4C81-8087-B248BC915CB5}">
      <formula1>TensãoGrupo</formula1>
    </dataValidation>
    <dataValidation type="decimal" allowBlank="1" showInputMessage="1" showErrorMessage="1" promptTitle="Atenção" prompt="Campo com preenchimento automático." sqref="AT59:AV59" xr:uid="{27FB734E-82D4-4996-A40B-F666D0BA1041}">
      <formula1>0</formula1>
      <formula2>75</formula2>
    </dataValidation>
    <dataValidation type="list" allowBlank="1" showInputMessage="1" showErrorMessage="1" sqref="X52:AB52" xr:uid="{6D656FA8-A95E-493E-B8B1-EA7DBDF3B909}">
      <formula1>TipoRamal</formula1>
    </dataValidation>
    <dataValidation type="list" allowBlank="1" showInputMessage="1" showErrorMessage="1" sqref="AB49:AF49" xr:uid="{0822EF6E-60CD-4556-9ACA-BE9304619DE3}">
      <formula1>Fases_Disjuntor_2</formula1>
    </dataValidation>
    <dataValidation type="list" allowBlank="1" showInputMessage="1" showErrorMessage="1" sqref="AH45:AJ45" xr:uid="{1A6B0939-BCD5-4A12-8268-3404DDFD44B2}">
      <formula1>IF(Grupo="B",IF(Cod_Solicitação=4,TblDisj_2,TblDisj),TblDisj)</formula1>
    </dataValidation>
    <dataValidation type="list" allowBlank="1" showInputMessage="1" showErrorMessage="1" sqref="AH47:AJ47" xr:uid="{6722B8EE-A8EE-40E2-9208-D9A383DBEEF6}">
      <formula1>TblDisj_2</formula1>
    </dataValidation>
    <dataValidation type="list" allowBlank="1" showInputMessage="1" showErrorMessage="1" sqref="AH49:AJ49" xr:uid="{B6FE2FD7-5FF2-4F0A-A4C6-771E5BC70106}">
      <formula1>TblDisj_3</formula1>
    </dataValidation>
    <dataValidation type="whole" allowBlank="1" showInputMessage="1" showErrorMessage="1" sqref="AC27:AE27" xr:uid="{CD69C790-0998-42FC-9CAA-B7565A1C9D45}">
      <formula1>E_Mínimo</formula1>
      <formula2>E_Máximo</formula2>
    </dataValidation>
    <dataValidation type="whole" allowBlank="1" showInputMessage="1" showErrorMessage="1" sqref="AL27:AN27" xr:uid="{75D933B6-DA3F-4B97-9AE6-01E82E9AE6CA}">
      <formula1>N_Mínimo</formula1>
      <formula2>N_Máximo</formula2>
    </dataValidation>
    <dataValidation type="list" allowBlank="1" showInputMessage="1" showErrorMessage="1"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sqref="S36:U36" xr:uid="{FFC70F06-75CC-4674-93C2-C1FF70FBEBF0}">
      <formula1>TrafosPorSE</formula1>
    </dataValidation>
    <dataValidation type="list" allowBlank="1" showInputMessage="1" showErrorMessage="1" sqref="L59:S59" xr:uid="{D74826A0-4025-43C6-B317-A52083B44014}">
      <formula1>"Solar,Hidráulica,Biomassa,Cogeração Qualificada,Eólica"</formula1>
    </dataValidation>
    <dataValidation allowBlank="1" showInputMessage="1" showErrorMessage="1" promptTitle="Qte disjuntor geral" prompt="Informe aqui a quantidade de disjuntor geral." sqref="AT49:AV49" xr:uid="{95F0FF69-3779-4FFF-B185-9F1EF6591BFA}"/>
    <dataValidation type="list" allowBlank="1" showInputMessage="1" showErrorMessage="1" sqref="R54:S54" xr:uid="{82E90D37-1D64-4C1E-9B30-6C74D1B3FCE6}">
      <formula1>MudançaLocal</formula1>
    </dataValidation>
    <dataValidation type="list" allowBlank="1" showInputMessage="1" showErrorMessage="1" sqref="AB47:AF47" xr:uid="{EB9290B1-4A42-48CC-AC1C-C8527DEBB976}">
      <formula1>Fases_Disjuntores</formula1>
    </dataValidation>
    <dataValidation type="list" allowBlank="1" showInputMessage="1" showErrorMessage="1" sqref="AB45:AF45" xr:uid="{B04BFF64-6166-4D0F-84BA-58B606B9262E}">
      <formula1>Fases_Disjuntores_3</formula1>
    </dataValidation>
    <dataValidation allowBlank="1" showInputMessage="1" showErrorMessage="1" promptTitle="Assin. do Consumidor/Responsável" prompt="Neste campo deve conter uma assinatura de próprio punho ou uma assinatura digital com certificação válida." sqref="V167:AV167" xr:uid="{808DEA3E-F93A-4816-85F6-C40C043BD99E}"/>
    <dataValidation allowBlank="1" showInputMessage="1" showErrorMessage="1" prompt="Para os consumidores do grupo A, informe a carga demandada ou  a soma das cargas instaladas (consumo próprio)." sqref="R29:U29" xr:uid="{38980354-3D39-4E93-B79C-3A6EC9425438}"/>
  </dataValidations>
  <printOptions horizontalCentered="1"/>
  <pageMargins left="0.70866141732283472" right="0.70866141732283472" top="0.74803149606299213" bottom="0.35433070866141736" header="0.31496062992125984" footer="0.31496062992125984"/>
  <pageSetup paperSize="9" scale="66" fitToHeight="0" orientation="portrait" r:id="rId1"/>
  <headerFooter>
    <oddFooter>&amp;R_x000D_&amp;1#&amp;"Calibri"&amp;10&amp;K000000 Classificação: Público</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55" id="{9FDFB64B-BAC2-458C-BA88-7BB1BA039E55}">
            <xm:f>OR(AND($AB$47="Sem Disj. Geral",AND($I$39&lt;&gt;Apoio!$A$2,$I$39&lt;&gt;Apoio!$A$3)),AND($AB$47="Sem Alter. Carga",$I$39&lt;&gt;Apoio!$A$5))</xm:f>
            <x14:dxf>
              <font>
                <b/>
                <i val="0"/>
                <color theme="0"/>
              </font>
              <fill>
                <patternFill>
                  <bgColor rgb="FFFF0000"/>
                </patternFill>
              </fill>
            </x14:dxf>
          </x14:cfRule>
          <xm:sqref>AB47:AF47</xm:sqref>
        </x14:conditionalFormatting>
        <x14:conditionalFormatting xmlns:xm="http://schemas.microsoft.com/office/excel/2006/main">
          <x14:cfRule type="expression" priority="40" id="{330F505A-C21C-482B-9F92-F6DB9337244A}">
            <xm:f>Dados!$D$6=3</xm:f>
            <x14:dxf>
              <font>
                <color theme="0"/>
              </font>
              <border>
                <left/>
                <right/>
                <top/>
                <bottom/>
                <vertical/>
                <horizontal/>
              </border>
            </x14:dxf>
          </x14:cfRule>
          <xm:sqref>AM41:AV41</xm:sqref>
        </x14:conditionalFormatting>
        <x14:conditionalFormatting xmlns:xm="http://schemas.microsoft.com/office/excel/2006/main">
          <x14:cfRule type="expression" priority="87" id="{2392F1BE-ED33-446F-91DF-6B71BD925813}">
            <xm:f>Conferencia!$D$19=0</xm:f>
            <x14:dxf>
              <font>
                <b/>
                <i val="0"/>
                <color theme="0"/>
              </font>
              <fill>
                <patternFill>
                  <bgColor rgb="FFFF0000"/>
                </patternFill>
              </fill>
            </x14:dxf>
          </x14:cfRule>
          <xm:sqref>I39:AN39 T34:U34</xm:sqref>
        </x14:conditionalFormatting>
        <x14:conditionalFormatting xmlns:xm="http://schemas.microsoft.com/office/excel/2006/main">
          <x14:cfRule type="expression" priority="29" id="{01A9506A-A667-48C3-8949-18C0EF4642A9}">
            <xm:f>AND($S$36&gt;=2,Conferencia!$D$21=1,Conferencia!$D$22=1)</xm:f>
            <x14:dxf>
              <font>
                <b/>
                <i/>
                <color theme="0"/>
              </font>
              <fill>
                <patternFill>
                  <bgColor rgb="FFFF0000"/>
                </patternFill>
              </fill>
            </x14:dxf>
          </x14:cfRule>
          <xm:sqref>Z34:AA34 AF34:AH34</xm:sqref>
        </x14:conditionalFormatting>
        <x14:conditionalFormatting xmlns:xm="http://schemas.microsoft.com/office/excel/2006/main">
          <x14:cfRule type="expression" priority="11" id="{2D0687B0-8530-417D-9371-174DAC44E6CF}">
            <xm:f>Conferencia!$D$21=1</xm:f>
            <x14:dxf>
              <font>
                <b/>
                <i val="0"/>
                <color theme="0"/>
              </font>
              <fill>
                <patternFill>
                  <bgColor rgb="FFFF0000"/>
                </patternFill>
              </fill>
            </x14:dxf>
          </x14:cfRule>
          <xm:sqref>AT59:AV59</xm:sqref>
        </x14:conditionalFormatting>
        <x14:conditionalFormatting xmlns:xm="http://schemas.microsoft.com/office/excel/2006/main">
          <x14:cfRule type="expression" priority="28" id="{70607D21-EB56-478E-A433-3763AB645927}">
            <xm:f>AND($S$36&gt;=1,Conferencia!$D$21=1,Conferencia!$D$22=1)</xm:f>
            <x14:dxf>
              <font>
                <b/>
                <i val="0"/>
                <color theme="0"/>
              </font>
              <fill>
                <patternFill>
                  <bgColor rgb="FFFF0000"/>
                </patternFill>
              </fill>
            </x14:dxf>
          </x14:cfRule>
          <xm:sqref>Z36:AA36 AF36:AH36</xm:sqref>
        </x14:conditionalFormatting>
        <x14:conditionalFormatting xmlns:xm="http://schemas.microsoft.com/office/excel/2006/main">
          <x14:cfRule type="expression" priority="30" id="{7F50D444-E769-4768-903D-E2148CC99DED}">
            <xm:f>AND($S$36&gt;=3,Conferencia!$D$21=1,Conferencia!$D$22=1)</xm:f>
            <x14:dxf>
              <font>
                <b/>
                <i/>
                <color theme="0"/>
              </font>
              <fill>
                <patternFill>
                  <bgColor rgb="FFFF0000"/>
                </patternFill>
              </fill>
            </x14:dxf>
          </x14:cfRule>
          <xm:sqref>Z34:AA34 AF34:AH34 AM34 AS34</xm:sqref>
        </x14:conditionalFormatting>
        <x14:conditionalFormatting xmlns:xm="http://schemas.microsoft.com/office/excel/2006/main">
          <x14:cfRule type="expression" priority="31" id="{F5C2F3C6-9869-42B5-838E-942350FEB4A4}">
            <xm:f>AND($S$36&gt;=4,Conferencia!$D$21=1,Conferencia!$D$22=1)</xm:f>
            <x14:dxf>
              <font>
                <b/>
                <i/>
                <color theme="0"/>
              </font>
              <fill>
                <patternFill>
                  <bgColor rgb="FFFF0000"/>
                </patternFill>
              </fill>
            </x14:dxf>
          </x14:cfRule>
          <xm:sqref>Z34 AF34 AM34 AS34 AM36 AS36</xm:sqref>
        </x14:conditionalFormatting>
        <x14:conditionalFormatting xmlns:xm="http://schemas.microsoft.com/office/excel/2006/main">
          <x14:cfRule type="expression" priority="7" id="{67B5FA39-0AC9-4C96-8419-0C4843056B91}">
            <xm:f>AND($S$36&gt;4,Conferencia!$D$22=1)</xm:f>
            <x14:dxf>
              <font>
                <b/>
                <i val="0"/>
                <color theme="0"/>
              </font>
              <fill>
                <patternFill>
                  <bgColor rgb="FFFF0000"/>
                </patternFill>
              </fill>
            </x14:dxf>
          </x14:cfRule>
          <x14:cfRule type="expression" priority="8" id="{34EC78F0-9577-4B80-BF5C-D5D3DE6D5B0F}">
            <xm:f>AND($S$36&lt;=4,Conferencia!$D$23=1)</xm:f>
            <x14:dxf>
              <font>
                <b/>
                <i val="0"/>
                <color theme="0"/>
              </font>
              <fill>
                <patternFill>
                  <bgColor rgb="FFFF0000"/>
                </patternFill>
              </fill>
            </x14:dxf>
          </x14:cfRule>
          <xm:sqref>S36:U36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3A22-0354-4B5F-B5CA-99DEA2A3DCEF}">
  <sheetPr codeName="Planilha1">
    <tabColor rgb="FFFFFF00"/>
  </sheetPr>
  <dimension ref="B2:AH174"/>
  <sheetViews>
    <sheetView showGridLines="0" showRowColHeaders="0" zoomScaleNormal="100" workbookViewId="0"/>
  </sheetViews>
  <sheetFormatPr defaultRowHeight="15" x14ac:dyDescent="0.25"/>
  <cols>
    <col min="1" max="1" width="4.140625" customWidth="1"/>
    <col min="2" max="25" width="3.42578125" customWidth="1"/>
    <col min="26" max="29" width="4" customWidth="1"/>
    <col min="30" max="34" width="4.140625" customWidth="1"/>
  </cols>
  <sheetData>
    <row r="2" spans="2:33" x14ac:dyDescent="0.25">
      <c r="B2" s="55" t="s">
        <v>179</v>
      </c>
    </row>
    <row r="3" spans="2:33" ht="3" customHeight="1" x14ac:dyDescent="0.25"/>
    <row r="4" spans="2:33" x14ac:dyDescent="0.25">
      <c r="B4" s="190" t="s">
        <v>180</v>
      </c>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row>
    <row r="5" spans="2:33" ht="3" customHeight="1" x14ac:dyDescent="0.25">
      <c r="B5" s="190"/>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c r="AF5" s="190"/>
      <c r="AG5" s="190"/>
    </row>
    <row r="6" spans="2:33" ht="15" customHeight="1" x14ac:dyDescent="0.25">
      <c r="B6" s="190"/>
      <c r="C6" s="190"/>
      <c r="D6" s="190"/>
      <c r="E6" s="190"/>
      <c r="F6" s="190"/>
      <c r="G6" s="190"/>
      <c r="H6" s="190"/>
      <c r="I6" s="190"/>
      <c r="J6" s="190"/>
      <c r="K6" s="190"/>
      <c r="L6" s="190"/>
      <c r="M6" s="190"/>
      <c r="N6" s="190"/>
      <c r="O6" s="190"/>
      <c r="P6" s="190"/>
      <c r="Q6" s="190"/>
      <c r="R6" s="190"/>
      <c r="S6" s="190"/>
      <c r="T6" s="190"/>
      <c r="U6" s="190"/>
      <c r="V6" s="190"/>
      <c r="W6" s="190"/>
      <c r="X6" s="190"/>
      <c r="Y6" s="190"/>
      <c r="Z6" s="190"/>
      <c r="AA6" s="190"/>
      <c r="AB6" s="190"/>
      <c r="AC6" s="190"/>
      <c r="AD6" s="190"/>
      <c r="AE6" s="190"/>
      <c r="AF6" s="190"/>
      <c r="AG6" s="190"/>
    </row>
    <row r="7" spans="2:33" ht="3" customHeight="1" x14ac:dyDescent="0.25"/>
    <row r="8" spans="2:33" ht="15" customHeight="1" x14ac:dyDescent="0.25">
      <c r="B8" s="190" t="s">
        <v>181</v>
      </c>
      <c r="C8" s="190"/>
      <c r="D8" s="190"/>
      <c r="E8" s="190"/>
      <c r="F8" s="190"/>
      <c r="G8" s="190"/>
      <c r="H8" s="190"/>
      <c r="I8" s="190"/>
      <c r="J8" s="190"/>
      <c r="K8" s="190"/>
      <c r="L8" s="190"/>
      <c r="M8" s="190"/>
      <c r="N8" s="190"/>
      <c r="O8" s="190"/>
      <c r="P8" s="190"/>
      <c r="Q8" s="190"/>
      <c r="R8" s="190"/>
      <c r="S8" s="190"/>
      <c r="T8" s="190"/>
      <c r="U8" s="190"/>
      <c r="V8" s="190"/>
      <c r="W8" s="190"/>
      <c r="X8" s="190"/>
      <c r="Y8" s="190"/>
      <c r="Z8" s="190"/>
      <c r="AA8" s="190"/>
      <c r="AB8" s="190"/>
      <c r="AC8" s="190"/>
      <c r="AD8" s="190"/>
      <c r="AE8" s="190"/>
      <c r="AF8" s="190"/>
      <c r="AG8" s="190"/>
    </row>
    <row r="9" spans="2:33" ht="15" customHeight="1" x14ac:dyDescent="0.25">
      <c r="B9" s="190"/>
      <c r="C9" s="190"/>
      <c r="D9" s="190"/>
      <c r="E9" s="190"/>
      <c r="F9" s="190"/>
      <c r="G9" s="190"/>
      <c r="H9" s="190"/>
      <c r="I9" s="190"/>
      <c r="J9" s="190"/>
      <c r="K9" s="190"/>
      <c r="L9" s="190"/>
      <c r="M9" s="190"/>
      <c r="N9" s="190"/>
      <c r="O9" s="190"/>
      <c r="P9" s="190"/>
      <c r="Q9" s="190"/>
      <c r="R9" s="190"/>
      <c r="S9" s="190"/>
      <c r="T9" s="190"/>
      <c r="U9" s="190"/>
      <c r="V9" s="190"/>
      <c r="W9" s="190"/>
      <c r="X9" s="190"/>
      <c r="Y9" s="190"/>
      <c r="Z9" s="190"/>
      <c r="AA9" s="190"/>
      <c r="AB9" s="190"/>
      <c r="AC9" s="190"/>
      <c r="AD9" s="190"/>
      <c r="AE9" s="190"/>
      <c r="AF9" s="190"/>
      <c r="AG9" s="190"/>
    </row>
    <row r="10" spans="2:33" ht="3" customHeight="1" x14ac:dyDescent="0.25"/>
    <row r="11" spans="2:33" x14ac:dyDescent="0.25">
      <c r="B11" s="190" t="s">
        <v>182</v>
      </c>
      <c r="C11" s="190"/>
      <c r="D11" s="190"/>
      <c r="E11" s="190"/>
      <c r="F11" s="190"/>
      <c r="G11" s="190"/>
      <c r="H11" s="190"/>
      <c r="I11" s="190"/>
      <c r="J11" s="190"/>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row>
    <row r="12" spans="2:33" ht="14.25" customHeight="1" x14ac:dyDescent="0.25">
      <c r="B12" s="190"/>
      <c r="C12" s="190"/>
      <c r="D12" s="190"/>
      <c r="E12" s="190"/>
      <c r="F12" s="190"/>
      <c r="G12" s="190"/>
      <c r="H12" s="190"/>
      <c r="I12" s="190"/>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row>
    <row r="13" spans="2:33" ht="3" customHeight="1" x14ac:dyDescent="0.25"/>
    <row r="14" spans="2:33" x14ac:dyDescent="0.25">
      <c r="B14" t="s">
        <v>183</v>
      </c>
    </row>
    <row r="16" spans="2:33" x14ac:dyDescent="0.25">
      <c r="F16" s="194" t="s">
        <v>184</v>
      </c>
      <c r="G16" s="194"/>
      <c r="H16" s="194"/>
      <c r="I16" s="194"/>
      <c r="J16" s="194" t="s">
        <v>185</v>
      </c>
      <c r="K16" s="194"/>
      <c r="L16" s="194"/>
      <c r="M16" s="194"/>
      <c r="N16" s="194"/>
      <c r="O16" s="194"/>
      <c r="P16" s="194"/>
      <c r="Q16" s="194"/>
      <c r="R16" s="195" t="s">
        <v>184</v>
      </c>
      <c r="S16" s="194"/>
      <c r="T16" s="194"/>
      <c r="U16" s="194"/>
      <c r="V16" s="194" t="s">
        <v>186</v>
      </c>
      <c r="W16" s="194"/>
      <c r="X16" s="194"/>
      <c r="Y16" s="194"/>
      <c r="Z16" s="194"/>
      <c r="AA16" s="194"/>
    </row>
    <row r="17" spans="2:33" x14ac:dyDescent="0.25">
      <c r="F17" s="192" t="s">
        <v>187</v>
      </c>
      <c r="G17" s="192"/>
      <c r="H17" s="192"/>
      <c r="I17" s="192"/>
      <c r="J17" s="143" t="s">
        <v>188</v>
      </c>
      <c r="K17" s="143"/>
      <c r="L17" s="143"/>
      <c r="M17" s="143"/>
      <c r="N17" s="143"/>
      <c r="O17" s="143"/>
      <c r="P17" s="143"/>
      <c r="Q17" s="143"/>
      <c r="R17" s="193" t="s">
        <v>189</v>
      </c>
      <c r="S17" s="192"/>
      <c r="T17" s="192"/>
      <c r="U17" s="192"/>
      <c r="V17" s="143" t="s">
        <v>190</v>
      </c>
      <c r="W17" s="143"/>
      <c r="X17" s="143"/>
      <c r="Y17" s="143"/>
      <c r="Z17" s="143"/>
      <c r="AA17" s="143"/>
    </row>
    <row r="18" spans="2:33" x14ac:dyDescent="0.25">
      <c r="F18" s="192" t="s">
        <v>191</v>
      </c>
      <c r="G18" s="192"/>
      <c r="H18" s="192"/>
      <c r="I18" s="192"/>
      <c r="J18" s="143" t="s">
        <v>192</v>
      </c>
      <c r="K18" s="143"/>
      <c r="L18" s="143"/>
      <c r="M18" s="143"/>
      <c r="N18" s="143"/>
      <c r="O18" s="143"/>
      <c r="P18" s="143"/>
      <c r="Q18" s="143"/>
      <c r="R18" s="193" t="s">
        <v>193</v>
      </c>
      <c r="S18" s="192"/>
      <c r="T18" s="192"/>
      <c r="U18" s="192"/>
      <c r="V18" s="143" t="s">
        <v>194</v>
      </c>
      <c r="W18" s="143"/>
      <c r="X18" s="143"/>
      <c r="Y18" s="143"/>
      <c r="Z18" s="143"/>
      <c r="AA18" s="143"/>
    </row>
    <row r="19" spans="2:33" x14ac:dyDescent="0.25">
      <c r="F19" s="192" t="s">
        <v>195</v>
      </c>
      <c r="G19" s="192"/>
      <c r="H19" s="192"/>
      <c r="I19" s="192"/>
      <c r="J19" s="143" t="s">
        <v>196</v>
      </c>
      <c r="K19" s="143"/>
      <c r="L19" s="143"/>
      <c r="M19" s="143"/>
      <c r="N19" s="143"/>
      <c r="O19" s="143"/>
      <c r="P19" s="143"/>
      <c r="Q19" s="143"/>
      <c r="R19" s="193" t="s">
        <v>197</v>
      </c>
      <c r="S19" s="192"/>
      <c r="T19" s="192"/>
      <c r="U19" s="192"/>
      <c r="V19" s="143" t="s">
        <v>198</v>
      </c>
      <c r="W19" s="143"/>
      <c r="X19" s="143"/>
      <c r="Y19" s="143"/>
      <c r="Z19" s="143"/>
      <c r="AA19" s="143"/>
    </row>
    <row r="20" spans="2:33" x14ac:dyDescent="0.25">
      <c r="F20" s="192" t="s">
        <v>199</v>
      </c>
      <c r="G20" s="192"/>
      <c r="H20" s="192"/>
      <c r="I20" s="192"/>
      <c r="J20" s="143" t="s">
        <v>200</v>
      </c>
      <c r="K20" s="143"/>
      <c r="L20" s="143"/>
      <c r="M20" s="143"/>
      <c r="N20" s="143"/>
      <c r="O20" s="143"/>
      <c r="P20" s="143"/>
      <c r="Q20" s="143"/>
      <c r="R20" s="193" t="s">
        <v>197</v>
      </c>
      <c r="S20" s="192"/>
      <c r="T20" s="192"/>
      <c r="U20" s="192"/>
      <c r="V20" s="143" t="s">
        <v>201</v>
      </c>
      <c r="W20" s="143"/>
      <c r="X20" s="143"/>
      <c r="Y20" s="143"/>
      <c r="Z20" s="143"/>
      <c r="AA20" s="143"/>
    </row>
    <row r="21" spans="2:33" x14ac:dyDescent="0.25">
      <c r="F21" s="192" t="s">
        <v>202</v>
      </c>
      <c r="G21" s="192"/>
      <c r="H21" s="192"/>
      <c r="I21" s="192"/>
      <c r="J21" s="143" t="s">
        <v>203</v>
      </c>
      <c r="K21" s="143"/>
      <c r="L21" s="143"/>
      <c r="M21" s="143"/>
      <c r="N21" s="143"/>
      <c r="O21" s="143"/>
      <c r="P21" s="143"/>
      <c r="Q21" s="143"/>
      <c r="R21" s="193" t="s">
        <v>204</v>
      </c>
      <c r="S21" s="192"/>
      <c r="T21" s="192"/>
      <c r="U21" s="192"/>
      <c r="V21" s="143" t="s">
        <v>205</v>
      </c>
      <c r="W21" s="143"/>
      <c r="X21" s="143"/>
      <c r="Y21" s="143"/>
      <c r="Z21" s="143"/>
      <c r="AA21" s="143"/>
    </row>
    <row r="23" spans="2:33" x14ac:dyDescent="0.25">
      <c r="B23" s="190" t="s">
        <v>223</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0"/>
      <c r="AA23" s="190"/>
      <c r="AB23" s="190"/>
      <c r="AC23" s="190"/>
      <c r="AD23" s="190"/>
      <c r="AE23" s="190"/>
      <c r="AF23" s="190"/>
      <c r="AG23" s="190"/>
    </row>
    <row r="24" spans="2:33" x14ac:dyDescent="0.25">
      <c r="B24" s="190"/>
      <c r="C24" s="190"/>
      <c r="D24" s="190"/>
      <c r="E24" s="190"/>
      <c r="F24" s="190"/>
      <c r="G24" s="190"/>
      <c r="H24" s="190"/>
      <c r="I24" s="190"/>
      <c r="J24" s="190"/>
      <c r="K24" s="190"/>
      <c r="L24" s="190"/>
      <c r="M24" s="190"/>
      <c r="N24" s="190"/>
      <c r="O24" s="190"/>
      <c r="P24" s="190"/>
      <c r="Q24" s="190"/>
      <c r="R24" s="190"/>
      <c r="S24" s="190"/>
      <c r="T24" s="190"/>
      <c r="U24" s="190"/>
      <c r="V24" s="190"/>
      <c r="W24" s="190"/>
      <c r="X24" s="190"/>
      <c r="Y24" s="190"/>
      <c r="Z24" s="190"/>
      <c r="AA24" s="190"/>
      <c r="AB24" s="190"/>
      <c r="AC24" s="190"/>
      <c r="AD24" s="190"/>
      <c r="AE24" s="190"/>
      <c r="AF24" s="190"/>
      <c r="AG24" s="190"/>
    </row>
    <row r="25" spans="2:33" ht="3" customHeight="1" x14ac:dyDescent="0.25"/>
    <row r="26" spans="2:33" ht="15" customHeight="1" x14ac:dyDescent="0.25">
      <c r="B26" s="190" t="s">
        <v>224</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row>
    <row r="27" spans="2:33" x14ac:dyDescent="0.25">
      <c r="B27" s="190"/>
      <c r="C27" s="190"/>
      <c r="D27" s="190"/>
      <c r="E27" s="190"/>
      <c r="F27" s="190"/>
      <c r="G27" s="190"/>
      <c r="H27" s="190"/>
      <c r="I27" s="190"/>
      <c r="J27" s="190"/>
      <c r="K27" s="190"/>
      <c r="L27" s="190"/>
      <c r="M27" s="190"/>
      <c r="N27" s="190"/>
      <c r="O27" s="190"/>
      <c r="P27" s="190"/>
      <c r="Q27" s="190"/>
      <c r="R27" s="190"/>
      <c r="S27" s="190"/>
      <c r="T27" s="190"/>
      <c r="U27" s="190"/>
      <c r="V27" s="190"/>
      <c r="W27" s="190"/>
      <c r="X27" s="190"/>
      <c r="Y27" s="190"/>
      <c r="Z27" s="190"/>
      <c r="AA27" s="190"/>
      <c r="AB27" s="190"/>
      <c r="AC27" s="190"/>
      <c r="AD27" s="190"/>
      <c r="AE27" s="190"/>
      <c r="AF27" s="190"/>
      <c r="AG27" s="190"/>
    </row>
    <row r="28" spans="2:33" x14ac:dyDescent="0.25">
      <c r="B28" s="190"/>
      <c r="C28" s="190"/>
      <c r="D28" s="190"/>
      <c r="E28" s="190"/>
      <c r="F28" s="190"/>
      <c r="G28" s="190"/>
      <c r="H28" s="190"/>
      <c r="I28" s="190"/>
      <c r="J28" s="190"/>
      <c r="K28" s="190"/>
      <c r="L28" s="190"/>
      <c r="M28" s="190"/>
      <c r="N28" s="190"/>
      <c r="O28" s="190"/>
      <c r="P28" s="190"/>
      <c r="Q28" s="190"/>
      <c r="R28" s="190"/>
      <c r="S28" s="190"/>
      <c r="T28" s="190"/>
      <c r="U28" s="190"/>
      <c r="V28" s="190"/>
      <c r="W28" s="190"/>
      <c r="X28" s="190"/>
      <c r="Y28" s="190"/>
      <c r="Z28" s="190"/>
      <c r="AA28" s="190"/>
      <c r="AB28" s="190"/>
      <c r="AC28" s="190"/>
      <c r="AD28" s="190"/>
      <c r="AE28" s="190"/>
      <c r="AF28" s="190"/>
      <c r="AG28" s="190"/>
    </row>
    <row r="29" spans="2:33" x14ac:dyDescent="0.25">
      <c r="B29" t="s">
        <v>206</v>
      </c>
    </row>
    <row r="30" spans="2:33" ht="3" customHeight="1" x14ac:dyDescent="0.25"/>
    <row r="31" spans="2:33" ht="15" customHeight="1" x14ac:dyDescent="0.25">
      <c r="B31" s="190" t="s">
        <v>233</v>
      </c>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row>
    <row r="32" spans="2:33" x14ac:dyDescent="0.25">
      <c r="B32" s="190"/>
      <c r="C32" s="190"/>
      <c r="D32" s="190"/>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row>
    <row r="33" spans="2:33" x14ac:dyDescent="0.25">
      <c r="B33" s="190"/>
      <c r="C33" s="190"/>
      <c r="D33" s="190"/>
      <c r="E33" s="190"/>
      <c r="F33" s="190"/>
      <c r="G33" s="190"/>
      <c r="H33" s="190"/>
      <c r="I33" s="190"/>
      <c r="J33" s="190"/>
      <c r="K33" s="190"/>
      <c r="L33" s="190"/>
      <c r="M33" s="190"/>
      <c r="N33" s="190"/>
      <c r="O33" s="190"/>
      <c r="P33" s="190"/>
      <c r="Q33" s="190"/>
      <c r="R33" s="190"/>
      <c r="S33" s="190"/>
      <c r="T33" s="190"/>
      <c r="U33" s="190"/>
      <c r="V33" s="190"/>
      <c r="W33" s="190"/>
      <c r="X33" s="190"/>
      <c r="Y33" s="190"/>
      <c r="Z33" s="190"/>
      <c r="AA33" s="190"/>
      <c r="AB33" s="190"/>
      <c r="AC33" s="190"/>
      <c r="AD33" s="190"/>
      <c r="AE33" s="190"/>
      <c r="AF33" s="190"/>
      <c r="AG33" s="190"/>
    </row>
    <row r="34" spans="2:33" ht="3" customHeight="1" x14ac:dyDescent="0.25">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2:33" ht="15" customHeight="1" x14ac:dyDescent="0.25">
      <c r="B35" s="190" t="s">
        <v>234</v>
      </c>
      <c r="C35" s="190"/>
      <c r="D35" s="190"/>
      <c r="E35" s="190"/>
      <c r="F35" s="190"/>
      <c r="G35" s="190"/>
      <c r="H35" s="190"/>
      <c r="I35" s="190"/>
      <c r="J35" s="190"/>
      <c r="K35" s="190"/>
      <c r="L35" s="190"/>
      <c r="M35" s="190"/>
      <c r="N35" s="190"/>
      <c r="O35" s="190"/>
      <c r="P35" s="190"/>
      <c r="Q35" s="190"/>
      <c r="R35" s="190"/>
      <c r="S35" s="190"/>
      <c r="T35" s="190"/>
      <c r="U35" s="190"/>
      <c r="V35" s="190"/>
      <c r="W35" s="190"/>
      <c r="X35" s="190"/>
      <c r="Y35" s="190"/>
      <c r="Z35" s="190"/>
      <c r="AA35" s="190"/>
      <c r="AB35" s="190"/>
      <c r="AC35" s="190"/>
      <c r="AD35" s="190"/>
      <c r="AE35" s="190"/>
      <c r="AF35" s="190"/>
      <c r="AG35" s="190"/>
    </row>
    <row r="36" spans="2:33" x14ac:dyDescent="0.25">
      <c r="B36" s="190"/>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c r="AA36" s="190"/>
      <c r="AB36" s="190"/>
      <c r="AC36" s="190"/>
      <c r="AD36" s="190"/>
      <c r="AE36" s="190"/>
      <c r="AF36" s="190"/>
      <c r="AG36" s="190"/>
    </row>
    <row r="37" spans="2:33" x14ac:dyDescent="0.25">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row>
    <row r="38" spans="2:33" x14ac:dyDescent="0.25">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row>
    <row r="39" spans="2:33" ht="3" customHeight="1" x14ac:dyDescent="0.25"/>
    <row r="40" spans="2:33" x14ac:dyDescent="0.25">
      <c r="B40" s="190" t="s">
        <v>235</v>
      </c>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0"/>
      <c r="AA40" s="190"/>
      <c r="AB40" s="190"/>
      <c r="AC40" s="190"/>
      <c r="AD40" s="190"/>
      <c r="AE40" s="190"/>
      <c r="AF40" s="190"/>
      <c r="AG40" s="190"/>
    </row>
    <row r="41" spans="2:33" x14ac:dyDescent="0.25">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row>
    <row r="42" spans="2:33" x14ac:dyDescent="0.25">
      <c r="B42" s="190"/>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c r="AA42" s="190"/>
      <c r="AB42" s="190"/>
      <c r="AC42" s="190"/>
      <c r="AD42" s="190"/>
      <c r="AE42" s="190"/>
      <c r="AF42" s="190"/>
      <c r="AG42" s="190"/>
    </row>
    <row r="43" spans="2:33" ht="6" customHeight="1" x14ac:dyDescent="0.25"/>
    <row r="44" spans="2:33" x14ac:dyDescent="0.25">
      <c r="B44" s="190" t="s">
        <v>236</v>
      </c>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c r="AA44" s="190"/>
      <c r="AB44" s="190"/>
      <c r="AC44" s="190"/>
      <c r="AD44" s="190"/>
      <c r="AE44" s="190"/>
      <c r="AF44" s="190"/>
      <c r="AG44" s="190"/>
    </row>
    <row r="45" spans="2:33" x14ac:dyDescent="0.25">
      <c r="B45" s="190"/>
      <c r="C45" s="190"/>
      <c r="D45" s="190"/>
      <c r="E45" s="190"/>
      <c r="F45" s="190"/>
      <c r="G45" s="190"/>
      <c r="H45" s="190"/>
      <c r="I45" s="190"/>
      <c r="J45" s="190"/>
      <c r="K45" s="190"/>
      <c r="L45" s="190"/>
      <c r="M45" s="190"/>
      <c r="N45" s="190"/>
      <c r="O45" s="190"/>
      <c r="P45" s="190"/>
      <c r="Q45" s="190"/>
      <c r="R45" s="190"/>
      <c r="S45" s="190"/>
      <c r="T45" s="190"/>
      <c r="U45" s="190"/>
      <c r="V45" s="190"/>
      <c r="W45" s="190"/>
      <c r="X45" s="190"/>
      <c r="Y45" s="190"/>
      <c r="Z45" s="190"/>
      <c r="AA45" s="190"/>
      <c r="AB45" s="190"/>
      <c r="AC45" s="190"/>
      <c r="AD45" s="190"/>
      <c r="AE45" s="190"/>
      <c r="AF45" s="190"/>
      <c r="AG45" s="190"/>
    </row>
    <row r="46" spans="2:33" ht="3" customHeight="1" x14ac:dyDescent="0.25"/>
    <row r="47" spans="2:33" x14ac:dyDescent="0.25">
      <c r="B47" s="190" t="s">
        <v>237</v>
      </c>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c r="AA47" s="190"/>
      <c r="AB47" s="190"/>
      <c r="AC47" s="190"/>
      <c r="AD47" s="190"/>
      <c r="AE47" s="190"/>
      <c r="AF47" s="190"/>
      <c r="AG47" s="190"/>
    </row>
    <row r="48" spans="2:33" x14ac:dyDescent="0.25">
      <c r="B48" s="190"/>
      <c r="C48" s="190"/>
      <c r="D48" s="190"/>
      <c r="E48" s="190"/>
      <c r="F48" s="190"/>
      <c r="G48" s="190"/>
      <c r="H48" s="190"/>
      <c r="I48" s="190"/>
      <c r="J48" s="190"/>
      <c r="K48" s="190"/>
      <c r="L48" s="190"/>
      <c r="M48" s="190"/>
      <c r="N48" s="190"/>
      <c r="O48" s="190"/>
      <c r="P48" s="190"/>
      <c r="Q48" s="190"/>
      <c r="R48" s="190"/>
      <c r="S48" s="190"/>
      <c r="T48" s="190"/>
      <c r="U48" s="190"/>
      <c r="V48" s="190"/>
      <c r="W48" s="190"/>
      <c r="X48" s="190"/>
      <c r="Y48" s="190"/>
      <c r="Z48" s="190"/>
      <c r="AA48" s="190"/>
      <c r="AB48" s="190"/>
      <c r="AC48" s="190"/>
      <c r="AD48" s="190"/>
      <c r="AE48" s="190"/>
      <c r="AF48" s="190"/>
      <c r="AG48" s="190"/>
    </row>
    <row r="49" spans="2:33" x14ac:dyDescent="0.25">
      <c r="B49" s="190"/>
      <c r="C49" s="190"/>
      <c r="D49" s="190"/>
      <c r="E49" s="190"/>
      <c r="F49" s="190"/>
      <c r="G49" s="190"/>
      <c r="H49" s="190"/>
      <c r="I49" s="190"/>
      <c r="J49" s="190"/>
      <c r="K49" s="190"/>
      <c r="L49" s="190"/>
      <c r="M49" s="190"/>
      <c r="N49" s="190"/>
      <c r="O49" s="190"/>
      <c r="P49" s="190"/>
      <c r="Q49" s="190"/>
      <c r="R49" s="190"/>
      <c r="S49" s="190"/>
      <c r="T49" s="190"/>
      <c r="U49" s="190"/>
      <c r="V49" s="190"/>
      <c r="W49" s="190"/>
      <c r="X49" s="190"/>
      <c r="Y49" s="190"/>
      <c r="Z49" s="190"/>
      <c r="AA49" s="190"/>
      <c r="AB49" s="190"/>
      <c r="AC49" s="190"/>
      <c r="AD49" s="190"/>
      <c r="AE49" s="190"/>
      <c r="AF49" s="190"/>
      <c r="AG49" s="190"/>
    </row>
    <row r="50" spans="2:33" x14ac:dyDescent="0.25">
      <c r="B50" s="190" t="s">
        <v>207</v>
      </c>
      <c r="C50" s="190"/>
      <c r="D50" s="190"/>
      <c r="E50" s="190"/>
      <c r="F50" s="190"/>
      <c r="G50" s="190"/>
      <c r="H50" s="190"/>
      <c r="I50" s="190"/>
      <c r="J50" s="190"/>
      <c r="K50" s="190"/>
      <c r="L50" s="190"/>
      <c r="M50" s="190"/>
      <c r="N50" s="190"/>
      <c r="O50" s="190"/>
      <c r="P50" s="190"/>
      <c r="Q50" s="190"/>
      <c r="R50" s="190"/>
      <c r="S50" s="190"/>
      <c r="T50" s="190"/>
      <c r="U50" s="190"/>
      <c r="V50" s="190"/>
      <c r="W50" s="190"/>
      <c r="X50" s="190"/>
      <c r="Y50" s="190"/>
      <c r="Z50" s="190"/>
      <c r="AA50" s="190"/>
      <c r="AB50" s="190"/>
      <c r="AC50" s="190"/>
      <c r="AD50" s="190"/>
      <c r="AE50" s="190"/>
      <c r="AF50" s="190"/>
      <c r="AG50" s="190"/>
    </row>
    <row r="51" spans="2:33" x14ac:dyDescent="0.25">
      <c r="B51" s="190"/>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c r="AA51" s="190"/>
      <c r="AB51" s="190"/>
      <c r="AC51" s="190"/>
      <c r="AD51" s="190"/>
      <c r="AE51" s="190"/>
      <c r="AF51" s="190"/>
      <c r="AG51" s="190"/>
    </row>
    <row r="52" spans="2:33" x14ac:dyDescent="0.25">
      <c r="B52" s="190" t="s">
        <v>267</v>
      </c>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row>
    <row r="53" spans="2:33" x14ac:dyDescent="0.25">
      <c r="B53" s="190"/>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row>
    <row r="54" spans="2:33" ht="3.95" customHeight="1" x14ac:dyDescent="0.25"/>
    <row r="55" spans="2:33" ht="15" customHeight="1" x14ac:dyDescent="0.25">
      <c r="B55" s="190" t="s">
        <v>239</v>
      </c>
      <c r="C55" s="190"/>
      <c r="D55" s="190"/>
      <c r="E55" s="190"/>
      <c r="F55" s="190"/>
      <c r="G55" s="190"/>
      <c r="H55" s="190"/>
      <c r="I55" s="190"/>
      <c r="J55" s="190"/>
      <c r="K55" s="190"/>
      <c r="L55" s="190"/>
      <c r="M55" s="190"/>
      <c r="N55" s="190"/>
      <c r="O55" s="190"/>
      <c r="P55" s="190"/>
      <c r="Q55" s="190"/>
      <c r="R55" s="190"/>
      <c r="S55" s="190"/>
      <c r="T55" s="190"/>
      <c r="U55" s="190"/>
      <c r="V55" s="190"/>
      <c r="W55" s="190"/>
      <c r="X55" s="190"/>
      <c r="Y55" s="190"/>
      <c r="Z55" s="190"/>
      <c r="AA55" s="190"/>
      <c r="AB55" s="190"/>
      <c r="AC55" s="190"/>
      <c r="AD55" s="190"/>
      <c r="AE55" s="190"/>
      <c r="AF55" s="190"/>
      <c r="AG55" s="190"/>
    </row>
    <row r="56" spans="2:33" x14ac:dyDescent="0.25">
      <c r="B56" s="190"/>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0"/>
      <c r="AA56" s="190"/>
      <c r="AB56" s="190"/>
      <c r="AC56" s="190"/>
      <c r="AD56" s="190"/>
      <c r="AE56" s="190"/>
      <c r="AF56" s="190"/>
      <c r="AG56" s="190"/>
    </row>
    <row r="57" spans="2:33" x14ac:dyDescent="0.25">
      <c r="B57" s="190"/>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0"/>
      <c r="AA57" s="190"/>
      <c r="AB57" s="190"/>
      <c r="AC57" s="190"/>
      <c r="AD57" s="190"/>
      <c r="AE57" s="190"/>
      <c r="AF57" s="190"/>
      <c r="AG57" s="190"/>
    </row>
    <row r="58" spans="2:33" x14ac:dyDescent="0.25">
      <c r="B58" s="190"/>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c r="AA58" s="190"/>
      <c r="AB58" s="190"/>
      <c r="AC58" s="190"/>
      <c r="AD58" s="190"/>
      <c r="AE58" s="190"/>
      <c r="AF58" s="190"/>
      <c r="AG58" s="190"/>
    </row>
    <row r="59" spans="2:33" ht="6" customHeight="1" x14ac:dyDescent="0.25"/>
    <row r="60" spans="2:33" x14ac:dyDescent="0.25">
      <c r="B60" s="190" t="s">
        <v>240</v>
      </c>
      <c r="C60" s="190"/>
      <c r="D60" s="190"/>
      <c r="E60" s="190"/>
      <c r="F60" s="190"/>
      <c r="G60" s="190"/>
      <c r="H60" s="190"/>
      <c r="I60" s="190"/>
      <c r="J60" s="190"/>
      <c r="K60" s="190"/>
      <c r="L60" s="190"/>
      <c r="M60" s="190"/>
      <c r="N60" s="190"/>
      <c r="O60" s="190"/>
      <c r="P60" s="190"/>
      <c r="Q60" s="190"/>
      <c r="R60" s="190"/>
      <c r="S60" s="190"/>
      <c r="T60" s="190"/>
      <c r="U60" s="190"/>
      <c r="V60" s="190"/>
      <c r="W60" s="190"/>
      <c r="X60" s="190"/>
      <c r="Y60" s="190"/>
      <c r="Z60" s="190"/>
      <c r="AA60" s="190"/>
      <c r="AB60" s="190"/>
      <c r="AC60" s="190"/>
      <c r="AD60" s="190"/>
      <c r="AE60" s="190"/>
      <c r="AF60" s="190"/>
      <c r="AG60" s="190"/>
    </row>
    <row r="61" spans="2:33" x14ac:dyDescent="0.25">
      <c r="B61" s="190"/>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c r="AA61" s="190"/>
      <c r="AB61" s="190"/>
      <c r="AC61" s="190"/>
      <c r="AD61" s="190"/>
      <c r="AE61" s="190"/>
      <c r="AF61" s="190"/>
      <c r="AG61" s="190"/>
    </row>
    <row r="62" spans="2:33" ht="6" customHeight="1" x14ac:dyDescent="0.25">
      <c r="B62" t="s">
        <v>238</v>
      </c>
    </row>
    <row r="63" spans="2:33" x14ac:dyDescent="0.25">
      <c r="B63" t="s">
        <v>241</v>
      </c>
    </row>
    <row r="64" spans="2:33" ht="6" customHeight="1" x14ac:dyDescent="0.25"/>
    <row r="65" spans="2:33" x14ac:dyDescent="0.25">
      <c r="B65" t="s">
        <v>242</v>
      </c>
    </row>
    <row r="66" spans="2:33" ht="6" customHeight="1" x14ac:dyDescent="0.25"/>
    <row r="67" spans="2:33" x14ac:dyDescent="0.25">
      <c r="B67" t="s">
        <v>243</v>
      </c>
    </row>
    <row r="68" spans="2:33" x14ac:dyDescent="0.25">
      <c r="B68" t="s">
        <v>208</v>
      </c>
    </row>
    <row r="69" spans="2:33" x14ac:dyDescent="0.25">
      <c r="B69" t="s">
        <v>250</v>
      </c>
    </row>
    <row r="70" spans="2:33" ht="6" customHeight="1" x14ac:dyDescent="0.25"/>
    <row r="71" spans="2:33" x14ac:dyDescent="0.25">
      <c r="B71" s="190" t="s">
        <v>251</v>
      </c>
      <c r="C71" s="190"/>
      <c r="D71" s="190"/>
      <c r="E71" s="190"/>
      <c r="F71" s="190"/>
      <c r="G71" s="190"/>
      <c r="H71" s="190"/>
      <c r="I71" s="190"/>
      <c r="J71" s="190"/>
      <c r="K71" s="190"/>
      <c r="L71" s="190"/>
      <c r="M71" s="190"/>
      <c r="N71" s="190"/>
      <c r="O71" s="190"/>
      <c r="P71" s="190"/>
      <c r="Q71" s="190"/>
      <c r="R71" s="190"/>
      <c r="S71" s="190"/>
      <c r="T71" s="190"/>
      <c r="U71" s="190"/>
      <c r="V71" s="190"/>
      <c r="W71" s="190"/>
      <c r="X71" s="190"/>
      <c r="Y71" s="190"/>
      <c r="Z71" s="190"/>
      <c r="AA71" s="190"/>
      <c r="AB71" s="190"/>
      <c r="AC71" s="190"/>
      <c r="AD71" s="190"/>
      <c r="AE71" s="190"/>
      <c r="AF71" s="190"/>
      <c r="AG71" s="190"/>
    </row>
    <row r="72" spans="2:33" x14ac:dyDescent="0.25">
      <c r="B72" s="190"/>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c r="AA72" s="190"/>
      <c r="AB72" s="190"/>
      <c r="AC72" s="190"/>
      <c r="AD72" s="190"/>
      <c r="AE72" s="190"/>
      <c r="AF72" s="190"/>
      <c r="AG72" s="190"/>
    </row>
    <row r="73" spans="2:33" ht="6" customHeight="1" x14ac:dyDescent="0.25">
      <c r="B73" s="190"/>
      <c r="C73" s="190"/>
      <c r="D73" s="190"/>
      <c r="E73" s="190"/>
      <c r="F73" s="190"/>
      <c r="G73" s="190"/>
      <c r="H73" s="190"/>
      <c r="I73" s="190"/>
      <c r="J73" s="190"/>
      <c r="K73" s="190"/>
      <c r="L73" s="190"/>
      <c r="M73" s="190"/>
      <c r="N73" s="190"/>
      <c r="O73" s="190"/>
      <c r="P73" s="190"/>
      <c r="Q73" s="190"/>
      <c r="R73" s="190"/>
      <c r="S73" s="190"/>
      <c r="T73" s="190"/>
      <c r="U73" s="190"/>
      <c r="V73" s="190"/>
      <c r="W73" s="190"/>
      <c r="X73" s="190"/>
      <c r="Y73" s="190"/>
      <c r="Z73" s="190"/>
      <c r="AA73" s="190"/>
      <c r="AB73" s="190"/>
      <c r="AC73" s="190"/>
      <c r="AD73" s="190"/>
      <c r="AE73" s="190"/>
      <c r="AF73" s="190"/>
      <c r="AG73" s="190"/>
    </row>
    <row r="74" spans="2:33" ht="15" customHeight="1" x14ac:dyDescent="0.25">
      <c r="B74" s="190" t="s">
        <v>252</v>
      </c>
      <c r="C74" s="190"/>
      <c r="D74" s="190"/>
      <c r="E74" s="190"/>
      <c r="F74" s="190"/>
      <c r="G74" s="190"/>
      <c r="H74" s="190"/>
      <c r="I74" s="190"/>
      <c r="J74" s="190"/>
      <c r="K74" s="190"/>
      <c r="L74" s="190"/>
      <c r="M74" s="190"/>
      <c r="N74" s="190"/>
      <c r="O74" s="190"/>
      <c r="P74" s="190"/>
      <c r="Q74" s="190"/>
      <c r="R74" s="190"/>
      <c r="S74" s="190"/>
      <c r="T74" s="190"/>
      <c r="U74" s="190"/>
      <c r="V74" s="190"/>
      <c r="W74" s="190"/>
      <c r="X74" s="190"/>
      <c r="Y74" s="190"/>
      <c r="Z74" s="190"/>
      <c r="AA74" s="190"/>
      <c r="AB74" s="190"/>
      <c r="AC74" s="190"/>
      <c r="AD74" s="190"/>
      <c r="AE74" s="190"/>
      <c r="AF74" s="190"/>
      <c r="AG74" s="190"/>
    </row>
    <row r="75" spans="2:33" x14ac:dyDescent="0.25">
      <c r="B75" s="190"/>
      <c r="C75" s="190"/>
      <c r="D75" s="190"/>
      <c r="E75" s="190"/>
      <c r="F75" s="190"/>
      <c r="G75" s="190"/>
      <c r="H75" s="190"/>
      <c r="I75" s="190"/>
      <c r="J75" s="190"/>
      <c r="K75" s="190"/>
      <c r="L75" s="190"/>
      <c r="M75" s="190"/>
      <c r="N75" s="190"/>
      <c r="O75" s="190"/>
      <c r="P75" s="190"/>
      <c r="Q75" s="190"/>
      <c r="R75" s="190"/>
      <c r="S75" s="190"/>
      <c r="T75" s="190"/>
      <c r="U75" s="190"/>
      <c r="V75" s="190"/>
      <c r="W75" s="190"/>
      <c r="X75" s="190"/>
      <c r="Y75" s="190"/>
      <c r="Z75" s="190"/>
      <c r="AA75" s="190"/>
      <c r="AB75" s="190"/>
      <c r="AC75" s="190"/>
      <c r="AD75" s="190"/>
      <c r="AE75" s="190"/>
      <c r="AF75" s="190"/>
      <c r="AG75" s="190"/>
    </row>
    <row r="76" spans="2:33" x14ac:dyDescent="0.25">
      <c r="B76" s="190"/>
      <c r="C76" s="190"/>
      <c r="D76" s="190"/>
      <c r="E76" s="190"/>
      <c r="F76" s="190"/>
      <c r="G76" s="190"/>
      <c r="H76" s="190"/>
      <c r="I76" s="190"/>
      <c r="J76" s="190"/>
      <c r="K76" s="190"/>
      <c r="L76" s="190"/>
      <c r="M76" s="190"/>
      <c r="N76" s="190"/>
      <c r="O76" s="190"/>
      <c r="P76" s="190"/>
      <c r="Q76" s="190"/>
      <c r="R76" s="190"/>
      <c r="S76" s="190"/>
      <c r="T76" s="190"/>
      <c r="U76" s="190"/>
      <c r="V76" s="190"/>
      <c r="W76" s="190"/>
      <c r="X76" s="190"/>
      <c r="Y76" s="190"/>
      <c r="Z76" s="190"/>
      <c r="AA76" s="190"/>
      <c r="AB76" s="190"/>
      <c r="AC76" s="190"/>
      <c r="AD76" s="190"/>
      <c r="AE76" s="190"/>
      <c r="AF76" s="190"/>
      <c r="AG76" s="190"/>
    </row>
    <row r="77" spans="2:33" ht="6" customHeight="1" x14ac:dyDescent="0.25"/>
    <row r="78" spans="2:33" ht="15" customHeight="1" x14ac:dyDescent="0.25">
      <c r="B78" s="190" t="s">
        <v>209</v>
      </c>
      <c r="C78" s="190"/>
      <c r="D78" s="190"/>
      <c r="E78" s="190"/>
      <c r="F78" s="190"/>
      <c r="G78" s="190"/>
      <c r="H78" s="190"/>
      <c r="I78" s="190"/>
      <c r="J78" s="190"/>
      <c r="K78" s="190"/>
      <c r="L78" s="190"/>
      <c r="M78" s="190"/>
      <c r="N78" s="190"/>
      <c r="O78" s="190"/>
      <c r="P78" s="190"/>
      <c r="Q78" s="190"/>
      <c r="R78" s="190"/>
      <c r="S78" s="190"/>
      <c r="T78" s="190"/>
      <c r="U78" s="190"/>
      <c r="V78" s="190"/>
      <c r="W78" s="190"/>
      <c r="X78" s="190"/>
      <c r="Y78" s="190"/>
      <c r="Z78" s="190"/>
      <c r="AA78" s="190"/>
      <c r="AB78" s="190"/>
      <c r="AC78" s="190"/>
      <c r="AD78" s="190"/>
      <c r="AE78" s="190"/>
      <c r="AF78" s="190"/>
      <c r="AG78" s="190"/>
    </row>
    <row r="79" spans="2:33" x14ac:dyDescent="0.25">
      <c r="B79" s="190"/>
      <c r="C79" s="190"/>
      <c r="D79" s="190"/>
      <c r="E79" s="190"/>
      <c r="F79" s="190"/>
      <c r="G79" s="190"/>
      <c r="H79" s="190"/>
      <c r="I79" s="190"/>
      <c r="J79" s="190"/>
      <c r="K79" s="190"/>
      <c r="L79" s="190"/>
      <c r="M79" s="190"/>
      <c r="N79" s="190"/>
      <c r="O79" s="190"/>
      <c r="P79" s="190"/>
      <c r="Q79" s="190"/>
      <c r="R79" s="190"/>
      <c r="S79" s="190"/>
      <c r="T79" s="190"/>
      <c r="U79" s="190"/>
      <c r="V79" s="190"/>
      <c r="W79" s="190"/>
      <c r="X79" s="190"/>
      <c r="Y79" s="190"/>
      <c r="Z79" s="190"/>
      <c r="AA79" s="190"/>
      <c r="AB79" s="190"/>
      <c r="AC79" s="190"/>
      <c r="AD79" s="190"/>
      <c r="AE79" s="190"/>
      <c r="AF79" s="190"/>
      <c r="AG79" s="190"/>
    </row>
    <row r="80" spans="2:33" x14ac:dyDescent="0.25">
      <c r="B80" s="190"/>
      <c r="C80" s="19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c r="AD80" s="190"/>
      <c r="AE80" s="190"/>
      <c r="AF80" s="190"/>
      <c r="AG80" s="190"/>
    </row>
    <row r="81" spans="2:34" x14ac:dyDescent="0.25">
      <c r="B81" s="190"/>
      <c r="C81" s="190"/>
      <c r="D81" s="190"/>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c r="AD81" s="190"/>
      <c r="AE81" s="190"/>
      <c r="AF81" s="190"/>
      <c r="AG81" s="190"/>
    </row>
    <row r="82" spans="2:34" x14ac:dyDescent="0.25">
      <c r="B82" s="190"/>
      <c r="C82" s="19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c r="AD82" s="190"/>
      <c r="AE82" s="190"/>
      <c r="AF82" s="190"/>
      <c r="AG82" s="190"/>
    </row>
    <row r="83" spans="2:34" x14ac:dyDescent="0.25">
      <c r="B83" s="190"/>
      <c r="C83" s="190"/>
      <c r="D83" s="190"/>
      <c r="E83" s="190"/>
      <c r="F83" s="190"/>
      <c r="G83" s="190"/>
      <c r="H83" s="190"/>
      <c r="I83" s="190"/>
      <c r="J83" s="190"/>
      <c r="K83" s="190"/>
      <c r="L83" s="190"/>
      <c r="M83" s="190"/>
      <c r="N83" s="190"/>
      <c r="O83" s="190"/>
      <c r="P83" s="190"/>
      <c r="Q83" s="190"/>
      <c r="R83" s="190"/>
      <c r="S83" s="190"/>
      <c r="T83" s="190"/>
      <c r="U83" s="190"/>
      <c r="V83" s="190"/>
      <c r="W83" s="190"/>
      <c r="X83" s="190"/>
      <c r="Y83" s="190"/>
      <c r="Z83" s="190"/>
      <c r="AA83" s="190"/>
      <c r="AB83" s="190"/>
      <c r="AC83" s="190"/>
      <c r="AD83" s="190"/>
      <c r="AE83" s="190"/>
      <c r="AF83" s="190"/>
      <c r="AG83" s="190"/>
    </row>
    <row r="84" spans="2:34" x14ac:dyDescent="0.25">
      <c r="B84" s="190"/>
      <c r="C84" s="190"/>
      <c r="D84" s="190"/>
      <c r="E84" s="190"/>
      <c r="F84" s="190"/>
      <c r="G84" s="190"/>
      <c r="H84" s="190"/>
      <c r="I84" s="190"/>
      <c r="J84" s="190"/>
      <c r="K84" s="190"/>
      <c r="L84" s="190"/>
      <c r="M84" s="190"/>
      <c r="N84" s="190"/>
      <c r="O84" s="190"/>
      <c r="P84" s="190"/>
      <c r="Q84" s="190"/>
      <c r="R84" s="190"/>
      <c r="S84" s="190"/>
      <c r="T84" s="190"/>
      <c r="U84" s="190"/>
      <c r="V84" s="190"/>
      <c r="W84" s="190"/>
      <c r="X84" s="190"/>
      <c r="Y84" s="190"/>
      <c r="Z84" s="190"/>
      <c r="AA84" s="190"/>
      <c r="AB84" s="190"/>
      <c r="AC84" s="190"/>
      <c r="AD84" s="190"/>
      <c r="AE84" s="190"/>
      <c r="AF84" s="190"/>
      <c r="AG84" s="190"/>
    </row>
    <row r="85" spans="2:34" x14ac:dyDescent="0.25">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row>
    <row r="86" spans="2:34" ht="6" customHeight="1" x14ac:dyDescent="0.25"/>
    <row r="87" spans="2:34" x14ac:dyDescent="0.25">
      <c r="B87" s="190" t="s">
        <v>210</v>
      </c>
      <c r="C87" s="190"/>
      <c r="D87" s="190"/>
      <c r="E87" s="190"/>
      <c r="F87" s="190"/>
      <c r="G87" s="190"/>
      <c r="H87" s="190"/>
      <c r="I87" s="190"/>
      <c r="J87" s="190"/>
      <c r="K87" s="190"/>
      <c r="L87" s="190"/>
      <c r="M87" s="190"/>
      <c r="N87" s="190"/>
      <c r="O87" s="190"/>
      <c r="P87" s="190"/>
      <c r="Q87" s="190"/>
      <c r="R87" s="190"/>
      <c r="S87" s="190"/>
      <c r="T87" s="190"/>
      <c r="U87" s="190"/>
      <c r="V87" s="190"/>
      <c r="W87" s="190"/>
      <c r="X87" s="190"/>
      <c r="Y87" s="190"/>
      <c r="Z87" s="190"/>
      <c r="AA87" s="190"/>
      <c r="AB87" s="190"/>
      <c r="AC87" s="190"/>
      <c r="AD87" s="190"/>
      <c r="AE87" s="190"/>
      <c r="AF87" s="190"/>
      <c r="AG87" s="190"/>
    </row>
    <row r="88" spans="2:34" x14ac:dyDescent="0.25">
      <c r="B88" s="190"/>
      <c r="C88" s="19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c r="AD88" s="190"/>
      <c r="AE88" s="190"/>
      <c r="AF88" s="190"/>
      <c r="AG88" s="190"/>
    </row>
    <row r="89" spans="2:34" x14ac:dyDescent="0.25">
      <c r="B89" s="190"/>
      <c r="C89" s="19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c r="AD89" s="190"/>
      <c r="AE89" s="190"/>
      <c r="AF89" s="190"/>
      <c r="AG89" s="190"/>
    </row>
    <row r="90" spans="2:34" x14ac:dyDescent="0.25">
      <c r="B90" s="190"/>
      <c r="C90" s="19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c r="AD90" s="190"/>
      <c r="AE90" s="190"/>
      <c r="AF90" s="190"/>
      <c r="AG90" s="190"/>
    </row>
    <row r="91" spans="2:34" ht="3" customHeight="1" x14ac:dyDescent="0.25"/>
    <row r="92" spans="2:34" x14ac:dyDescent="0.25">
      <c r="B92" t="s">
        <v>254</v>
      </c>
    </row>
    <row r="93" spans="2:34" ht="3" customHeight="1" x14ac:dyDescent="0.25"/>
    <row r="94" spans="2:34" x14ac:dyDescent="0.25">
      <c r="C94" s="190" t="s">
        <v>211</v>
      </c>
      <c r="D94" s="190"/>
      <c r="E94" s="190"/>
      <c r="F94" s="190"/>
      <c r="G94" s="190"/>
      <c r="H94" s="190"/>
      <c r="I94" s="190"/>
      <c r="J94" s="190"/>
      <c r="K94" s="190"/>
      <c r="L94" s="190"/>
      <c r="M94" s="190"/>
      <c r="N94" s="190"/>
      <c r="O94" s="190"/>
      <c r="P94" s="190"/>
      <c r="Q94" s="190"/>
      <c r="R94" s="190"/>
      <c r="S94" s="190"/>
      <c r="T94" s="190"/>
      <c r="U94" s="190"/>
      <c r="V94" s="190"/>
      <c r="W94" s="190"/>
      <c r="X94" s="190"/>
      <c r="Y94" s="190"/>
      <c r="Z94" s="190"/>
      <c r="AA94" s="190"/>
      <c r="AB94" s="190"/>
      <c r="AC94" s="190"/>
      <c r="AD94" s="190"/>
      <c r="AE94" s="190"/>
      <c r="AF94" s="190"/>
      <c r="AG94" s="190"/>
      <c r="AH94" s="190"/>
    </row>
    <row r="95" spans="2:34" x14ac:dyDescent="0.25">
      <c r="C95" s="190"/>
      <c r="D95" s="190"/>
      <c r="E95" s="190"/>
      <c r="F95" s="190"/>
      <c r="G95" s="190"/>
      <c r="H95" s="190"/>
      <c r="I95" s="190"/>
      <c r="J95" s="190"/>
      <c r="K95" s="190"/>
      <c r="L95" s="190"/>
      <c r="M95" s="190"/>
      <c r="N95" s="190"/>
      <c r="O95" s="190"/>
      <c r="P95" s="190"/>
      <c r="Q95" s="190"/>
      <c r="R95" s="190"/>
      <c r="S95" s="190"/>
      <c r="T95" s="190"/>
      <c r="U95" s="190"/>
      <c r="V95" s="190"/>
      <c r="W95" s="190"/>
      <c r="X95" s="190"/>
      <c r="Y95" s="190"/>
      <c r="Z95" s="190"/>
      <c r="AA95" s="190"/>
      <c r="AB95" s="190"/>
      <c r="AC95" s="190"/>
      <c r="AD95" s="190"/>
      <c r="AE95" s="190"/>
      <c r="AF95" s="190"/>
      <c r="AG95" s="190"/>
      <c r="AH95" s="190"/>
    </row>
    <row r="96" spans="2:34" ht="3" customHeight="1" x14ac:dyDescent="0.25"/>
    <row r="97" spans="2:34" x14ac:dyDescent="0.25">
      <c r="C97" t="s">
        <v>212</v>
      </c>
    </row>
    <row r="98" spans="2:34" ht="3" customHeight="1" x14ac:dyDescent="0.25"/>
    <row r="99" spans="2:34" x14ac:dyDescent="0.25">
      <c r="C99" t="s">
        <v>213</v>
      </c>
    </row>
    <row r="100" spans="2:34" ht="3" customHeight="1" x14ac:dyDescent="0.25"/>
    <row r="101" spans="2:34" ht="15" customHeight="1" x14ac:dyDescent="0.25">
      <c r="C101" s="190" t="s">
        <v>214</v>
      </c>
      <c r="D101" s="190"/>
      <c r="E101" s="190"/>
      <c r="F101" s="190"/>
      <c r="G101" s="190"/>
      <c r="H101" s="190"/>
      <c r="I101" s="190"/>
      <c r="J101" s="190"/>
      <c r="K101" s="190"/>
      <c r="L101" s="190"/>
      <c r="M101" s="190"/>
      <c r="N101" s="190"/>
      <c r="O101" s="190"/>
      <c r="P101" s="190"/>
      <c r="Q101" s="190"/>
      <c r="R101" s="190"/>
      <c r="S101" s="190"/>
      <c r="T101" s="190"/>
      <c r="U101" s="190"/>
      <c r="V101" s="190"/>
      <c r="W101" s="190"/>
      <c r="X101" s="190"/>
      <c r="Y101" s="190"/>
      <c r="Z101" s="190"/>
      <c r="AA101" s="190"/>
      <c r="AB101" s="190"/>
      <c r="AC101" s="190"/>
      <c r="AD101" s="190"/>
      <c r="AE101" s="190"/>
      <c r="AF101" s="190"/>
      <c r="AG101" s="190"/>
      <c r="AH101" s="190"/>
    </row>
    <row r="102" spans="2:34" x14ac:dyDescent="0.25">
      <c r="C102" s="190"/>
      <c r="D102" s="190"/>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c r="AA102" s="190"/>
      <c r="AB102" s="190"/>
      <c r="AC102" s="190"/>
      <c r="AD102" s="190"/>
      <c r="AE102" s="190"/>
      <c r="AF102" s="190"/>
      <c r="AG102" s="190"/>
      <c r="AH102" s="190"/>
    </row>
    <row r="103" spans="2:34" x14ac:dyDescent="0.25">
      <c r="C103" s="190"/>
      <c r="D103" s="190"/>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c r="AA103" s="190"/>
      <c r="AB103" s="190"/>
      <c r="AC103" s="190"/>
      <c r="AD103" s="190"/>
      <c r="AE103" s="190"/>
      <c r="AF103" s="190"/>
      <c r="AG103" s="190"/>
      <c r="AH103" s="190"/>
    </row>
    <row r="104" spans="2:34" x14ac:dyDescent="0.25">
      <c r="C104" s="190"/>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c r="AA104" s="190"/>
      <c r="AB104" s="190"/>
      <c r="AC104" s="190"/>
      <c r="AD104" s="190"/>
      <c r="AE104" s="190"/>
      <c r="AF104" s="190"/>
      <c r="AG104" s="190"/>
      <c r="AH104" s="190"/>
    </row>
    <row r="105" spans="2:34" x14ac:dyDescent="0.25">
      <c r="C105" s="190"/>
      <c r="D105" s="190"/>
      <c r="E105" s="190"/>
      <c r="F105" s="190"/>
      <c r="G105" s="190"/>
      <c r="H105" s="190"/>
      <c r="I105" s="190"/>
      <c r="J105" s="190"/>
      <c r="K105" s="190"/>
      <c r="L105" s="190"/>
      <c r="M105" s="190"/>
      <c r="N105" s="190"/>
      <c r="O105" s="190"/>
      <c r="P105" s="190"/>
      <c r="Q105" s="190"/>
      <c r="R105" s="190"/>
      <c r="S105" s="190"/>
      <c r="T105" s="190"/>
      <c r="U105" s="190"/>
      <c r="V105" s="190"/>
      <c r="W105" s="190"/>
      <c r="X105" s="190"/>
      <c r="Y105" s="190"/>
      <c r="Z105" s="190"/>
      <c r="AA105" s="190"/>
      <c r="AB105" s="190"/>
      <c r="AC105" s="190"/>
      <c r="AD105" s="190"/>
      <c r="AE105" s="190"/>
      <c r="AF105" s="190"/>
      <c r="AG105" s="190"/>
      <c r="AH105" s="190"/>
    </row>
    <row r="106" spans="2:34" ht="3" customHeight="1" x14ac:dyDescent="0.25"/>
    <row r="107" spans="2:34" x14ac:dyDescent="0.25">
      <c r="B107" t="s">
        <v>232</v>
      </c>
    </row>
    <row r="108" spans="2:34" ht="3" customHeight="1" x14ac:dyDescent="0.25"/>
    <row r="109" spans="2:34" x14ac:dyDescent="0.25">
      <c r="C109" s="190" t="s">
        <v>246</v>
      </c>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c r="AA109" s="190"/>
      <c r="AB109" s="190"/>
      <c r="AC109" s="190"/>
      <c r="AD109" s="190"/>
      <c r="AE109" s="190"/>
      <c r="AF109" s="190"/>
      <c r="AG109" s="190"/>
    </row>
    <row r="110" spans="2:34" x14ac:dyDescent="0.25">
      <c r="C110" s="190"/>
      <c r="D110" s="190"/>
      <c r="E110" s="190"/>
      <c r="F110" s="190"/>
      <c r="G110" s="190"/>
      <c r="H110" s="190"/>
      <c r="I110" s="190"/>
      <c r="J110" s="190"/>
      <c r="K110" s="190"/>
      <c r="L110" s="190"/>
      <c r="M110" s="190"/>
      <c r="N110" s="190"/>
      <c r="O110" s="190"/>
      <c r="P110" s="190"/>
      <c r="Q110" s="190"/>
      <c r="R110" s="190"/>
      <c r="S110" s="190"/>
      <c r="T110" s="190"/>
      <c r="U110" s="190"/>
      <c r="V110" s="190"/>
      <c r="W110" s="190"/>
      <c r="X110" s="190"/>
      <c r="Y110" s="190"/>
      <c r="Z110" s="190"/>
      <c r="AA110" s="190"/>
      <c r="AB110" s="190"/>
      <c r="AC110" s="190"/>
      <c r="AD110" s="190"/>
      <c r="AE110" s="190"/>
      <c r="AF110" s="190"/>
      <c r="AG110" s="190"/>
    </row>
    <row r="111" spans="2:34" x14ac:dyDescent="0.25">
      <c r="C111" s="190"/>
      <c r="D111" s="190"/>
      <c r="E111" s="190"/>
      <c r="F111" s="190"/>
      <c r="G111" s="190"/>
      <c r="H111" s="190"/>
      <c r="I111" s="190"/>
      <c r="J111" s="190"/>
      <c r="K111" s="190"/>
      <c r="L111" s="190"/>
      <c r="M111" s="190"/>
      <c r="N111" s="190"/>
      <c r="O111" s="190"/>
      <c r="P111" s="190"/>
      <c r="Q111" s="190"/>
      <c r="R111" s="190"/>
      <c r="S111" s="190"/>
      <c r="T111" s="190"/>
      <c r="U111" s="190"/>
      <c r="V111" s="190"/>
      <c r="W111" s="190"/>
      <c r="X111" s="190"/>
      <c r="Y111" s="190"/>
      <c r="Z111" s="190"/>
      <c r="AA111" s="190"/>
      <c r="AB111" s="190"/>
      <c r="AC111" s="190"/>
      <c r="AD111" s="190"/>
      <c r="AE111" s="190"/>
      <c r="AF111" s="190"/>
      <c r="AG111" s="190"/>
    </row>
    <row r="112" spans="2:34" ht="3" customHeight="1" x14ac:dyDescent="0.25"/>
    <row r="113" spans="3:33" x14ac:dyDescent="0.25">
      <c r="C113" s="190" t="s">
        <v>245</v>
      </c>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0"/>
    </row>
    <row r="114" spans="3:33" x14ac:dyDescent="0.25">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0"/>
    </row>
    <row r="115" spans="3:33" x14ac:dyDescent="0.25">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c r="AA115" s="190"/>
      <c r="AB115" s="190"/>
      <c r="AC115" s="190"/>
      <c r="AD115" s="190"/>
      <c r="AE115" s="190"/>
      <c r="AF115" s="190"/>
      <c r="AG115" s="190"/>
    </row>
    <row r="116" spans="3:33" ht="3" customHeight="1" x14ac:dyDescent="0.25"/>
    <row r="117" spans="3:33" ht="15" customHeight="1" x14ac:dyDescent="0.25">
      <c r="C117" s="190" t="s">
        <v>244</v>
      </c>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c r="AA117" s="190"/>
      <c r="AB117" s="190"/>
      <c r="AC117" s="190"/>
      <c r="AD117" s="190"/>
      <c r="AE117" s="190"/>
      <c r="AF117" s="190"/>
      <c r="AG117" s="190"/>
    </row>
    <row r="118" spans="3:33" x14ac:dyDescent="0.25">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row>
    <row r="119" spans="3:33" x14ac:dyDescent="0.25">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row>
    <row r="120" spans="3:33" x14ac:dyDescent="0.25">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c r="AD120" s="190"/>
      <c r="AE120" s="190"/>
      <c r="AF120" s="190"/>
      <c r="AG120" s="190"/>
    </row>
    <row r="121" spans="3:33" x14ac:dyDescent="0.25">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c r="AA121" s="190"/>
      <c r="AB121" s="190"/>
      <c r="AC121" s="190"/>
      <c r="AD121" s="190"/>
      <c r="AE121" s="190"/>
      <c r="AF121" s="190"/>
      <c r="AG121" s="190"/>
    </row>
    <row r="122" spans="3:33" ht="3" customHeight="1" x14ac:dyDescent="0.25"/>
    <row r="123" spans="3:33" x14ac:dyDescent="0.25">
      <c r="C123" s="190" t="s">
        <v>249</v>
      </c>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c r="AA123" s="190"/>
      <c r="AB123" s="190"/>
      <c r="AC123" s="190"/>
      <c r="AD123" s="190"/>
      <c r="AE123" s="190"/>
      <c r="AF123" s="190"/>
      <c r="AG123" s="190"/>
    </row>
    <row r="124" spans="3:33" x14ac:dyDescent="0.25">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c r="AA124" s="190"/>
      <c r="AB124" s="190"/>
      <c r="AC124" s="190"/>
      <c r="AD124" s="190"/>
      <c r="AE124" s="190"/>
      <c r="AF124" s="190"/>
      <c r="AG124" s="190"/>
    </row>
    <row r="125" spans="3:33" ht="3" customHeight="1" x14ac:dyDescent="0.25"/>
    <row r="126" spans="3:33" ht="15" customHeight="1" x14ac:dyDescent="0.25">
      <c r="C126" s="190" t="s">
        <v>215</v>
      </c>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c r="AA126" s="190"/>
      <c r="AB126" s="190"/>
      <c r="AC126" s="190"/>
      <c r="AD126" s="190"/>
      <c r="AE126" s="190"/>
      <c r="AF126" s="190"/>
      <c r="AG126" s="190"/>
    </row>
    <row r="127" spans="3:33" x14ac:dyDescent="0.25">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row>
    <row r="128" spans="3:33" x14ac:dyDescent="0.25">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c r="AA128" s="190"/>
      <c r="AB128" s="190"/>
      <c r="AC128" s="190"/>
      <c r="AD128" s="190"/>
      <c r="AE128" s="190"/>
      <c r="AF128" s="190"/>
      <c r="AG128" s="190"/>
    </row>
    <row r="129" spans="2:33" ht="3" customHeight="1" x14ac:dyDescent="0.25"/>
    <row r="130" spans="2:33" ht="15" customHeight="1" x14ac:dyDescent="0.25">
      <c r="C130" s="190" t="s">
        <v>253</v>
      </c>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c r="AA130" s="190"/>
      <c r="AB130" s="190"/>
      <c r="AC130" s="190"/>
      <c r="AD130" s="190"/>
      <c r="AE130" s="190"/>
      <c r="AF130" s="190"/>
      <c r="AG130" s="190"/>
    </row>
    <row r="131" spans="2:33" x14ac:dyDescent="0.25">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c r="AA131" s="190"/>
      <c r="AB131" s="190"/>
      <c r="AC131" s="190"/>
      <c r="AD131" s="190"/>
      <c r="AE131" s="190"/>
      <c r="AF131" s="190"/>
      <c r="AG131" s="190"/>
    </row>
    <row r="132" spans="2:33" x14ac:dyDescent="0.25">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row>
    <row r="133" spans="2:33" x14ac:dyDescent="0.25">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c r="AA133" s="190"/>
      <c r="AB133" s="190"/>
      <c r="AC133" s="190"/>
      <c r="AD133" s="190"/>
      <c r="AE133" s="190"/>
      <c r="AF133" s="190"/>
      <c r="AG133" s="190"/>
    </row>
    <row r="134" spans="2:33" ht="3" customHeight="1" x14ac:dyDescent="0.25"/>
    <row r="135" spans="2:33" x14ac:dyDescent="0.25">
      <c r="B135" t="s">
        <v>231</v>
      </c>
    </row>
    <row r="136" spans="2:33" ht="3" customHeight="1" x14ac:dyDescent="0.25"/>
    <row r="137" spans="2:33" x14ac:dyDescent="0.25">
      <c r="B137" s="190" t="s">
        <v>230</v>
      </c>
      <c r="C137" s="190"/>
      <c r="D137" s="190"/>
      <c r="E137" s="190"/>
      <c r="F137" s="190"/>
      <c r="G137" s="190"/>
      <c r="H137" s="190"/>
      <c r="I137" s="190"/>
      <c r="J137" s="190"/>
      <c r="K137" s="190"/>
      <c r="L137" s="190"/>
      <c r="M137" s="190"/>
      <c r="N137" s="190"/>
      <c r="O137" s="190"/>
      <c r="P137" s="190"/>
      <c r="Q137" s="190"/>
      <c r="R137" s="190"/>
      <c r="S137" s="190"/>
      <c r="T137" s="190"/>
      <c r="U137" s="190"/>
      <c r="V137" s="190"/>
      <c r="W137" s="190"/>
      <c r="X137" s="190"/>
      <c r="Y137" s="190"/>
      <c r="Z137" s="190"/>
      <c r="AA137" s="190"/>
      <c r="AB137" s="190"/>
      <c r="AC137" s="190"/>
      <c r="AD137" s="190"/>
      <c r="AE137" s="190"/>
      <c r="AF137" s="190"/>
      <c r="AG137" s="190"/>
    </row>
    <row r="138" spans="2:33" x14ac:dyDescent="0.25">
      <c r="B138" s="190"/>
      <c r="C138" s="190"/>
      <c r="D138" s="190"/>
      <c r="E138" s="190"/>
      <c r="F138" s="190"/>
      <c r="G138" s="190"/>
      <c r="H138" s="190"/>
      <c r="I138" s="190"/>
      <c r="J138" s="190"/>
      <c r="K138" s="190"/>
      <c r="L138" s="190"/>
      <c r="M138" s="190"/>
      <c r="N138" s="190"/>
      <c r="O138" s="190"/>
      <c r="P138" s="190"/>
      <c r="Q138" s="190"/>
      <c r="R138" s="190"/>
      <c r="S138" s="190"/>
      <c r="T138" s="190"/>
      <c r="U138" s="190"/>
      <c r="V138" s="190"/>
      <c r="W138" s="190"/>
      <c r="X138" s="190"/>
      <c r="Y138" s="190"/>
      <c r="Z138" s="190"/>
      <c r="AA138" s="190"/>
      <c r="AB138" s="190"/>
      <c r="AC138" s="190"/>
      <c r="AD138" s="190"/>
      <c r="AE138" s="190"/>
      <c r="AF138" s="190"/>
      <c r="AG138" s="190"/>
    </row>
    <row r="139" spans="2:33" x14ac:dyDescent="0.25">
      <c r="B139" s="190"/>
      <c r="C139" s="190"/>
      <c r="D139" s="190"/>
      <c r="E139" s="190"/>
      <c r="F139" s="190"/>
      <c r="G139" s="190"/>
      <c r="H139" s="190"/>
      <c r="I139" s="190"/>
      <c r="J139" s="190"/>
      <c r="K139" s="190"/>
      <c r="L139" s="190"/>
      <c r="M139" s="190"/>
      <c r="N139" s="190"/>
      <c r="O139" s="190"/>
      <c r="P139" s="190"/>
      <c r="Q139" s="190"/>
      <c r="R139" s="190"/>
      <c r="S139" s="190"/>
      <c r="T139" s="190"/>
      <c r="U139" s="190"/>
      <c r="V139" s="190"/>
      <c r="W139" s="190"/>
      <c r="X139" s="190"/>
      <c r="Y139" s="190"/>
      <c r="Z139" s="190"/>
      <c r="AA139" s="190"/>
      <c r="AB139" s="190"/>
      <c r="AC139" s="190"/>
      <c r="AD139" s="190"/>
      <c r="AE139" s="190"/>
      <c r="AF139" s="190"/>
      <c r="AG139" s="190"/>
    </row>
    <row r="140" spans="2:33" ht="3" customHeight="1" x14ac:dyDescent="0.25"/>
    <row r="141" spans="2:33" x14ac:dyDescent="0.25">
      <c r="B141" s="191" t="s">
        <v>216</v>
      </c>
      <c r="C141" s="191"/>
      <c r="D141" s="191"/>
      <c r="E141" s="191"/>
      <c r="F141" s="191"/>
      <c r="G141" s="191"/>
      <c r="H141" s="191"/>
      <c r="I141" s="191"/>
      <c r="J141" s="191"/>
      <c r="K141" s="191"/>
      <c r="L141" s="191"/>
      <c r="M141" s="191"/>
      <c r="N141" s="191"/>
      <c r="O141" s="191"/>
      <c r="P141" s="191"/>
      <c r="Q141" s="191"/>
      <c r="R141" s="191"/>
      <c r="S141" s="191"/>
      <c r="T141" s="191"/>
      <c r="U141" s="191"/>
      <c r="V141" s="191"/>
      <c r="W141" s="191"/>
      <c r="X141" s="191"/>
      <c r="Y141" s="191"/>
      <c r="Z141" s="191"/>
      <c r="AA141" s="191"/>
      <c r="AB141" s="191"/>
      <c r="AC141" s="191"/>
      <c r="AD141" s="191"/>
      <c r="AE141" s="191"/>
      <c r="AF141" s="191"/>
      <c r="AG141" s="191"/>
    </row>
    <row r="142" spans="2:33" x14ac:dyDescent="0.25">
      <c r="B142" s="191"/>
      <c r="C142" s="191"/>
      <c r="D142" s="191"/>
      <c r="E142" s="191"/>
      <c r="F142" s="191"/>
      <c r="G142" s="191"/>
      <c r="H142" s="191"/>
      <c r="I142" s="191"/>
      <c r="J142" s="191"/>
      <c r="K142" s="191"/>
      <c r="L142" s="191"/>
      <c r="M142" s="191"/>
      <c r="N142" s="191"/>
      <c r="O142" s="191"/>
      <c r="P142" s="191"/>
      <c r="Q142" s="191"/>
      <c r="R142" s="191"/>
      <c r="S142" s="191"/>
      <c r="T142" s="191"/>
      <c r="U142" s="191"/>
      <c r="V142" s="191"/>
      <c r="W142" s="191"/>
      <c r="X142" s="191"/>
      <c r="Y142" s="191"/>
      <c r="Z142" s="191"/>
      <c r="AA142" s="191"/>
      <c r="AB142" s="191"/>
      <c r="AC142" s="191"/>
      <c r="AD142" s="191"/>
      <c r="AE142" s="191"/>
      <c r="AF142" s="191"/>
      <c r="AG142" s="191"/>
    </row>
    <row r="143" spans="2:33" ht="3" customHeight="1" x14ac:dyDescent="0.25"/>
    <row r="144" spans="2:33" x14ac:dyDescent="0.25">
      <c r="B144" t="s">
        <v>217</v>
      </c>
    </row>
    <row r="145" spans="2:33" ht="3" customHeight="1" x14ac:dyDescent="0.25"/>
    <row r="146" spans="2:33" x14ac:dyDescent="0.25">
      <c r="B146" s="190" t="s">
        <v>218</v>
      </c>
      <c r="C146" s="190"/>
      <c r="D146" s="190"/>
      <c r="E146" s="190"/>
      <c r="F146" s="190"/>
      <c r="G146" s="190"/>
      <c r="H146" s="190"/>
      <c r="I146" s="190"/>
      <c r="J146" s="190"/>
      <c r="K146" s="190"/>
      <c r="L146" s="190"/>
      <c r="M146" s="190"/>
      <c r="N146" s="190"/>
      <c r="O146" s="190"/>
      <c r="P146" s="190"/>
      <c r="Q146" s="190"/>
      <c r="R146" s="190"/>
      <c r="S146" s="190"/>
      <c r="T146" s="190"/>
      <c r="U146" s="190"/>
      <c r="V146" s="190"/>
      <c r="W146" s="190"/>
      <c r="X146" s="190"/>
      <c r="Y146" s="190"/>
      <c r="Z146" s="190"/>
      <c r="AA146" s="190"/>
      <c r="AB146" s="190"/>
      <c r="AC146" s="190"/>
      <c r="AD146" s="190"/>
      <c r="AE146" s="190"/>
      <c r="AF146" s="190"/>
      <c r="AG146" s="190"/>
    </row>
    <row r="147" spans="2:33" x14ac:dyDescent="0.25">
      <c r="B147" s="190"/>
      <c r="C147" s="190"/>
      <c r="D147" s="190"/>
      <c r="E147" s="190"/>
      <c r="F147" s="190"/>
      <c r="G147" s="190"/>
      <c r="H147" s="190"/>
      <c r="I147" s="190"/>
      <c r="J147" s="190"/>
      <c r="K147" s="190"/>
      <c r="L147" s="190"/>
      <c r="M147" s="190"/>
      <c r="N147" s="190"/>
      <c r="O147" s="190"/>
      <c r="P147" s="190"/>
      <c r="Q147" s="190"/>
      <c r="R147" s="190"/>
      <c r="S147" s="190"/>
      <c r="T147" s="190"/>
      <c r="U147" s="190"/>
      <c r="V147" s="190"/>
      <c r="W147" s="190"/>
      <c r="X147" s="190"/>
      <c r="Y147" s="190"/>
      <c r="Z147" s="190"/>
      <c r="AA147" s="190"/>
      <c r="AB147" s="190"/>
      <c r="AC147" s="190"/>
      <c r="AD147" s="190"/>
      <c r="AE147" s="190"/>
      <c r="AF147" s="190"/>
      <c r="AG147" s="190"/>
    </row>
    <row r="148" spans="2:33" x14ac:dyDescent="0.25">
      <c r="B148" s="190"/>
      <c r="C148" s="190"/>
      <c r="D148" s="190"/>
      <c r="E148" s="190"/>
      <c r="F148" s="190"/>
      <c r="G148" s="190"/>
      <c r="H148" s="190"/>
      <c r="I148" s="190"/>
      <c r="J148" s="190"/>
      <c r="K148" s="190"/>
      <c r="L148" s="190"/>
      <c r="M148" s="190"/>
      <c r="N148" s="190"/>
      <c r="O148" s="190"/>
      <c r="P148" s="190"/>
      <c r="Q148" s="190"/>
      <c r="R148" s="190"/>
      <c r="S148" s="190"/>
      <c r="T148" s="190"/>
      <c r="U148" s="190"/>
      <c r="V148" s="190"/>
      <c r="W148" s="190"/>
      <c r="X148" s="190"/>
      <c r="Y148" s="190"/>
      <c r="Z148" s="190"/>
      <c r="AA148" s="190"/>
      <c r="AB148" s="190"/>
      <c r="AC148" s="190"/>
      <c r="AD148" s="190"/>
      <c r="AE148" s="190"/>
      <c r="AF148" s="190"/>
      <c r="AG148" s="190"/>
    </row>
    <row r="149" spans="2:33" ht="3" customHeight="1" x14ac:dyDescent="0.25"/>
    <row r="150" spans="2:33" x14ac:dyDescent="0.25">
      <c r="B150" t="s">
        <v>247</v>
      </c>
    </row>
    <row r="151" spans="2:33" ht="3" customHeight="1" x14ac:dyDescent="0.25"/>
    <row r="152" spans="2:33" x14ac:dyDescent="0.25">
      <c r="B152" t="s">
        <v>219</v>
      </c>
    </row>
    <row r="153" spans="2:33" ht="3" customHeight="1" x14ac:dyDescent="0.25"/>
    <row r="154" spans="2:33" x14ac:dyDescent="0.25">
      <c r="B154" t="s">
        <v>220</v>
      </c>
    </row>
    <row r="155" spans="2:33" ht="3" customHeight="1" x14ac:dyDescent="0.25"/>
    <row r="156" spans="2:33" x14ac:dyDescent="0.25">
      <c r="B156" s="190" t="s">
        <v>229</v>
      </c>
      <c r="C156" s="190"/>
      <c r="D156" s="190"/>
      <c r="E156" s="190"/>
      <c r="F156" s="190"/>
      <c r="G156" s="190"/>
      <c r="H156" s="190"/>
      <c r="I156" s="190"/>
      <c r="J156" s="190"/>
      <c r="K156" s="190"/>
      <c r="L156" s="190"/>
      <c r="M156" s="190"/>
      <c r="N156" s="190"/>
      <c r="O156" s="190"/>
      <c r="P156" s="190"/>
      <c r="Q156" s="190"/>
      <c r="R156" s="190"/>
      <c r="S156" s="190"/>
      <c r="T156" s="190"/>
      <c r="U156" s="190"/>
      <c r="V156" s="190"/>
      <c r="W156" s="190"/>
      <c r="X156" s="190"/>
      <c r="Y156" s="190"/>
      <c r="Z156" s="190"/>
      <c r="AA156" s="190"/>
      <c r="AB156" s="190"/>
      <c r="AC156" s="190"/>
      <c r="AD156" s="190"/>
      <c r="AE156" s="190"/>
      <c r="AF156" s="190"/>
      <c r="AG156" s="190"/>
    </row>
    <row r="157" spans="2:33" x14ac:dyDescent="0.25">
      <c r="B157" s="190"/>
      <c r="C157" s="190"/>
      <c r="D157" s="190"/>
      <c r="E157" s="190"/>
      <c r="F157" s="190"/>
      <c r="G157" s="190"/>
      <c r="H157" s="190"/>
      <c r="I157" s="190"/>
      <c r="J157" s="190"/>
      <c r="K157" s="190"/>
      <c r="L157" s="190"/>
      <c r="M157" s="190"/>
      <c r="N157" s="190"/>
      <c r="O157" s="190"/>
      <c r="P157" s="190"/>
      <c r="Q157" s="190"/>
      <c r="R157" s="190"/>
      <c r="S157" s="190"/>
      <c r="T157" s="190"/>
      <c r="U157" s="190"/>
      <c r="V157" s="190"/>
      <c r="W157" s="190"/>
      <c r="X157" s="190"/>
      <c r="Y157" s="190"/>
      <c r="Z157" s="190"/>
      <c r="AA157" s="190"/>
      <c r="AB157" s="190"/>
      <c r="AC157" s="190"/>
      <c r="AD157" s="190"/>
      <c r="AE157" s="190"/>
      <c r="AF157" s="190"/>
      <c r="AG157" s="190"/>
    </row>
    <row r="158" spans="2:33" ht="3" customHeight="1" x14ac:dyDescent="0.25"/>
    <row r="159" spans="2:33" x14ac:dyDescent="0.25">
      <c r="B159" t="s">
        <v>228</v>
      </c>
    </row>
    <row r="160" spans="2:33" ht="3" customHeight="1" x14ac:dyDescent="0.25"/>
    <row r="161" spans="2:33" x14ac:dyDescent="0.25">
      <c r="B161" t="s">
        <v>248</v>
      </c>
    </row>
    <row r="162" spans="2:33" ht="3" customHeight="1" x14ac:dyDescent="0.25"/>
    <row r="163" spans="2:33" x14ac:dyDescent="0.25">
      <c r="C163" s="191" t="s">
        <v>221</v>
      </c>
      <c r="D163" s="191"/>
      <c r="E163" s="191"/>
      <c r="F163" s="191"/>
      <c r="G163" s="191"/>
      <c r="H163" s="191"/>
      <c r="I163" s="191"/>
      <c r="J163" s="191"/>
      <c r="K163" s="191"/>
      <c r="L163" s="191"/>
      <c r="M163" s="191"/>
      <c r="N163" s="191"/>
      <c r="O163" s="191"/>
      <c r="P163" s="191"/>
      <c r="Q163" s="191"/>
      <c r="R163" s="191"/>
      <c r="S163" s="191"/>
      <c r="T163" s="191"/>
      <c r="U163" s="191"/>
      <c r="V163" s="191"/>
      <c r="W163" s="191"/>
      <c r="X163" s="191"/>
      <c r="Y163" s="191"/>
      <c r="Z163" s="191"/>
      <c r="AA163" s="191"/>
      <c r="AB163" s="191"/>
      <c r="AC163" s="191"/>
      <c r="AD163" s="191"/>
      <c r="AE163" s="191"/>
      <c r="AF163" s="191"/>
      <c r="AG163" s="191"/>
    </row>
    <row r="164" spans="2:33" x14ac:dyDescent="0.25">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1"/>
      <c r="Z164" s="191"/>
      <c r="AA164" s="191"/>
      <c r="AB164" s="191"/>
      <c r="AC164" s="191"/>
      <c r="AD164" s="191"/>
      <c r="AE164" s="191"/>
      <c r="AF164" s="191"/>
      <c r="AG164" s="191"/>
    </row>
    <row r="165" spans="2:33" ht="3" customHeight="1" x14ac:dyDescent="0.25"/>
    <row r="166" spans="2:33" ht="15" customHeight="1" x14ac:dyDescent="0.25">
      <c r="C166" s="190" t="s">
        <v>222</v>
      </c>
      <c r="D166" s="190"/>
      <c r="E166" s="190"/>
      <c r="F166" s="190"/>
      <c r="G166" s="190"/>
      <c r="H166" s="190"/>
      <c r="I166" s="190"/>
      <c r="J166" s="190"/>
      <c r="K166" s="190"/>
      <c r="L166" s="190"/>
      <c r="M166" s="190"/>
      <c r="N166" s="190"/>
      <c r="O166" s="190"/>
      <c r="P166" s="190"/>
      <c r="Q166" s="190"/>
      <c r="R166" s="190"/>
      <c r="S166" s="190"/>
      <c r="T166" s="190"/>
      <c r="U166" s="190"/>
      <c r="V166" s="190"/>
      <c r="W166" s="190"/>
      <c r="X166" s="190"/>
      <c r="Y166" s="190"/>
      <c r="Z166" s="190"/>
      <c r="AA166" s="190"/>
      <c r="AB166" s="190"/>
      <c r="AC166" s="190"/>
      <c r="AD166" s="190"/>
      <c r="AE166" s="190"/>
      <c r="AF166" s="190"/>
      <c r="AG166" s="190"/>
    </row>
    <row r="167" spans="2:33" x14ac:dyDescent="0.25">
      <c r="C167" s="190"/>
      <c r="D167" s="190"/>
      <c r="E167" s="190"/>
      <c r="F167" s="190"/>
      <c r="G167" s="190"/>
      <c r="H167" s="190"/>
      <c r="I167" s="190"/>
      <c r="J167" s="190"/>
      <c r="K167" s="190"/>
      <c r="L167" s="190"/>
      <c r="M167" s="190"/>
      <c r="N167" s="190"/>
      <c r="O167" s="190"/>
      <c r="P167" s="190"/>
      <c r="Q167" s="190"/>
      <c r="R167" s="190"/>
      <c r="S167" s="190"/>
      <c r="T167" s="190"/>
      <c r="U167" s="190"/>
      <c r="V167" s="190"/>
      <c r="W167" s="190"/>
      <c r="X167" s="190"/>
      <c r="Y167" s="190"/>
      <c r="Z167" s="190"/>
      <c r="AA167" s="190"/>
      <c r="AB167" s="190"/>
      <c r="AC167" s="190"/>
      <c r="AD167" s="190"/>
      <c r="AE167" s="190"/>
      <c r="AF167" s="190"/>
      <c r="AG167" s="190"/>
    </row>
    <row r="168" spans="2:33" x14ac:dyDescent="0.25">
      <c r="C168" s="190"/>
      <c r="D168" s="190"/>
      <c r="E168" s="190"/>
      <c r="F168" s="190"/>
      <c r="G168" s="190"/>
      <c r="H168" s="190"/>
      <c r="I168" s="190"/>
      <c r="J168" s="190"/>
      <c r="K168" s="190"/>
      <c r="L168" s="190"/>
      <c r="M168" s="190"/>
      <c r="N168" s="190"/>
      <c r="O168" s="190"/>
      <c r="P168" s="190"/>
      <c r="Q168" s="190"/>
      <c r="R168" s="190"/>
      <c r="S168" s="190"/>
      <c r="T168" s="190"/>
      <c r="U168" s="190"/>
      <c r="V168" s="190"/>
      <c r="W168" s="190"/>
      <c r="X168" s="190"/>
      <c r="Y168" s="190"/>
      <c r="Z168" s="190"/>
      <c r="AA168" s="190"/>
      <c r="AB168" s="190"/>
      <c r="AC168" s="190"/>
      <c r="AD168" s="190"/>
      <c r="AE168" s="190"/>
      <c r="AF168" s="190"/>
      <c r="AG168" s="190"/>
    </row>
    <row r="169" spans="2:33" ht="3" customHeight="1" x14ac:dyDescent="0.25"/>
    <row r="170" spans="2:33" x14ac:dyDescent="0.25">
      <c r="B170" t="s">
        <v>225</v>
      </c>
    </row>
    <row r="171" spans="2:33" ht="3" customHeight="1" x14ac:dyDescent="0.25"/>
    <row r="172" spans="2:33" x14ac:dyDescent="0.25">
      <c r="B172" t="s">
        <v>226</v>
      </c>
    </row>
    <row r="173" spans="2:33" ht="3" customHeight="1" x14ac:dyDescent="0.25"/>
    <row r="174" spans="2:33" x14ac:dyDescent="0.25">
      <c r="B174" t="s">
        <v>227</v>
      </c>
    </row>
  </sheetData>
  <sheetProtection algorithmName="SHA-512" hashValue="AMtz/m1+npLOEhnXXrHD4Qp/i/uB6rpfSJDlqGqZFHYWbP3pjZRrbYzMb9Fm8Kz8XLKOva2klPvM/KPhm6lVBQ==" saltValue="HygDNMBJBHwdeNRno4vqgg==" spinCount="100000" sheet="1" objects="1" scenarios="1"/>
  <mergeCells count="57">
    <mergeCell ref="F18:I18"/>
    <mergeCell ref="J18:Q18"/>
    <mergeCell ref="R18:U18"/>
    <mergeCell ref="V18:AA18"/>
    <mergeCell ref="F19:I19"/>
    <mergeCell ref="J19:Q19"/>
    <mergeCell ref="R19:U19"/>
    <mergeCell ref="V19:AA19"/>
    <mergeCell ref="F16:I16"/>
    <mergeCell ref="F17:I17"/>
    <mergeCell ref="J16:Q16"/>
    <mergeCell ref="R16:U16"/>
    <mergeCell ref="V16:AA16"/>
    <mergeCell ref="J17:Q17"/>
    <mergeCell ref="R17:U17"/>
    <mergeCell ref="V17:AA17"/>
    <mergeCell ref="F20:I20"/>
    <mergeCell ref="J20:Q20"/>
    <mergeCell ref="R20:U20"/>
    <mergeCell ref="V20:AA20"/>
    <mergeCell ref="F21:I21"/>
    <mergeCell ref="J21:Q21"/>
    <mergeCell ref="R21:U21"/>
    <mergeCell ref="V21:AA21"/>
    <mergeCell ref="B35:AG38"/>
    <mergeCell ref="B26:AG28"/>
    <mergeCell ref="B23:AG24"/>
    <mergeCell ref="B31:AG33"/>
    <mergeCell ref="B40:AG42"/>
    <mergeCell ref="B44:AG45"/>
    <mergeCell ref="B47:AG49"/>
    <mergeCell ref="B52:AG53"/>
    <mergeCell ref="B55:AG58"/>
    <mergeCell ref="C101:AH105"/>
    <mergeCell ref="B50:AG51"/>
    <mergeCell ref="C109:AG111"/>
    <mergeCell ref="B78:AG84"/>
    <mergeCell ref="B60:AG61"/>
    <mergeCell ref="B71:AG72"/>
    <mergeCell ref="B73:AG73"/>
    <mergeCell ref="B74:AG76"/>
    <mergeCell ref="C166:AG168"/>
    <mergeCell ref="B4:AG6"/>
    <mergeCell ref="B8:AG9"/>
    <mergeCell ref="B11:AG12"/>
    <mergeCell ref="B137:AG139"/>
    <mergeCell ref="B141:AG142"/>
    <mergeCell ref="B146:AG148"/>
    <mergeCell ref="B156:AG157"/>
    <mergeCell ref="C163:AG164"/>
    <mergeCell ref="C126:AG128"/>
    <mergeCell ref="C130:AG133"/>
    <mergeCell ref="C113:AG115"/>
    <mergeCell ref="C117:AG121"/>
    <mergeCell ref="C123:AG124"/>
    <mergeCell ref="B87:AG90"/>
    <mergeCell ref="C94:AH95"/>
  </mergeCells>
  <pageMargins left="0.70866141732283461" right="0.70866141732283461" top="0.74803149606299213" bottom="0.3543307086614173" header="0.31496062992125984" footer="0.31496062992125984"/>
  <pageSetup paperSize="9" orientation="landscape" r:id="rId1"/>
  <headerFooter>
    <oddHeader xml:space="preserve">&amp;C </oddHeader>
    <oddFooter>&amp;R_x000D_&amp;1#&amp;"Calibri"&amp;10&amp;K000000 Classificação: Público</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A7DF-57A8-442F-8984-D02A4E3D7DB0}">
  <sheetPr codeName="Planilha2"/>
  <dimension ref="B2:V45"/>
  <sheetViews>
    <sheetView workbookViewId="0">
      <selection activeCell="E18" sqref="E17:E18"/>
    </sheetView>
  </sheetViews>
  <sheetFormatPr defaultRowHeight="15" x14ac:dyDescent="0.25"/>
  <cols>
    <col min="2" max="2" width="87.42578125" bestFit="1" customWidth="1"/>
    <col min="3" max="3" width="12.42578125" bestFit="1" customWidth="1"/>
    <col min="6" max="6" width="15.28515625" customWidth="1"/>
    <col min="8" max="8" width="14.140625" bestFit="1" customWidth="1"/>
    <col min="9" max="9" width="15.28515625" bestFit="1" customWidth="1"/>
    <col min="10" max="10" width="15.5703125" bestFit="1" customWidth="1"/>
    <col min="11" max="11" width="17" bestFit="1" customWidth="1"/>
    <col min="12" max="12" width="17.42578125" bestFit="1" customWidth="1"/>
    <col min="15" max="15" width="9.140625" style="19"/>
    <col min="16" max="16" width="22.5703125" style="19" bestFit="1" customWidth="1"/>
    <col min="17" max="17" width="7" style="19" customWidth="1"/>
    <col min="18" max="18" width="12.85546875" style="19" customWidth="1"/>
    <col min="20" max="20" width="24.140625" bestFit="1" customWidth="1"/>
  </cols>
  <sheetData>
    <row r="2" spans="2:22" x14ac:dyDescent="0.25">
      <c r="V2" t="s">
        <v>270</v>
      </c>
    </row>
    <row r="3" spans="2:22" x14ac:dyDescent="0.25">
      <c r="B3" s="27" t="s">
        <v>90</v>
      </c>
      <c r="D3" t="s">
        <v>98</v>
      </c>
      <c r="H3" t="s">
        <v>36</v>
      </c>
      <c r="I3" t="s">
        <v>37</v>
      </c>
      <c r="J3" t="s">
        <v>38</v>
      </c>
      <c r="K3" t="s">
        <v>39</v>
      </c>
      <c r="L3" t="s">
        <v>40</v>
      </c>
      <c r="O3" s="19" t="s">
        <v>168</v>
      </c>
      <c r="P3" s="19" t="s">
        <v>169</v>
      </c>
      <c r="R3" s="19" t="s">
        <v>174</v>
      </c>
      <c r="T3" t="s">
        <v>173</v>
      </c>
      <c r="V3">
        <f>IF(TipoSE="Nº 1",1,0)</f>
        <v>0</v>
      </c>
    </row>
    <row r="4" spans="2:22" x14ac:dyDescent="0.25">
      <c r="B4" t="s">
        <v>9</v>
      </c>
      <c r="C4" t="b">
        <f>B4=Formulário!$I$39</f>
        <v>0</v>
      </c>
      <c r="D4">
        <f>IF(Formulário!$I$39=Dados!B4,1,0)</f>
        <v>0</v>
      </c>
      <c r="H4">
        <v>22</v>
      </c>
      <c r="I4">
        <v>487307</v>
      </c>
      <c r="J4">
        <v>833012</v>
      </c>
      <c r="K4">
        <v>7733378</v>
      </c>
      <c r="L4">
        <v>7981566</v>
      </c>
      <c r="O4" s="19" t="s">
        <v>170</v>
      </c>
      <c r="P4" s="19">
        <v>75</v>
      </c>
      <c r="R4" s="19">
        <v>1</v>
      </c>
      <c r="T4" s="19">
        <v>100</v>
      </c>
    </row>
    <row r="5" spans="2:22" x14ac:dyDescent="0.25">
      <c r="B5" t="s">
        <v>8</v>
      </c>
      <c r="C5" t="b">
        <f>B5=Formulário!$I$39</f>
        <v>0</v>
      </c>
      <c r="D5">
        <f>IF(Formulário!$I$39=Dados!B5,2,0)</f>
        <v>0</v>
      </c>
      <c r="H5">
        <v>23</v>
      </c>
      <c r="I5">
        <v>161564</v>
      </c>
      <c r="J5">
        <v>840139</v>
      </c>
      <c r="K5">
        <v>7460145</v>
      </c>
      <c r="L5">
        <v>8435094</v>
      </c>
      <c r="O5" s="19" t="s">
        <v>170</v>
      </c>
      <c r="P5" s="19">
        <v>112.5</v>
      </c>
      <c r="R5" s="19">
        <v>2</v>
      </c>
      <c r="T5" s="19">
        <v>200</v>
      </c>
      <c r="V5" t="s">
        <v>167</v>
      </c>
    </row>
    <row r="6" spans="2:22" x14ac:dyDescent="0.25">
      <c r="B6" t="s">
        <v>10</v>
      </c>
      <c r="C6" t="b">
        <f>B6=Formulário!$I$39</f>
        <v>0</v>
      </c>
      <c r="D6">
        <f>IF(Formulário!$I$39=Dados!B6,3,0)</f>
        <v>0</v>
      </c>
      <c r="H6">
        <v>24</v>
      </c>
      <c r="I6">
        <v>164869</v>
      </c>
      <c r="J6">
        <v>417150</v>
      </c>
      <c r="K6">
        <v>7673180</v>
      </c>
      <c r="L6">
        <v>8336360</v>
      </c>
      <c r="O6" s="19" t="s">
        <v>170</v>
      </c>
      <c r="P6" s="19">
        <v>150</v>
      </c>
      <c r="R6" s="19">
        <v>3</v>
      </c>
      <c r="T6" s="19">
        <v>300</v>
      </c>
      <c r="V6" t="s">
        <v>271</v>
      </c>
    </row>
    <row r="7" spans="2:22" x14ac:dyDescent="0.25">
      <c r="B7" t="s">
        <v>7</v>
      </c>
      <c r="C7" t="b">
        <f>B7=Formulário!$I$39</f>
        <v>0</v>
      </c>
      <c r="D7">
        <f>IF(Formulário!$I$39=Dados!B7,4,0)</f>
        <v>0</v>
      </c>
      <c r="O7" s="19" t="s">
        <v>170</v>
      </c>
      <c r="P7" s="19">
        <v>225</v>
      </c>
      <c r="R7" s="19">
        <v>4</v>
      </c>
      <c r="T7" s="19">
        <v>500</v>
      </c>
    </row>
    <row r="8" spans="2:22" x14ac:dyDescent="0.25">
      <c r="O8" s="19" t="s">
        <v>170</v>
      </c>
      <c r="P8" s="19">
        <v>300</v>
      </c>
      <c r="T8" s="19">
        <v>700</v>
      </c>
    </row>
    <row r="9" spans="2:22" x14ac:dyDescent="0.25">
      <c r="H9" t="s">
        <v>166</v>
      </c>
      <c r="I9" t="s">
        <v>162</v>
      </c>
      <c r="J9" t="s">
        <v>163</v>
      </c>
      <c r="K9" t="s">
        <v>164</v>
      </c>
      <c r="L9" t="s">
        <v>165</v>
      </c>
      <c r="O9" s="19" t="s">
        <v>171</v>
      </c>
      <c r="P9" s="19">
        <v>75</v>
      </c>
    </row>
    <row r="10" spans="2:22" x14ac:dyDescent="0.25">
      <c r="H10">
        <f>Formulário!V27</f>
        <v>0</v>
      </c>
      <c r="I10" t="e">
        <f>VLOOKUP($H$10,$H$4:$L$6,COLUMN()-7,FALSE)</f>
        <v>#N/A</v>
      </c>
      <c r="J10" t="e">
        <f t="shared" ref="J10:L10" si="0">VLOOKUP($H$10,$H$4:$L$6,COLUMN()-7,FALSE)</f>
        <v>#N/A</v>
      </c>
      <c r="K10" t="e">
        <f t="shared" si="0"/>
        <v>#N/A</v>
      </c>
      <c r="L10" t="e">
        <f t="shared" si="0"/>
        <v>#N/A</v>
      </c>
      <c r="O10" s="19" t="s">
        <v>171</v>
      </c>
      <c r="P10" s="19">
        <v>112.5</v>
      </c>
    </row>
    <row r="11" spans="2:22" x14ac:dyDescent="0.25">
      <c r="O11" s="19" t="s">
        <v>171</v>
      </c>
      <c r="P11" s="19">
        <v>150</v>
      </c>
    </row>
    <row r="12" spans="2:22" x14ac:dyDescent="0.25">
      <c r="B12" t="s">
        <v>89</v>
      </c>
      <c r="D12" t="s">
        <v>99</v>
      </c>
      <c r="O12" s="19" t="s">
        <v>171</v>
      </c>
      <c r="P12" s="19">
        <v>225</v>
      </c>
    </row>
    <row r="13" spans="2:22" x14ac:dyDescent="0.25">
      <c r="B13" s="27" t="s">
        <v>85</v>
      </c>
      <c r="D13">
        <f>IF(Formulário!$I$41=Dados!B13,1,0)</f>
        <v>0</v>
      </c>
      <c r="O13" s="19" t="s">
        <v>171</v>
      </c>
      <c r="P13" s="19">
        <v>300</v>
      </c>
    </row>
    <row r="14" spans="2:22" x14ac:dyDescent="0.25">
      <c r="B14" s="27" t="s">
        <v>86</v>
      </c>
      <c r="D14">
        <f>IF(Formulário!$I$41=Dados!B14,2,0)</f>
        <v>0</v>
      </c>
      <c r="O14" s="19" t="s">
        <v>172</v>
      </c>
      <c r="P14" s="19">
        <v>75</v>
      </c>
    </row>
    <row r="15" spans="2:22" x14ac:dyDescent="0.25">
      <c r="B15" s="27" t="s">
        <v>87</v>
      </c>
      <c r="D15">
        <f>IF(Formulário!$I$41=Dados!B15,3,0)</f>
        <v>0</v>
      </c>
      <c r="O15" s="19" t="s">
        <v>172</v>
      </c>
      <c r="P15" s="19">
        <v>112.5</v>
      </c>
    </row>
    <row r="16" spans="2:22" x14ac:dyDescent="0.25">
      <c r="B16" s="27" t="s">
        <v>88</v>
      </c>
      <c r="D16">
        <f>IF(Formulário!$I$41=Dados!B16,4,0)</f>
        <v>0</v>
      </c>
      <c r="O16" s="19" t="s">
        <v>172</v>
      </c>
      <c r="P16" s="19">
        <v>150</v>
      </c>
    </row>
    <row r="17" spans="2:16" x14ac:dyDescent="0.25">
      <c r="O17" s="19" t="s">
        <v>172</v>
      </c>
      <c r="P17" s="19">
        <v>225</v>
      </c>
    </row>
    <row r="18" spans="2:16" x14ac:dyDescent="0.25">
      <c r="C18" s="19">
        <f>Grupo</f>
        <v>0</v>
      </c>
      <c r="I18" t="str" cm="1">
        <f t="array" ref="I18">IF(OR(TipoSE="Nº 1",TipoSE="Nº 5",TipoSE="Nº 8"),Dados!$P$4:$P$8,"---")</f>
        <v>---</v>
      </c>
      <c r="O18" s="19" t="s">
        <v>172</v>
      </c>
      <c r="P18" s="19">
        <v>300</v>
      </c>
    </row>
    <row r="19" spans="2:16" x14ac:dyDescent="0.25">
      <c r="B19" s="19" t="s">
        <v>91</v>
      </c>
      <c r="C19" s="19" t="s">
        <v>95</v>
      </c>
    </row>
    <row r="20" spans="2:16" x14ac:dyDescent="0.25">
      <c r="B20" s="19">
        <v>13800</v>
      </c>
      <c r="C20" s="19" t="str">
        <f>IF(Grupo="A",B20,IF(Grupo="B",B26,""))</f>
        <v/>
      </c>
    </row>
    <row r="21" spans="2:16" x14ac:dyDescent="0.25">
      <c r="B21" s="19">
        <v>22000</v>
      </c>
      <c r="C21" s="19" t="str">
        <f>IF(Grupo="A",B21,IF(Grupo="B",B27,""))</f>
        <v/>
      </c>
    </row>
    <row r="22" spans="2:16" x14ac:dyDescent="0.25">
      <c r="B22" s="19">
        <v>34500</v>
      </c>
      <c r="C22" s="19" t="str">
        <f>IF(Grupo="A",B22,IF(Grupo="B","",""))</f>
        <v/>
      </c>
    </row>
    <row r="23" spans="2:16" x14ac:dyDescent="0.25">
      <c r="C23" s="19"/>
    </row>
    <row r="24" spans="2:16" x14ac:dyDescent="0.25">
      <c r="C24" s="19"/>
    </row>
    <row r="25" spans="2:16" x14ac:dyDescent="0.25">
      <c r="B25" s="19" t="s">
        <v>92</v>
      </c>
      <c r="C25" s="19"/>
    </row>
    <row r="26" spans="2:16" x14ac:dyDescent="0.25">
      <c r="B26" s="19" t="s">
        <v>93</v>
      </c>
      <c r="C26" s="19"/>
    </row>
    <row r="27" spans="2:16" x14ac:dyDescent="0.25">
      <c r="B27" s="19" t="s">
        <v>94</v>
      </c>
    </row>
    <row r="28" spans="2:16" x14ac:dyDescent="0.25">
      <c r="B28" s="19"/>
      <c r="C28" t="str">
        <f>IF(OR(Formulário!$AH$45&gt;=300,Formulário!$AH$47&gt;=300),"1Tipo","2Tipos")</f>
        <v>2Tipos</v>
      </c>
    </row>
    <row r="29" spans="2:16" x14ac:dyDescent="0.25">
      <c r="B29" s="19" t="s">
        <v>74</v>
      </c>
      <c r="C29" t="s">
        <v>97</v>
      </c>
    </row>
    <row r="30" spans="2:16" x14ac:dyDescent="0.25">
      <c r="B30" s="19" t="s">
        <v>77</v>
      </c>
      <c r="C30" t="str">
        <f>IF($C$28="2Tipos",B30,B31)</f>
        <v>Aéreo</v>
      </c>
    </row>
    <row r="31" spans="2:16" x14ac:dyDescent="0.25">
      <c r="B31" s="19" t="s">
        <v>96</v>
      </c>
      <c r="C31" t="str">
        <f>IF($C$28="2Tipos",B31,B32)</f>
        <v>Subterrâneo</v>
      </c>
    </row>
    <row r="34" spans="2:2" x14ac:dyDescent="0.25">
      <c r="B34" s="19" t="s">
        <v>277</v>
      </c>
    </row>
    <row r="35" spans="2:2" x14ac:dyDescent="0.25">
      <c r="B35" s="19" t="s">
        <v>84</v>
      </c>
    </row>
    <row r="36" spans="2:2" x14ac:dyDescent="0.25">
      <c r="B36" s="19" t="s">
        <v>75</v>
      </c>
    </row>
    <row r="37" spans="2:2" x14ac:dyDescent="0.25">
      <c r="B37" s="19" t="s">
        <v>76</v>
      </c>
    </row>
    <row r="38" spans="2:2" x14ac:dyDescent="0.25">
      <c r="B38" s="19" t="s">
        <v>278</v>
      </c>
    </row>
    <row r="40" spans="2:2" x14ac:dyDescent="0.25">
      <c r="B40" s="19"/>
    </row>
    <row r="41" spans="2:2" x14ac:dyDescent="0.25">
      <c r="B41" s="19" t="s">
        <v>277</v>
      </c>
    </row>
    <row r="42" spans="2:2" x14ac:dyDescent="0.25">
      <c r="B42" s="19" t="s">
        <v>84</v>
      </c>
    </row>
    <row r="43" spans="2:2" x14ac:dyDescent="0.25">
      <c r="B43" s="19" t="s">
        <v>75</v>
      </c>
    </row>
    <row r="44" spans="2:2" x14ac:dyDescent="0.25">
      <c r="B44" s="19" t="s">
        <v>76</v>
      </c>
    </row>
    <row r="45" spans="2:2" x14ac:dyDescent="0.25">
      <c r="B45" s="19" t="s">
        <v>287</v>
      </c>
    </row>
  </sheetData>
  <sheetProtection algorithmName="SHA-512" hashValue="cLmONQlopoWWyTHGrD+awFSfGd9HQAUBAOOpNt+04fcHYi831Z0b3r6LLhqHjYtm/jOnoBKxLh11BVPQVgMlRg==" saltValue="36SJmOPcUVyGebQFiptIsw==" spinCount="100000" sheet="1" objects="1" scenarios="1"/>
  <sortState xmlns:xlrd2="http://schemas.microsoft.com/office/spreadsheetml/2017/richdata2" ref="B4:B7">
    <sortCondition ref="B4:B7"/>
  </sortState>
  <phoneticPr fontId="16" type="noConversion"/>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3"/>
  <dimension ref="A1:L148"/>
  <sheetViews>
    <sheetView topLeftCell="A66" workbookViewId="0">
      <selection activeCell="B133" sqref="B133:B148"/>
    </sheetView>
  </sheetViews>
  <sheetFormatPr defaultRowHeight="15" x14ac:dyDescent="0.25"/>
  <cols>
    <col min="1" max="1" width="35.85546875" customWidth="1"/>
    <col min="2" max="2" width="13.140625" bestFit="1" customWidth="1"/>
    <col min="3" max="3" width="33.28515625" bestFit="1" customWidth="1"/>
    <col min="4" max="4" width="15.5703125" bestFit="1" customWidth="1"/>
    <col min="5" max="5" width="17" bestFit="1" customWidth="1"/>
    <col min="6" max="6" width="17.42578125" bestFit="1" customWidth="1"/>
    <col min="8" max="8" width="3" bestFit="1" customWidth="1"/>
    <col min="9" max="9" width="11.5703125" bestFit="1" customWidth="1"/>
  </cols>
  <sheetData>
    <row r="1" spans="1:12" x14ac:dyDescent="0.25">
      <c r="A1" s="10" t="s">
        <v>35</v>
      </c>
      <c r="B1" t="s">
        <v>36</v>
      </c>
      <c r="C1" t="s">
        <v>37</v>
      </c>
      <c r="D1" t="s">
        <v>38</v>
      </c>
      <c r="E1" t="s">
        <v>39</v>
      </c>
      <c r="F1" t="s">
        <v>40</v>
      </c>
    </row>
    <row r="2" spans="1:12" x14ac:dyDescent="0.25">
      <c r="A2" t="s">
        <v>7</v>
      </c>
      <c r="B2">
        <v>22</v>
      </c>
      <c r="C2">
        <v>487307</v>
      </c>
      <c r="D2">
        <v>833012</v>
      </c>
      <c r="E2">
        <v>7733378</v>
      </c>
      <c r="F2">
        <v>7981566</v>
      </c>
      <c r="H2">
        <f>Formulário!V27</f>
        <v>0</v>
      </c>
      <c r="I2">
        <f>Formulário!AC27</f>
        <v>0</v>
      </c>
      <c r="K2">
        <f>Formulário!AL27</f>
        <v>0</v>
      </c>
    </row>
    <row r="3" spans="1:12" x14ac:dyDescent="0.25">
      <c r="A3" t="s">
        <v>8</v>
      </c>
      <c r="B3">
        <v>23</v>
      </c>
      <c r="C3">
        <v>161564</v>
      </c>
      <c r="D3">
        <v>840139</v>
      </c>
      <c r="E3">
        <v>7460145</v>
      </c>
      <c r="F3">
        <v>8435094</v>
      </c>
      <c r="H3">
        <f>H2</f>
        <v>0</v>
      </c>
      <c r="I3" t="str">
        <f>IFERROR(VLOOKUP($H$2,$B$2:$F$4,2,FALSE),"")</f>
        <v/>
      </c>
      <c r="J3" t="str">
        <f>IFERROR(VLOOKUP($H$2,$B$2:$F$4,3,FALSE),"")</f>
        <v/>
      </c>
      <c r="K3" t="str">
        <f>IFERROR(VLOOKUP($H$2,$B$2:$F$4,4,FALSE),"")</f>
        <v/>
      </c>
      <c r="L3" t="str">
        <f>IFERROR(VLOOKUP($H$2,$B$2:$F$4,5,FALSE),"")</f>
        <v/>
      </c>
    </row>
    <row r="4" spans="1:12" x14ac:dyDescent="0.25">
      <c r="A4" t="s">
        <v>9</v>
      </c>
      <c r="B4">
        <v>24</v>
      </c>
      <c r="C4">
        <v>164869</v>
      </c>
      <c r="D4">
        <v>417150</v>
      </c>
      <c r="E4">
        <v>7673180</v>
      </c>
      <c r="F4">
        <v>8336360</v>
      </c>
      <c r="I4" t="str">
        <f>IFERROR(IF(AND(I2&gt;=I3,I2&lt;=J3),"Ok","Erro"),"")</f>
        <v>Erro</v>
      </c>
      <c r="K4" t="str">
        <f>IF(AND(K2&gt;=K3,K2&lt;=L3),"Ok","Erro")</f>
        <v>Erro</v>
      </c>
    </row>
    <row r="5" spans="1:12" x14ac:dyDescent="0.25">
      <c r="A5" t="s">
        <v>10</v>
      </c>
    </row>
    <row r="9" spans="1:12" ht="18.75" x14ac:dyDescent="0.3">
      <c r="A9" s="26" t="s">
        <v>292</v>
      </c>
    </row>
    <row r="10" spans="1:12" ht="15.75" x14ac:dyDescent="0.25">
      <c r="A10" s="196" t="s">
        <v>80</v>
      </c>
      <c r="B10" s="196"/>
      <c r="C10" s="197" t="s">
        <v>81</v>
      </c>
    </row>
    <row r="11" spans="1:12" ht="15.75" x14ac:dyDescent="0.25">
      <c r="A11" s="23" t="s">
        <v>82</v>
      </c>
      <c r="B11" s="23" t="s">
        <v>83</v>
      </c>
      <c r="C11" s="197"/>
    </row>
    <row r="12" spans="1:12" ht="15.75" x14ac:dyDescent="0.25">
      <c r="A12" s="24" t="s">
        <v>84</v>
      </c>
      <c r="B12" s="24">
        <v>40</v>
      </c>
      <c r="C12" s="30">
        <v>5</v>
      </c>
      <c r="D12" t="s">
        <v>101</v>
      </c>
      <c r="E12" s="30">
        <v>5</v>
      </c>
    </row>
    <row r="13" spans="1:12" ht="15.75" x14ac:dyDescent="0.25">
      <c r="A13" s="24" t="s">
        <v>84</v>
      </c>
      <c r="B13" s="24">
        <v>50</v>
      </c>
      <c r="C13" s="24">
        <v>6.5</v>
      </c>
      <c r="D13" t="s">
        <v>102</v>
      </c>
      <c r="E13" s="24">
        <v>6.5</v>
      </c>
    </row>
    <row r="14" spans="1:12" ht="15.75" x14ac:dyDescent="0.25">
      <c r="A14" s="24" t="s">
        <v>84</v>
      </c>
      <c r="B14" s="24">
        <v>63</v>
      </c>
      <c r="C14" s="24">
        <v>8</v>
      </c>
      <c r="D14" t="s">
        <v>103</v>
      </c>
      <c r="E14" s="24">
        <v>8</v>
      </c>
    </row>
    <row r="15" spans="1:12" ht="15.75" x14ac:dyDescent="0.25">
      <c r="A15" s="24" t="s">
        <v>84</v>
      </c>
      <c r="B15" s="24">
        <v>70</v>
      </c>
      <c r="C15" s="24">
        <v>10</v>
      </c>
      <c r="D15" t="s">
        <v>104</v>
      </c>
      <c r="E15" s="24">
        <v>10</v>
      </c>
    </row>
    <row r="16" spans="1:12" ht="15.75" x14ac:dyDescent="0.25">
      <c r="A16" s="24" t="s">
        <v>75</v>
      </c>
      <c r="B16" s="24">
        <v>40</v>
      </c>
      <c r="C16" s="24">
        <v>10</v>
      </c>
      <c r="D16" t="s">
        <v>105</v>
      </c>
      <c r="E16" s="24">
        <v>10</v>
      </c>
    </row>
    <row r="17" spans="1:5" ht="15.75" x14ac:dyDescent="0.25">
      <c r="A17" s="24" t="s">
        <v>75</v>
      </c>
      <c r="B17" s="24">
        <v>50</v>
      </c>
      <c r="C17" s="24">
        <v>12</v>
      </c>
      <c r="D17" t="s">
        <v>106</v>
      </c>
      <c r="E17" s="24">
        <v>12</v>
      </c>
    </row>
    <row r="18" spans="1:5" ht="15.75" x14ac:dyDescent="0.25">
      <c r="A18" s="24" t="s">
        <v>75</v>
      </c>
      <c r="B18" s="24">
        <v>60</v>
      </c>
      <c r="C18" s="24">
        <v>15</v>
      </c>
      <c r="D18" t="s">
        <v>107</v>
      </c>
      <c r="E18" s="24">
        <v>15</v>
      </c>
    </row>
    <row r="19" spans="1:5" ht="15.75" x14ac:dyDescent="0.25">
      <c r="A19" s="24" t="s">
        <v>75</v>
      </c>
      <c r="B19" s="24">
        <v>63</v>
      </c>
      <c r="C19" s="24">
        <v>15.1</v>
      </c>
      <c r="D19" t="s">
        <v>108</v>
      </c>
      <c r="E19" s="24">
        <v>15.1</v>
      </c>
    </row>
    <row r="20" spans="1:5" ht="15.75" x14ac:dyDescent="0.25">
      <c r="A20" s="24" t="s">
        <v>75</v>
      </c>
      <c r="B20" s="24">
        <v>70</v>
      </c>
      <c r="C20" s="24">
        <v>16.8</v>
      </c>
      <c r="D20" t="s">
        <v>109</v>
      </c>
      <c r="E20" s="24">
        <v>16.8</v>
      </c>
    </row>
    <row r="21" spans="1:5" ht="15.75" x14ac:dyDescent="0.25">
      <c r="A21" s="24" t="s">
        <v>75</v>
      </c>
      <c r="B21" s="24">
        <v>80</v>
      </c>
      <c r="C21" s="24">
        <v>20</v>
      </c>
      <c r="D21" t="s">
        <v>110</v>
      </c>
      <c r="E21" s="24">
        <v>20</v>
      </c>
    </row>
    <row r="22" spans="1:5" ht="15.75" x14ac:dyDescent="0.25">
      <c r="A22" s="24" t="s">
        <v>75</v>
      </c>
      <c r="B22" s="25">
        <v>90</v>
      </c>
      <c r="C22" s="24">
        <v>20</v>
      </c>
      <c r="D22" t="s">
        <v>111</v>
      </c>
      <c r="E22" s="24">
        <v>20</v>
      </c>
    </row>
    <row r="23" spans="1:5" ht="15.75" x14ac:dyDescent="0.25">
      <c r="A23" s="24" t="s">
        <v>75</v>
      </c>
      <c r="B23" s="25">
        <v>100</v>
      </c>
      <c r="C23" s="24">
        <v>24</v>
      </c>
      <c r="D23" t="s">
        <v>112</v>
      </c>
      <c r="E23" s="24">
        <v>24</v>
      </c>
    </row>
    <row r="24" spans="1:5" ht="15.75" x14ac:dyDescent="0.25">
      <c r="A24" s="24" t="s">
        <v>75</v>
      </c>
      <c r="B24" s="25">
        <v>120</v>
      </c>
      <c r="C24" s="24">
        <v>30</v>
      </c>
      <c r="D24" t="s">
        <v>113</v>
      </c>
      <c r="E24" s="24">
        <v>30</v>
      </c>
    </row>
    <row r="25" spans="1:5" ht="15.75" x14ac:dyDescent="0.25">
      <c r="A25" s="24" t="s">
        <v>75</v>
      </c>
      <c r="B25" s="25">
        <v>125</v>
      </c>
      <c r="C25" s="24">
        <v>30</v>
      </c>
      <c r="D25" t="s">
        <v>114</v>
      </c>
      <c r="E25" s="24">
        <v>30</v>
      </c>
    </row>
    <row r="26" spans="1:5" ht="15.75" x14ac:dyDescent="0.25">
      <c r="A26" s="24" t="s">
        <v>75</v>
      </c>
      <c r="B26" s="25">
        <v>150</v>
      </c>
      <c r="C26" s="24">
        <v>36</v>
      </c>
      <c r="D26" t="s">
        <v>115</v>
      </c>
      <c r="E26" s="24">
        <v>36</v>
      </c>
    </row>
    <row r="27" spans="1:5" ht="15.75" x14ac:dyDescent="0.25">
      <c r="A27" s="24" t="s">
        <v>75</v>
      </c>
      <c r="B27" s="24">
        <v>200</v>
      </c>
      <c r="C27" s="24">
        <v>50</v>
      </c>
      <c r="D27" t="s">
        <v>116</v>
      </c>
      <c r="E27" s="24">
        <v>50</v>
      </c>
    </row>
    <row r="28" spans="1:5" ht="15.75" x14ac:dyDescent="0.25">
      <c r="A28" s="24" t="s">
        <v>76</v>
      </c>
      <c r="B28" s="24">
        <v>40</v>
      </c>
      <c r="C28" s="24">
        <v>15</v>
      </c>
      <c r="D28" t="s">
        <v>117</v>
      </c>
      <c r="E28" s="24">
        <v>15</v>
      </c>
    </row>
    <row r="29" spans="1:5" ht="15.75" x14ac:dyDescent="0.25">
      <c r="A29" s="24" t="s">
        <v>76</v>
      </c>
      <c r="B29" s="24">
        <v>60</v>
      </c>
      <c r="C29" s="24">
        <v>23</v>
      </c>
      <c r="D29" t="s">
        <v>118</v>
      </c>
      <c r="E29" s="24">
        <v>23</v>
      </c>
    </row>
    <row r="30" spans="1:5" ht="15.75" x14ac:dyDescent="0.25">
      <c r="A30" s="24" t="s">
        <v>76</v>
      </c>
      <c r="B30" s="24">
        <v>63</v>
      </c>
      <c r="C30" s="24">
        <v>24</v>
      </c>
      <c r="D30" t="s">
        <v>119</v>
      </c>
      <c r="E30" s="24">
        <v>24</v>
      </c>
    </row>
    <row r="31" spans="1:5" ht="15.75" x14ac:dyDescent="0.25">
      <c r="A31" s="24" t="s">
        <v>76</v>
      </c>
      <c r="B31" s="24">
        <v>70</v>
      </c>
      <c r="C31" s="24">
        <v>27</v>
      </c>
      <c r="D31" t="s">
        <v>120</v>
      </c>
      <c r="E31" s="24">
        <v>27</v>
      </c>
    </row>
    <row r="32" spans="1:5" ht="15.75" x14ac:dyDescent="0.25">
      <c r="A32" s="24" t="s">
        <v>76</v>
      </c>
      <c r="B32" s="24">
        <v>80</v>
      </c>
      <c r="C32" s="24">
        <v>30.5</v>
      </c>
      <c r="D32" t="s">
        <v>121</v>
      </c>
      <c r="E32" s="24">
        <v>30.5</v>
      </c>
    </row>
    <row r="33" spans="1:5" ht="15.75" x14ac:dyDescent="0.25">
      <c r="A33" s="24" t="s">
        <v>76</v>
      </c>
      <c r="B33" s="24">
        <v>100</v>
      </c>
      <c r="C33" s="24">
        <v>38.1</v>
      </c>
      <c r="D33" t="s">
        <v>122</v>
      </c>
      <c r="E33" s="24">
        <v>38.1</v>
      </c>
    </row>
    <row r="34" spans="1:5" ht="15.75" x14ac:dyDescent="0.25">
      <c r="A34" s="24" t="s">
        <v>76</v>
      </c>
      <c r="B34" s="24">
        <v>120</v>
      </c>
      <c r="C34" s="24">
        <v>47</v>
      </c>
      <c r="D34" t="s">
        <v>123</v>
      </c>
      <c r="E34" s="24">
        <v>47</v>
      </c>
    </row>
    <row r="35" spans="1:5" ht="15.75" x14ac:dyDescent="0.25">
      <c r="A35" s="24" t="s">
        <v>76</v>
      </c>
      <c r="B35" s="24">
        <v>125</v>
      </c>
      <c r="C35" s="24">
        <v>47.6</v>
      </c>
      <c r="D35" t="s">
        <v>124</v>
      </c>
      <c r="E35" s="24">
        <v>47.6</v>
      </c>
    </row>
    <row r="36" spans="1:5" ht="15.75" x14ac:dyDescent="0.25">
      <c r="A36" s="24" t="s">
        <v>76</v>
      </c>
      <c r="B36" s="24">
        <v>150</v>
      </c>
      <c r="C36" s="24">
        <v>57.1</v>
      </c>
      <c r="D36" t="s">
        <v>125</v>
      </c>
      <c r="E36" s="24">
        <v>57.1</v>
      </c>
    </row>
    <row r="37" spans="1:5" ht="15.75" x14ac:dyDescent="0.25">
      <c r="A37" s="24" t="s">
        <v>76</v>
      </c>
      <c r="B37" s="24">
        <v>175</v>
      </c>
      <c r="C37" s="24">
        <v>66</v>
      </c>
      <c r="D37" t="s">
        <v>126</v>
      </c>
      <c r="E37" s="24">
        <v>66</v>
      </c>
    </row>
    <row r="38" spans="1:5" ht="15.75" x14ac:dyDescent="0.25">
      <c r="A38" s="24" t="s">
        <v>76</v>
      </c>
      <c r="B38" s="24">
        <v>200</v>
      </c>
      <c r="C38" s="24">
        <v>75</v>
      </c>
      <c r="D38" t="s">
        <v>127</v>
      </c>
      <c r="E38" s="24">
        <v>75</v>
      </c>
    </row>
    <row r="39" spans="1:5" ht="15.75" x14ac:dyDescent="0.25">
      <c r="A39" s="24" t="s">
        <v>76</v>
      </c>
      <c r="B39" s="24">
        <v>225</v>
      </c>
      <c r="C39" s="24">
        <v>86</v>
      </c>
      <c r="D39" t="s">
        <v>128</v>
      </c>
      <c r="E39" s="24">
        <v>86</v>
      </c>
    </row>
    <row r="40" spans="1:5" ht="15.75" x14ac:dyDescent="0.25">
      <c r="A40" s="24" t="s">
        <v>76</v>
      </c>
      <c r="B40" s="24">
        <v>250</v>
      </c>
      <c r="C40" s="24">
        <v>95</v>
      </c>
      <c r="D40" t="s">
        <v>129</v>
      </c>
      <c r="E40" s="24">
        <v>95</v>
      </c>
    </row>
    <row r="41" spans="1:5" ht="15.75" x14ac:dyDescent="0.25">
      <c r="A41" s="24" t="s">
        <v>76</v>
      </c>
      <c r="B41" s="24">
        <v>300</v>
      </c>
      <c r="C41" s="24">
        <v>114</v>
      </c>
      <c r="D41" t="s">
        <v>130</v>
      </c>
      <c r="E41" s="24">
        <v>114</v>
      </c>
    </row>
    <row r="42" spans="1:5" ht="15.75" x14ac:dyDescent="0.25">
      <c r="A42" s="24" t="s">
        <v>76</v>
      </c>
      <c r="B42" s="24">
        <v>315</v>
      </c>
      <c r="C42" s="24">
        <v>114</v>
      </c>
      <c r="D42" t="s">
        <v>131</v>
      </c>
      <c r="E42" s="24">
        <v>114</v>
      </c>
    </row>
    <row r="43" spans="1:5" ht="15.75" x14ac:dyDescent="0.25">
      <c r="A43" s="24" t="s">
        <v>76</v>
      </c>
      <c r="B43" s="24">
        <v>320</v>
      </c>
      <c r="C43" s="24">
        <v>114</v>
      </c>
      <c r="D43" t="s">
        <v>132</v>
      </c>
      <c r="E43" s="24">
        <v>114</v>
      </c>
    </row>
    <row r="44" spans="1:5" ht="15.75" x14ac:dyDescent="0.25">
      <c r="A44" s="24" t="s">
        <v>76</v>
      </c>
      <c r="B44" s="24">
        <v>400</v>
      </c>
      <c r="C44" s="24">
        <v>152</v>
      </c>
      <c r="D44" t="s">
        <v>133</v>
      </c>
      <c r="E44" s="24">
        <v>152</v>
      </c>
    </row>
    <row r="45" spans="1:5" ht="15.75" x14ac:dyDescent="0.25">
      <c r="A45" s="24" t="s">
        <v>76</v>
      </c>
      <c r="B45" s="24">
        <v>450</v>
      </c>
      <c r="C45" s="24">
        <v>171</v>
      </c>
      <c r="D45" t="s">
        <v>134</v>
      </c>
      <c r="E45" s="24">
        <v>171</v>
      </c>
    </row>
    <row r="46" spans="1:5" ht="15.75" x14ac:dyDescent="0.25">
      <c r="A46" s="24" t="s">
        <v>76</v>
      </c>
      <c r="B46" s="24">
        <v>500</v>
      </c>
      <c r="C46" s="24">
        <v>188</v>
      </c>
      <c r="D46" t="s">
        <v>135</v>
      </c>
      <c r="E46" s="24">
        <v>188</v>
      </c>
    </row>
    <row r="47" spans="1:5" ht="15.75" x14ac:dyDescent="0.25">
      <c r="A47" s="24" t="s">
        <v>76</v>
      </c>
      <c r="B47" s="24">
        <v>600</v>
      </c>
      <c r="C47" s="24">
        <v>228</v>
      </c>
      <c r="D47" t="s">
        <v>136</v>
      </c>
      <c r="E47" s="24">
        <v>228</v>
      </c>
    </row>
    <row r="48" spans="1:5" ht="15.75" x14ac:dyDescent="0.25">
      <c r="A48" s="24" t="s">
        <v>76</v>
      </c>
      <c r="B48" s="24">
        <v>630</v>
      </c>
      <c r="C48" s="24">
        <v>228</v>
      </c>
      <c r="D48" t="s">
        <v>137</v>
      </c>
      <c r="E48" s="24">
        <v>228</v>
      </c>
    </row>
    <row r="49" spans="1:5" ht="15.75" x14ac:dyDescent="0.25">
      <c r="A49" s="24" t="s">
        <v>76</v>
      </c>
      <c r="B49" s="24">
        <v>700</v>
      </c>
      <c r="C49" s="24">
        <v>266</v>
      </c>
      <c r="D49" t="s">
        <v>138</v>
      </c>
      <c r="E49" s="24">
        <v>266</v>
      </c>
    </row>
    <row r="50" spans="1:5" ht="15.75" x14ac:dyDescent="0.25">
      <c r="A50" s="24" t="s">
        <v>76</v>
      </c>
      <c r="B50" s="24">
        <v>800</v>
      </c>
      <c r="C50" s="24">
        <v>304</v>
      </c>
      <c r="D50" t="s">
        <v>139</v>
      </c>
      <c r="E50" s="24">
        <v>304</v>
      </c>
    </row>
    <row r="53" spans="1:5" ht="18.75" x14ac:dyDescent="0.3">
      <c r="A53" s="26" t="s">
        <v>293</v>
      </c>
    </row>
    <row r="54" spans="1:5" ht="15.75" x14ac:dyDescent="0.25">
      <c r="A54" s="196" t="s">
        <v>80</v>
      </c>
      <c r="B54" s="196"/>
      <c r="C54" s="197" t="s">
        <v>81</v>
      </c>
    </row>
    <row r="55" spans="1:5" ht="15.75" x14ac:dyDescent="0.25">
      <c r="A55" s="23" t="s">
        <v>82</v>
      </c>
      <c r="B55" s="23" t="s">
        <v>83</v>
      </c>
      <c r="C55" s="197"/>
    </row>
    <row r="56" spans="1:5" ht="15.75" x14ac:dyDescent="0.25">
      <c r="A56" s="24" t="s">
        <v>84</v>
      </c>
      <c r="B56" s="24">
        <v>40</v>
      </c>
      <c r="C56" s="30">
        <v>5</v>
      </c>
      <c r="D56" t="s">
        <v>101</v>
      </c>
      <c r="E56" s="30">
        <v>5</v>
      </c>
    </row>
    <row r="57" spans="1:5" ht="15.75" x14ac:dyDescent="0.25">
      <c r="A57" s="24" t="s">
        <v>84</v>
      </c>
      <c r="B57" s="24">
        <v>50</v>
      </c>
      <c r="C57" s="24">
        <v>6.5</v>
      </c>
      <c r="D57" t="s">
        <v>102</v>
      </c>
      <c r="E57" s="24">
        <v>6.5</v>
      </c>
    </row>
    <row r="58" spans="1:5" ht="15.75" x14ac:dyDescent="0.25">
      <c r="A58" s="24" t="s">
        <v>84</v>
      </c>
      <c r="B58" s="24">
        <v>63</v>
      </c>
      <c r="C58" s="24">
        <v>8</v>
      </c>
      <c r="D58" t="s">
        <v>103</v>
      </c>
      <c r="E58" s="24">
        <v>8</v>
      </c>
    </row>
    <row r="59" spans="1:5" ht="15.75" x14ac:dyDescent="0.25">
      <c r="A59" s="24" t="s">
        <v>75</v>
      </c>
      <c r="B59" s="24">
        <v>40</v>
      </c>
      <c r="C59" s="24">
        <v>10</v>
      </c>
      <c r="D59" t="s">
        <v>105</v>
      </c>
      <c r="E59" s="24">
        <v>10</v>
      </c>
    </row>
    <row r="60" spans="1:5" ht="15.75" x14ac:dyDescent="0.25">
      <c r="A60" s="24" t="s">
        <v>75</v>
      </c>
      <c r="B60" s="24">
        <v>63</v>
      </c>
      <c r="C60" s="24">
        <v>15.1</v>
      </c>
      <c r="D60" t="s">
        <v>108</v>
      </c>
      <c r="E60" s="24">
        <v>15.1</v>
      </c>
    </row>
    <row r="61" spans="1:5" ht="15.75" x14ac:dyDescent="0.25">
      <c r="A61" s="24" t="s">
        <v>75</v>
      </c>
      <c r="B61" s="24">
        <v>80</v>
      </c>
      <c r="C61" s="24">
        <v>20</v>
      </c>
      <c r="D61" t="s">
        <v>110</v>
      </c>
      <c r="E61" s="24">
        <v>20</v>
      </c>
    </row>
    <row r="62" spans="1:5" ht="15.75" x14ac:dyDescent="0.25">
      <c r="A62" s="24" t="s">
        <v>75</v>
      </c>
      <c r="B62" s="25">
        <v>100</v>
      </c>
      <c r="C62" s="24">
        <v>24</v>
      </c>
      <c r="D62" t="s">
        <v>112</v>
      </c>
      <c r="E62" s="24">
        <v>24</v>
      </c>
    </row>
    <row r="63" spans="1:5" ht="15.75" x14ac:dyDescent="0.25">
      <c r="A63" s="24" t="s">
        <v>75</v>
      </c>
      <c r="B63" s="25">
        <v>125</v>
      </c>
      <c r="C63" s="24">
        <v>30</v>
      </c>
      <c r="D63" t="s">
        <v>114</v>
      </c>
      <c r="E63" s="24">
        <v>30</v>
      </c>
    </row>
    <row r="64" spans="1:5" ht="15.75" x14ac:dyDescent="0.25">
      <c r="A64" s="24" t="s">
        <v>75</v>
      </c>
      <c r="B64" s="25">
        <v>150</v>
      </c>
      <c r="C64" s="24">
        <v>36</v>
      </c>
      <c r="D64" t="s">
        <v>115</v>
      </c>
      <c r="E64" s="24">
        <v>36</v>
      </c>
    </row>
    <row r="65" spans="1:5" ht="15.75" x14ac:dyDescent="0.25">
      <c r="A65" s="24" t="s">
        <v>75</v>
      </c>
      <c r="B65" s="24">
        <v>200</v>
      </c>
      <c r="C65" s="24">
        <v>50</v>
      </c>
      <c r="D65" t="s">
        <v>116</v>
      </c>
      <c r="E65" s="24">
        <v>50</v>
      </c>
    </row>
    <row r="66" spans="1:5" ht="15.75" x14ac:dyDescent="0.25">
      <c r="A66" s="24" t="s">
        <v>76</v>
      </c>
      <c r="B66" s="24">
        <v>40</v>
      </c>
      <c r="C66" s="24">
        <v>15</v>
      </c>
      <c r="D66" t="s">
        <v>117</v>
      </c>
      <c r="E66" s="24">
        <v>15</v>
      </c>
    </row>
    <row r="67" spans="1:5" ht="15.75" x14ac:dyDescent="0.25">
      <c r="A67" s="24" t="s">
        <v>76</v>
      </c>
      <c r="B67" s="24">
        <v>63</v>
      </c>
      <c r="C67" s="24">
        <v>24</v>
      </c>
      <c r="D67" t="s">
        <v>119</v>
      </c>
      <c r="E67" s="24">
        <v>24</v>
      </c>
    </row>
    <row r="68" spans="1:5" ht="15.75" x14ac:dyDescent="0.25">
      <c r="A68" s="24" t="s">
        <v>76</v>
      </c>
      <c r="B68" s="24">
        <v>80</v>
      </c>
      <c r="C68" s="24">
        <v>30.5</v>
      </c>
      <c r="D68" t="s">
        <v>121</v>
      </c>
      <c r="E68" s="24">
        <v>30.5</v>
      </c>
    </row>
    <row r="69" spans="1:5" ht="15.75" x14ac:dyDescent="0.25">
      <c r="A69" s="24" t="s">
        <v>76</v>
      </c>
      <c r="B69" s="24">
        <v>100</v>
      </c>
      <c r="C69" s="24">
        <v>38.1</v>
      </c>
      <c r="D69" t="s">
        <v>122</v>
      </c>
      <c r="E69" s="24">
        <v>38.1</v>
      </c>
    </row>
    <row r="70" spans="1:5" ht="15.75" x14ac:dyDescent="0.25">
      <c r="A70" s="24" t="s">
        <v>76</v>
      </c>
      <c r="B70" s="24">
        <v>125</v>
      </c>
      <c r="C70" s="24">
        <v>47.6</v>
      </c>
      <c r="D70" t="s">
        <v>124</v>
      </c>
      <c r="E70" s="24">
        <v>47.6</v>
      </c>
    </row>
    <row r="71" spans="1:5" ht="15.75" x14ac:dyDescent="0.25">
      <c r="A71" s="24" t="s">
        <v>76</v>
      </c>
      <c r="B71" s="24">
        <v>150</v>
      </c>
      <c r="C71" s="24">
        <v>57.1</v>
      </c>
      <c r="D71" t="s">
        <v>125</v>
      </c>
      <c r="E71" s="24">
        <v>57.1</v>
      </c>
    </row>
    <row r="72" spans="1:5" ht="15.75" x14ac:dyDescent="0.25">
      <c r="A72" s="24" t="s">
        <v>76</v>
      </c>
      <c r="B72" s="24">
        <v>175</v>
      </c>
      <c r="C72" s="24">
        <v>66</v>
      </c>
      <c r="D72" t="s">
        <v>126</v>
      </c>
      <c r="E72" s="24">
        <v>66</v>
      </c>
    </row>
    <row r="73" spans="1:5" ht="15.75" x14ac:dyDescent="0.25">
      <c r="A73" s="24" t="s">
        <v>76</v>
      </c>
      <c r="B73" s="24">
        <v>200</v>
      </c>
      <c r="C73" s="24">
        <v>75</v>
      </c>
      <c r="D73" t="s">
        <v>127</v>
      </c>
      <c r="E73" s="24">
        <v>75</v>
      </c>
    </row>
    <row r="74" spans="1:5" ht="15.75" x14ac:dyDescent="0.25">
      <c r="A74" s="24" t="s">
        <v>76</v>
      </c>
      <c r="B74" s="24">
        <v>225</v>
      </c>
      <c r="C74" s="24">
        <v>86</v>
      </c>
      <c r="D74" t="s">
        <v>128</v>
      </c>
      <c r="E74" s="24">
        <v>86</v>
      </c>
    </row>
    <row r="75" spans="1:5" ht="15.75" x14ac:dyDescent="0.25">
      <c r="A75" s="24" t="s">
        <v>76</v>
      </c>
      <c r="B75" s="24">
        <v>250</v>
      </c>
      <c r="C75" s="24">
        <v>95</v>
      </c>
      <c r="D75" t="s">
        <v>129</v>
      </c>
      <c r="E75" s="24">
        <v>95</v>
      </c>
    </row>
    <row r="76" spans="1:5" ht="15.75" x14ac:dyDescent="0.25">
      <c r="A76" s="24" t="s">
        <v>76</v>
      </c>
      <c r="B76" s="24">
        <v>300</v>
      </c>
      <c r="C76" s="24">
        <v>114</v>
      </c>
      <c r="D76" t="s">
        <v>130</v>
      </c>
      <c r="E76" s="24">
        <v>114</v>
      </c>
    </row>
    <row r="77" spans="1:5" ht="15.75" x14ac:dyDescent="0.25">
      <c r="A77" s="24" t="s">
        <v>76</v>
      </c>
      <c r="B77" s="24">
        <v>315</v>
      </c>
      <c r="C77" s="24">
        <v>114</v>
      </c>
      <c r="D77" t="s">
        <v>131</v>
      </c>
      <c r="E77" s="24">
        <v>114</v>
      </c>
    </row>
    <row r="78" spans="1:5" ht="15.75" x14ac:dyDescent="0.25">
      <c r="A78" s="24" t="s">
        <v>76</v>
      </c>
      <c r="B78" s="24">
        <v>320</v>
      </c>
      <c r="C78" s="24">
        <v>114</v>
      </c>
      <c r="D78" t="s">
        <v>132</v>
      </c>
      <c r="E78" s="24">
        <v>114</v>
      </c>
    </row>
    <row r="79" spans="1:5" ht="15.75" x14ac:dyDescent="0.25">
      <c r="A79" s="24" t="s">
        <v>76</v>
      </c>
      <c r="B79" s="24">
        <v>400</v>
      </c>
      <c r="C79" s="24">
        <v>152</v>
      </c>
      <c r="D79" t="s">
        <v>133</v>
      </c>
      <c r="E79" s="24">
        <v>152</v>
      </c>
    </row>
    <row r="80" spans="1:5" ht="15.75" x14ac:dyDescent="0.25">
      <c r="A80" s="24" t="s">
        <v>76</v>
      </c>
      <c r="B80" s="24">
        <v>450</v>
      </c>
      <c r="C80" s="24">
        <v>171</v>
      </c>
      <c r="D80" t="s">
        <v>134</v>
      </c>
      <c r="E80" s="24">
        <v>171</v>
      </c>
    </row>
    <row r="81" spans="1:5" ht="15.75" x14ac:dyDescent="0.25">
      <c r="A81" s="24" t="s">
        <v>76</v>
      </c>
      <c r="B81" s="24">
        <v>500</v>
      </c>
      <c r="C81" s="24">
        <v>188</v>
      </c>
      <c r="D81" t="s">
        <v>135</v>
      </c>
      <c r="E81" s="24">
        <v>188</v>
      </c>
    </row>
    <row r="82" spans="1:5" ht="15.75" x14ac:dyDescent="0.25">
      <c r="A82" s="24" t="s">
        <v>76</v>
      </c>
      <c r="B82" s="24">
        <v>600</v>
      </c>
      <c r="C82" s="24">
        <v>228</v>
      </c>
      <c r="D82" t="s">
        <v>136</v>
      </c>
      <c r="E82" s="24">
        <v>228</v>
      </c>
    </row>
    <row r="83" spans="1:5" ht="15.75" x14ac:dyDescent="0.25">
      <c r="A83" s="24" t="s">
        <v>76</v>
      </c>
      <c r="B83" s="24">
        <v>630</v>
      </c>
      <c r="C83" s="24">
        <v>228</v>
      </c>
      <c r="D83" t="s">
        <v>137</v>
      </c>
      <c r="E83" s="24">
        <v>228</v>
      </c>
    </row>
    <row r="84" spans="1:5" ht="15.75" x14ac:dyDescent="0.25">
      <c r="A84" s="24" t="s">
        <v>76</v>
      </c>
      <c r="B84" s="24">
        <v>700</v>
      </c>
      <c r="C84" s="24">
        <v>266</v>
      </c>
      <c r="D84" t="s">
        <v>138</v>
      </c>
      <c r="E84" s="24">
        <v>266</v>
      </c>
    </row>
    <row r="85" spans="1:5" ht="15.75" x14ac:dyDescent="0.25">
      <c r="A85" s="24" t="s">
        <v>76</v>
      </c>
      <c r="B85" s="24">
        <v>800</v>
      </c>
      <c r="C85" s="24">
        <v>304</v>
      </c>
      <c r="D85" t="s">
        <v>139</v>
      </c>
      <c r="E85" s="24">
        <v>304</v>
      </c>
    </row>
    <row r="89" spans="1:5" ht="18.75" x14ac:dyDescent="0.3">
      <c r="A89" s="198" t="s">
        <v>263</v>
      </c>
      <c r="B89" s="198"/>
    </row>
    <row r="90" spans="1:5" ht="15.75" x14ac:dyDescent="0.25">
      <c r="A90" s="196" t="s">
        <v>80</v>
      </c>
      <c r="B90" s="196"/>
    </row>
    <row r="91" spans="1:5" ht="15.75" x14ac:dyDescent="0.25">
      <c r="A91" s="23" t="s">
        <v>82</v>
      </c>
      <c r="B91" s="23" t="s">
        <v>83</v>
      </c>
    </row>
    <row r="92" spans="1:5" ht="15.75" x14ac:dyDescent="0.25">
      <c r="A92" s="57" t="s">
        <v>75</v>
      </c>
      <c r="B92" s="57">
        <v>60</v>
      </c>
    </row>
    <row r="93" spans="1:5" ht="15.75" x14ac:dyDescent="0.25">
      <c r="A93" s="57" t="s">
        <v>75</v>
      </c>
      <c r="B93" s="57">
        <v>63</v>
      </c>
    </row>
    <row r="94" spans="1:5" ht="15.75" x14ac:dyDescent="0.25">
      <c r="A94" s="57" t="s">
        <v>75</v>
      </c>
      <c r="B94" s="57">
        <v>90</v>
      </c>
    </row>
    <row r="95" spans="1:5" ht="15.75" x14ac:dyDescent="0.25">
      <c r="A95" s="57" t="s">
        <v>75</v>
      </c>
      <c r="B95" s="57">
        <v>100</v>
      </c>
    </row>
    <row r="96" spans="1:5" ht="15.75" x14ac:dyDescent="0.25">
      <c r="A96" s="57" t="s">
        <v>75</v>
      </c>
      <c r="B96" s="58">
        <v>120</v>
      </c>
    </row>
    <row r="97" spans="1:2" ht="15.75" x14ac:dyDescent="0.25">
      <c r="A97" s="57" t="s">
        <v>75</v>
      </c>
      <c r="B97" s="58">
        <v>125</v>
      </c>
    </row>
    <row r="98" spans="1:2" ht="15.75" x14ac:dyDescent="0.25">
      <c r="A98" s="57" t="s">
        <v>75</v>
      </c>
      <c r="B98" s="58">
        <v>150</v>
      </c>
    </row>
    <row r="99" spans="1:2" ht="15.75" x14ac:dyDescent="0.25">
      <c r="A99" s="57" t="s">
        <v>75</v>
      </c>
      <c r="B99" s="58">
        <v>200</v>
      </c>
    </row>
    <row r="100" spans="1:2" ht="15.75" x14ac:dyDescent="0.25">
      <c r="A100" s="24" t="s">
        <v>76</v>
      </c>
      <c r="B100" s="24">
        <v>60</v>
      </c>
    </row>
    <row r="101" spans="1:2" ht="15.75" x14ac:dyDescent="0.25">
      <c r="A101" s="24" t="s">
        <v>76</v>
      </c>
      <c r="B101" s="24">
        <v>63</v>
      </c>
    </row>
    <row r="102" spans="1:2" ht="15.75" x14ac:dyDescent="0.25">
      <c r="A102" s="24" t="s">
        <v>76</v>
      </c>
      <c r="B102" s="24">
        <v>70</v>
      </c>
    </row>
    <row r="103" spans="1:2" ht="15.75" x14ac:dyDescent="0.25">
      <c r="A103" s="24" t="s">
        <v>76</v>
      </c>
      <c r="B103" s="24">
        <v>80</v>
      </c>
    </row>
    <row r="104" spans="1:2" ht="15.75" x14ac:dyDescent="0.25">
      <c r="A104" s="24" t="s">
        <v>76</v>
      </c>
      <c r="B104" s="24">
        <v>100</v>
      </c>
    </row>
    <row r="105" spans="1:2" ht="15.75" x14ac:dyDescent="0.25">
      <c r="A105" s="24" t="s">
        <v>76</v>
      </c>
      <c r="B105" s="24">
        <v>120</v>
      </c>
    </row>
    <row r="106" spans="1:2" ht="15.75" x14ac:dyDescent="0.25">
      <c r="A106" s="24" t="s">
        <v>76</v>
      </c>
      <c r="B106" s="24">
        <v>125</v>
      </c>
    </row>
    <row r="107" spans="1:2" ht="15.75" x14ac:dyDescent="0.25">
      <c r="A107" s="24" t="s">
        <v>76</v>
      </c>
      <c r="B107" s="24">
        <v>150</v>
      </c>
    </row>
    <row r="108" spans="1:2" ht="15.75" x14ac:dyDescent="0.25">
      <c r="A108" s="24" t="s">
        <v>76</v>
      </c>
      <c r="B108" s="24">
        <v>175</v>
      </c>
    </row>
    <row r="109" spans="1:2" ht="15.75" x14ac:dyDescent="0.25">
      <c r="A109" s="24" t="s">
        <v>76</v>
      </c>
      <c r="B109" s="24">
        <v>200</v>
      </c>
    </row>
    <row r="110" spans="1:2" ht="15.75" x14ac:dyDescent="0.25">
      <c r="A110" s="24" t="s">
        <v>76</v>
      </c>
      <c r="B110" s="24">
        <v>225</v>
      </c>
    </row>
    <row r="111" spans="1:2" ht="15.75" x14ac:dyDescent="0.25">
      <c r="A111" s="24" t="s">
        <v>76</v>
      </c>
      <c r="B111" s="24">
        <v>250</v>
      </c>
    </row>
    <row r="112" spans="1:2" ht="15.75" x14ac:dyDescent="0.25">
      <c r="A112" s="24" t="s">
        <v>76</v>
      </c>
      <c r="B112" s="24">
        <v>300</v>
      </c>
    </row>
    <row r="113" spans="1:2" ht="15.75" x14ac:dyDescent="0.25">
      <c r="A113" s="24" t="s">
        <v>76</v>
      </c>
      <c r="B113" s="24">
        <v>315</v>
      </c>
    </row>
    <row r="114" spans="1:2" ht="15.75" x14ac:dyDescent="0.25">
      <c r="A114" s="24" t="s">
        <v>76</v>
      </c>
      <c r="B114" s="24">
        <v>320</v>
      </c>
    </row>
    <row r="115" spans="1:2" ht="15.75" x14ac:dyDescent="0.25">
      <c r="A115" s="24" t="s">
        <v>76</v>
      </c>
      <c r="B115" s="24">
        <v>400</v>
      </c>
    </row>
    <row r="116" spans="1:2" ht="15.75" x14ac:dyDescent="0.25">
      <c r="A116" s="24" t="s">
        <v>76</v>
      </c>
      <c r="B116" s="24">
        <v>450</v>
      </c>
    </row>
    <row r="117" spans="1:2" ht="15.75" x14ac:dyDescent="0.25">
      <c r="A117" s="24" t="s">
        <v>76</v>
      </c>
      <c r="B117" s="24">
        <v>500</v>
      </c>
    </row>
    <row r="118" spans="1:2" ht="15.75" x14ac:dyDescent="0.25">
      <c r="A118" s="24" t="s">
        <v>76</v>
      </c>
      <c r="B118" s="24">
        <v>600</v>
      </c>
    </row>
    <row r="119" spans="1:2" ht="15.75" x14ac:dyDescent="0.25">
      <c r="A119" s="24" t="s">
        <v>76</v>
      </c>
      <c r="B119" s="24">
        <v>630</v>
      </c>
    </row>
    <row r="120" spans="1:2" ht="15.75" x14ac:dyDescent="0.25">
      <c r="A120" s="24" t="s">
        <v>76</v>
      </c>
      <c r="B120" s="24">
        <v>700</v>
      </c>
    </row>
    <row r="121" spans="1:2" ht="15.75" x14ac:dyDescent="0.25">
      <c r="A121" s="24" t="s">
        <v>76</v>
      </c>
      <c r="B121" s="24">
        <v>800</v>
      </c>
    </row>
    <row r="122" spans="1:2" ht="15.75" x14ac:dyDescent="0.25">
      <c r="A122" s="24" t="s">
        <v>76</v>
      </c>
      <c r="B122" s="24">
        <v>1000</v>
      </c>
    </row>
    <row r="123" spans="1:2" ht="15.75" x14ac:dyDescent="0.25">
      <c r="A123" s="24" t="s">
        <v>76</v>
      </c>
      <c r="B123" s="24">
        <v>1200</v>
      </c>
    </row>
    <row r="124" spans="1:2" ht="15.75" x14ac:dyDescent="0.25">
      <c r="A124" s="24" t="s">
        <v>76</v>
      </c>
      <c r="B124" s="24">
        <v>1500</v>
      </c>
    </row>
    <row r="125" spans="1:2" ht="15.75" x14ac:dyDescent="0.25">
      <c r="A125" s="24" t="s">
        <v>76</v>
      </c>
      <c r="B125" s="24">
        <v>1800</v>
      </c>
    </row>
    <row r="126" spans="1:2" ht="15.75" x14ac:dyDescent="0.25">
      <c r="A126" s="24" t="s">
        <v>76</v>
      </c>
      <c r="B126" s="24">
        <v>2100</v>
      </c>
    </row>
    <row r="130" spans="1:2" x14ac:dyDescent="0.25">
      <c r="A130" t="s">
        <v>280</v>
      </c>
    </row>
    <row r="132" spans="1:2" ht="15.75" x14ac:dyDescent="0.25">
      <c r="A132" s="24" t="s">
        <v>82</v>
      </c>
      <c r="B132" s="24" t="s">
        <v>83</v>
      </c>
    </row>
    <row r="133" spans="1:2" ht="15.75" x14ac:dyDescent="0.25">
      <c r="A133" s="24" t="s">
        <v>76</v>
      </c>
      <c r="B133" s="24">
        <v>100</v>
      </c>
    </row>
    <row r="134" spans="1:2" ht="15.75" x14ac:dyDescent="0.25">
      <c r="A134" s="24" t="s">
        <v>76</v>
      </c>
      <c r="B134" s="24">
        <v>120</v>
      </c>
    </row>
    <row r="135" spans="1:2" ht="15.75" x14ac:dyDescent="0.25">
      <c r="A135" s="24" t="s">
        <v>76</v>
      </c>
      <c r="B135" s="24">
        <v>125</v>
      </c>
    </row>
    <row r="136" spans="1:2" ht="15.75" x14ac:dyDescent="0.25">
      <c r="A136" s="24" t="s">
        <v>76</v>
      </c>
      <c r="B136" s="24">
        <v>150</v>
      </c>
    </row>
    <row r="137" spans="1:2" ht="15.75" x14ac:dyDescent="0.25">
      <c r="A137" s="24" t="s">
        <v>76</v>
      </c>
      <c r="B137" s="24">
        <v>175</v>
      </c>
    </row>
    <row r="138" spans="1:2" ht="15.75" x14ac:dyDescent="0.25">
      <c r="A138" s="24" t="s">
        <v>76</v>
      </c>
      <c r="B138" s="24">
        <v>200</v>
      </c>
    </row>
    <row r="139" spans="1:2" ht="15.75" x14ac:dyDescent="0.25">
      <c r="A139" s="24" t="s">
        <v>76</v>
      </c>
      <c r="B139" s="24">
        <v>250</v>
      </c>
    </row>
    <row r="140" spans="1:2" ht="15.75" x14ac:dyDescent="0.25">
      <c r="A140" s="24" t="s">
        <v>76</v>
      </c>
      <c r="B140" s="24">
        <v>300</v>
      </c>
    </row>
    <row r="141" spans="1:2" ht="15.75" x14ac:dyDescent="0.25">
      <c r="A141" s="24" t="s">
        <v>76</v>
      </c>
      <c r="B141" s="24">
        <v>315</v>
      </c>
    </row>
    <row r="142" spans="1:2" ht="15.75" x14ac:dyDescent="0.25">
      <c r="A142" s="24" t="s">
        <v>76</v>
      </c>
      <c r="B142" s="24">
        <v>320</v>
      </c>
    </row>
    <row r="143" spans="1:2" ht="15.75" x14ac:dyDescent="0.25">
      <c r="A143" s="24" t="s">
        <v>76</v>
      </c>
      <c r="B143" s="24">
        <v>350</v>
      </c>
    </row>
    <row r="144" spans="1:2" ht="15.75" x14ac:dyDescent="0.25">
      <c r="A144" s="24" t="s">
        <v>76</v>
      </c>
      <c r="B144" s="24">
        <v>400</v>
      </c>
    </row>
    <row r="145" spans="1:2" ht="15.75" x14ac:dyDescent="0.25">
      <c r="A145" s="24" t="s">
        <v>76</v>
      </c>
      <c r="B145" s="24">
        <v>500</v>
      </c>
    </row>
    <row r="146" spans="1:2" ht="15.75" x14ac:dyDescent="0.25">
      <c r="A146" s="24" t="s">
        <v>76</v>
      </c>
      <c r="B146" s="24">
        <v>600</v>
      </c>
    </row>
    <row r="147" spans="1:2" ht="15.75" x14ac:dyDescent="0.25">
      <c r="A147" s="24" t="s">
        <v>76</v>
      </c>
      <c r="B147" s="24">
        <v>630</v>
      </c>
    </row>
    <row r="148" spans="1:2" ht="15.75" x14ac:dyDescent="0.25">
      <c r="A148" s="24" t="s">
        <v>76</v>
      </c>
      <c r="B148" s="24">
        <v>800</v>
      </c>
    </row>
  </sheetData>
  <sheetProtection algorithmName="SHA-512" hashValue="bPNIdfJKeGpjQv1IxNBKSVsvgH57iMgBbde8CKgTNEUO0hzlBHUaagAA/4cIzVIoUNZV6IAcDpDljCYmWcZEFw==" saltValue="8J/DCdI1Bu4KZ2ZGYMocaQ==" spinCount="100000" sheet="1" objects="1" scenarios="1"/>
  <mergeCells count="6">
    <mergeCell ref="A10:B10"/>
    <mergeCell ref="C10:C11"/>
    <mergeCell ref="A89:B89"/>
    <mergeCell ref="A90:B90"/>
    <mergeCell ref="A54:B54"/>
    <mergeCell ref="C54:C55"/>
  </mergeCells>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4"/>
  <dimension ref="A1:E54"/>
  <sheetViews>
    <sheetView workbookViewId="0">
      <selection activeCell="D21" sqref="D21"/>
    </sheetView>
  </sheetViews>
  <sheetFormatPr defaultRowHeight="15" x14ac:dyDescent="0.25"/>
  <cols>
    <col min="1" max="1" width="116.140625" bestFit="1" customWidth="1"/>
    <col min="2" max="2" width="9.140625" style="19"/>
    <col min="4" max="4" width="9.140625" style="19"/>
  </cols>
  <sheetData>
    <row r="1" spans="1:5" x14ac:dyDescent="0.25">
      <c r="A1" s="10" t="s">
        <v>54</v>
      </c>
      <c r="B1" s="43">
        <f>COUNTA(Formulário!I12)</f>
        <v>0</v>
      </c>
    </row>
    <row r="2" spans="1:5" x14ac:dyDescent="0.25">
      <c r="A2" t="s">
        <v>55</v>
      </c>
      <c r="B2" s="43">
        <f>IF(Dados!D7=4,1,COUNTA(Formulário!AG12))</f>
        <v>0</v>
      </c>
      <c r="D2" s="63" t="str">
        <f>IF(D5=1,E5,IF(D6=1,E6,IF(D7=1,E7,IF(D8=1,E8,IF(D9=1,E9,IF(D10=1,E10,""))))))</f>
        <v>O campo "Número do Cliente" deve ser preenchido.</v>
      </c>
    </row>
    <row r="3" spans="1:5" x14ac:dyDescent="0.25">
      <c r="A3" t="s">
        <v>57</v>
      </c>
      <c r="B3" s="43">
        <f>COUNTA(Formulário!N14)</f>
        <v>0</v>
      </c>
    </row>
    <row r="4" spans="1:5" x14ac:dyDescent="0.25">
      <c r="A4" t="s">
        <v>43</v>
      </c>
      <c r="B4" s="43">
        <f>COUNTA(Formulário!E16)</f>
        <v>0</v>
      </c>
    </row>
    <row r="5" spans="1:5" x14ac:dyDescent="0.25">
      <c r="A5" t="s">
        <v>44</v>
      </c>
      <c r="B5" s="43">
        <f>COUNTA(Formulário!K16)</f>
        <v>0</v>
      </c>
      <c r="D5" s="25">
        <f t="shared" ref="D5:D10" si="0">IF(E5&lt;&gt;"",1,0)</f>
        <v>1</v>
      </c>
      <c r="E5" t="str">
        <f>IF(COUNTIF(Conferencia!B:B,"0")&gt;0,"O campo """&amp;INDEX(Conferencia!A:A,MATCH(0,Conferencia!B:B,0))&amp;""" deve ser preenchido.","")</f>
        <v>O campo "Número do Cliente" deve ser preenchido.</v>
      </c>
    </row>
    <row r="6" spans="1:5" x14ac:dyDescent="0.25">
      <c r="A6" t="s">
        <v>45</v>
      </c>
      <c r="B6" s="43">
        <f>COUNTA(Formulário!AC16)</f>
        <v>0</v>
      </c>
      <c r="D6" s="25">
        <f t="shared" si="0"/>
        <v>0</v>
      </c>
      <c r="E6" t="str">
        <f>IF(AND(Dados!D7=4,Formulário!AG12&lt;&gt;"")," Em caso de Ligação de Nova Unidade Consumidora não pode ser preenchido o Nº da Instalação","")</f>
        <v/>
      </c>
    </row>
    <row r="7" spans="1:5" x14ac:dyDescent="0.25">
      <c r="A7" t="s">
        <v>46</v>
      </c>
      <c r="B7" s="43">
        <f>COUNTA(Formulário!G18)</f>
        <v>0</v>
      </c>
      <c r="D7" s="25">
        <f t="shared" si="0"/>
        <v>0</v>
      </c>
      <c r="E7" t="str">
        <f>IF(Pot_Ativa_Instalada&gt;CargaInstalada,"A Potência Ativa Instalada Total da Usina não pode ser maior que a Carga Instalada","")</f>
        <v/>
      </c>
    </row>
    <row r="8" spans="1:5" x14ac:dyDescent="0.25">
      <c r="A8" t="s">
        <v>47</v>
      </c>
      <c r="B8" s="43">
        <f>COUNTA(Formulário!AI18)</f>
        <v>0</v>
      </c>
      <c r="D8" s="25">
        <f t="shared" si="0"/>
        <v>0</v>
      </c>
      <c r="E8" t="str">
        <f>IF(D19=0,"O uso da SE Nº1 foi descontinuado das normas Cemig, portanto NÃO é permitida para ligação de novas UC usando esse padrão de construção","")</f>
        <v/>
      </c>
    </row>
    <row r="9" spans="1:5" x14ac:dyDescent="0.25">
      <c r="A9" t="s">
        <v>49</v>
      </c>
      <c r="B9" s="43">
        <f>COUNTA(Formulário!E20)</f>
        <v>0</v>
      </c>
      <c r="D9" s="25">
        <f t="shared" si="0"/>
        <v>1</v>
      </c>
      <c r="E9" t="str">
        <f>IF(Pot_Ativa_Instalada&gt;75,"Este formulário é para as solicitações de MICROGERAÇÃO. Para potência superior a 75 kW utilize o formulário de MINIGERAÇÃO","")</f>
        <v>Este formulário é para as solicitações de MICROGERAÇÃO. Para potência superior a 75 kW utilize o formulário de MINIGERAÇÃO</v>
      </c>
    </row>
    <row r="10" spans="1:5" x14ac:dyDescent="0.25">
      <c r="A10" t="s">
        <v>50</v>
      </c>
      <c r="B10" s="43">
        <f>COUNTA(Formulário!T20)</f>
        <v>0</v>
      </c>
      <c r="D10" s="25">
        <f t="shared" si="0"/>
        <v>0</v>
      </c>
      <c r="E10" t="str">
        <f>IF($D$21=1,"O somatório das potências dos transformadores não pode ser menor que a Potência Ativa Instalada Total de Geração da Usina.","")</f>
        <v/>
      </c>
    </row>
    <row r="11" spans="1:5" x14ac:dyDescent="0.25">
      <c r="A11" t="s">
        <v>51</v>
      </c>
      <c r="B11" s="43">
        <f>COUNTA(Formulário!AN20)</f>
        <v>0</v>
      </c>
    </row>
    <row r="12" spans="1:5" x14ac:dyDescent="0.25">
      <c r="A12" t="s">
        <v>52</v>
      </c>
      <c r="B12" s="43">
        <f>COUNTA(Formulário!AS20)</f>
        <v>0</v>
      </c>
    </row>
    <row r="13" spans="1:5" x14ac:dyDescent="0.25">
      <c r="A13" t="s">
        <v>283</v>
      </c>
      <c r="B13" s="43">
        <f>COUNTA(Formulário!O22)</f>
        <v>0</v>
      </c>
    </row>
    <row r="14" spans="1:5" x14ac:dyDescent="0.25">
      <c r="A14" t="s">
        <v>53</v>
      </c>
      <c r="B14" s="43">
        <f>COUNTA(Formulário!Y22)</f>
        <v>0</v>
      </c>
    </row>
    <row r="15" spans="1:5" x14ac:dyDescent="0.25">
      <c r="A15" t="s">
        <v>36</v>
      </c>
      <c r="B15" s="43">
        <f>COUNTA(Formulário!V27)</f>
        <v>0</v>
      </c>
    </row>
    <row r="16" spans="1:5" x14ac:dyDescent="0.25">
      <c r="A16" t="s">
        <v>58</v>
      </c>
      <c r="B16" s="43">
        <f>COUNTA(Formulário!AC27)</f>
        <v>0</v>
      </c>
    </row>
    <row r="17" spans="1:5" x14ac:dyDescent="0.25">
      <c r="A17" t="s">
        <v>59</v>
      </c>
      <c r="B17" s="43">
        <f>COUNTA(Formulário!AL27)</f>
        <v>0</v>
      </c>
    </row>
    <row r="18" spans="1:5" x14ac:dyDescent="0.25">
      <c r="A18" s="10" t="s">
        <v>60</v>
      </c>
      <c r="B18" s="43">
        <f>IF(Grupo="A",COUNTA(Formulário!R29),1)</f>
        <v>1</v>
      </c>
    </row>
    <row r="19" spans="1:5" x14ac:dyDescent="0.25">
      <c r="A19" t="s">
        <v>73</v>
      </c>
      <c r="B19" s="43">
        <f>IF(Formulário!E16&lt;&gt;"A",1,COUNTA(Formulário!T34))</f>
        <v>1</v>
      </c>
      <c r="D19" s="43">
        <f>IF(AND(Dados!D7=4,TipoSE="Nº 1"),0,1)</f>
        <v>1</v>
      </c>
      <c r="E19" t="s">
        <v>266</v>
      </c>
    </row>
    <row r="20" spans="1:5" x14ac:dyDescent="0.25">
      <c r="A20" s="10" t="str">
        <f>IF($D$22=1,"Qte trafo de potência distinta","Transformador particular (kVA)")</f>
        <v>Transformador particular (kVA)</v>
      </c>
      <c r="B20" s="43">
        <f>IF(Grupo="B",1,IF(AND($D$22=1,Formulário!$S$36&gt;4),0,COUNTA(Formulário!$S$36)))</f>
        <v>0</v>
      </c>
    </row>
    <row r="21" spans="1:5" x14ac:dyDescent="0.25">
      <c r="A21" t="s">
        <v>276</v>
      </c>
      <c r="B21" s="43">
        <f>IF(Grupo="B",1,IF(OR(TipoSE="Nº 1",TipoSE="Nº 5",TipoSE="Nº 8"),1,IF(AND($D$22=1,Formulário!$S$36=1,OR(Formulário!$Z$36="",Formulário!$AF$36="")),0,COUNTA(Formulário!$S$36)*COUNTA(Formulário!$Z$36)*COUNTA(Formulário!$AF$36))))</f>
        <v>0</v>
      </c>
      <c r="D21" s="19">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0</v>
      </c>
      <c r="E21" t="s">
        <v>285</v>
      </c>
    </row>
    <row r="22" spans="1:5" x14ac:dyDescent="0.25">
      <c r="A22" t="s">
        <v>276</v>
      </c>
      <c r="B22" s="43">
        <f>IF(Grupo="B",1,IF(OR(TipoSE="Nº 1",TipoSE="Nº 5",TipoSE="Nº 8"),1,IF(AND($D$22=1,Formulário!$S$36=1),1,IF(OR(Formulário!$Z$36="",Formulário!$AF$36="",Formulário!$Z$34="",Formulário!$AF$34=""),0,COUNTA(Formulário!$S$36)*COUNTA(Formulário!$Z$36)*COUNTA(Formulário!$AF$36)*COUNTA(Formulário!$Z$34)*COUNTA(Formulário!$AF$34)))))</f>
        <v>0</v>
      </c>
      <c r="D22" s="43">
        <f>IF(OR(TipoSE="Nº 2",TipoSE="Nº 4"),1,0)</f>
        <v>0</v>
      </c>
      <c r="E22" t="s">
        <v>273</v>
      </c>
    </row>
    <row r="23" spans="1:5" x14ac:dyDescent="0.25">
      <c r="A23" t="s">
        <v>276</v>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0</v>
      </c>
      <c r="D23" s="43">
        <f>IF(OR(TipoSE="Nº 1",TipoSE="Nº 5",TipoSE="Nº 8"),1,0)</f>
        <v>0</v>
      </c>
      <c r="E23" t="s">
        <v>274</v>
      </c>
    </row>
    <row r="24" spans="1:5" x14ac:dyDescent="0.25">
      <c r="A24" t="s">
        <v>276</v>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0</v>
      </c>
      <c r="D24" s="43">
        <f>IF(TipoSE="Nº 1",1,0)</f>
        <v>0</v>
      </c>
      <c r="E24" t="s">
        <v>275</v>
      </c>
    </row>
    <row r="25" spans="1:5" x14ac:dyDescent="0.25">
      <c r="A25" s="10" t="s">
        <v>35</v>
      </c>
      <c r="B25" s="43">
        <f>COUNTA(Formulário!I39)</f>
        <v>0</v>
      </c>
    </row>
    <row r="26" spans="1:5" x14ac:dyDescent="0.25">
      <c r="A26" s="10" t="s">
        <v>272</v>
      </c>
      <c r="B26" s="43">
        <f>IF(Dados!D6=3,COUNTA(Formulário!AU39),1)</f>
        <v>1</v>
      </c>
    </row>
    <row r="27" spans="1:5" x14ac:dyDescent="0.25">
      <c r="A27" s="10" t="s">
        <v>61</v>
      </c>
      <c r="B27" s="43">
        <f>COUNTA(Formulário!I41)</f>
        <v>0</v>
      </c>
    </row>
    <row r="28" spans="1:5" x14ac:dyDescent="0.25">
      <c r="A28" t="s">
        <v>279</v>
      </c>
      <c r="B28" s="43">
        <f>IF(Grupo="B",1,IF(OR(TipoSE="Nº 1",TipoSE="Nº 5",TipoSE="Nº 8"),COUNTA(Formulário!AB45)*COUNTA(Formulário!AH45),1))</f>
        <v>1</v>
      </c>
    </row>
    <row r="29" spans="1:5" x14ac:dyDescent="0.25">
      <c r="A29" s="10" t="s">
        <v>63</v>
      </c>
      <c r="B29" s="43">
        <f>IF(Grupo="A",1,COUNTA(Formulário!AH45)*COUNTA(Formulário!AB45))</f>
        <v>0</v>
      </c>
    </row>
    <row r="30" spans="1:5" x14ac:dyDescent="0.25">
      <c r="A30" s="21" t="s">
        <v>64</v>
      </c>
      <c r="B30" s="43">
        <f>IF(Grupo="A",1,IF(OR(Formulário!I39=Apoio!A2,Formulário!I39=Apoio!A3),1,IF(AND(Formulário!I39=Apoio!A5,Formulário!AB47="Sem Alter. Carga"),1,COUNTA(Formulário!AB47)*COUNTA(Formulário!AH47))))</f>
        <v>0</v>
      </c>
    </row>
    <row r="31" spans="1:5" x14ac:dyDescent="0.25">
      <c r="A31" s="21" t="s">
        <v>65</v>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1</v>
      </c>
    </row>
    <row r="32" spans="1:5" x14ac:dyDescent="0.25">
      <c r="A32" s="21" t="s">
        <v>65</v>
      </c>
      <c r="B32" s="43">
        <f>IF(Grupo="A",1,IF(Formulário!$H$49="",1,IF(AND(Formulário!$H$49=" Disjuntor Geral do Padrão (Conforme ND 5.2):",Formulário!$AB$49="Sem Disj. Geral"),1,IF(AND(Formulário!$H$49=" Disjuntor Geral do Padrão (Conforme ND 5.2):",Formulário!AB48&lt;&gt;"Sem Disj. Geral"),COUNTA(Formulário!$AB$49)*COUNTA(Formulário!$AH$49)))))</f>
        <v>1</v>
      </c>
    </row>
    <row r="33" spans="1:2" x14ac:dyDescent="0.25">
      <c r="A33" s="21" t="s">
        <v>265</v>
      </c>
      <c r="B33" s="43">
        <f>IF(Grupo="A",1,IF(Formulário!I42="Edificação Individual",1,IF(OR(Formulário!$H$49="",Formulário!$AB$49="Sem Disj. Geral"),1,COUNTA(Formulário!AT49))))</f>
        <v>1</v>
      </c>
    </row>
    <row r="34" spans="1:2" x14ac:dyDescent="0.25">
      <c r="A34" s="10" t="s">
        <v>66</v>
      </c>
      <c r="B34" s="43">
        <f>COUNTA(Formulário!L52)</f>
        <v>0</v>
      </c>
    </row>
    <row r="35" spans="1:2" x14ac:dyDescent="0.25">
      <c r="A35" t="s">
        <v>74</v>
      </c>
      <c r="B35" s="43">
        <f>IF(Formulário!AE52=" &lt;-- Atenção! Altere o tipo de ramal",0,COUNTA(Formulário!X52))</f>
        <v>0</v>
      </c>
    </row>
    <row r="36" spans="1:2" x14ac:dyDescent="0.25">
      <c r="A36" s="21" t="s">
        <v>67</v>
      </c>
      <c r="B36" s="43">
        <f>IF(Formulário!I39=Apoio!A2,1,IF(Formulário!U54="&lt;-- Para SE Nº 1 não pode haver mudança de local do Padrão de Entrada. Altere...",0,COUNTA(Formulário!R54)))</f>
        <v>0</v>
      </c>
    </row>
    <row r="37" spans="1:2" x14ac:dyDescent="0.25">
      <c r="A37" s="10" t="s">
        <v>68</v>
      </c>
      <c r="B37" s="43">
        <f>COUNTA(TipoFonte)</f>
        <v>0</v>
      </c>
    </row>
    <row r="38" spans="1:2" x14ac:dyDescent="0.25">
      <c r="A38" s="10" t="s">
        <v>69</v>
      </c>
      <c r="B38" s="43">
        <f>COUNTA(Formulário!L61)</f>
        <v>0</v>
      </c>
    </row>
    <row r="39" spans="1:2" x14ac:dyDescent="0.25">
      <c r="A39" t="s">
        <v>70</v>
      </c>
      <c r="B39" s="43">
        <v>1</v>
      </c>
    </row>
    <row r="40" spans="1:2" x14ac:dyDescent="0.25">
      <c r="A40" t="s">
        <v>72</v>
      </c>
      <c r="B40" s="43">
        <f>COUNTA(Formulário!AS61)</f>
        <v>0</v>
      </c>
    </row>
    <row r="41" spans="1:2" x14ac:dyDescent="0.25">
      <c r="A41" s="59" t="str">
        <f>IF(TipoFonte="Solar","Potência Total Módulos (kW)",IF(OR(TipoFonte="Hidráulica",TipoFonte="Biomassa",TipoFonte="Cogeração Qualificada"),"Potência Aparente (kVA)",IF(TipoFonte="Eólica","Quantidade de Aerogeradores","")))</f>
        <v/>
      </c>
      <c r="B41" s="43">
        <f>COUNTA(Formulário!P69)</f>
        <v>0</v>
      </c>
    </row>
    <row r="42" spans="1:2" x14ac:dyDescent="0.25">
      <c r="A42" s="59" t="str">
        <f>IF(TipoFonte="Solar","Potência Total Inversores (kW)",IF(OR(TipoFonte="Hidráulica",TipoFonte="Biomassa",TipoFonte="Eólica",TipoFonte="Cogeração Qualificada"),"Potência Instalada (kW)",""))</f>
        <v/>
      </c>
      <c r="B42" s="43">
        <f>COUNTA(Formulário!P71)</f>
        <v>0</v>
      </c>
    </row>
    <row r="43" spans="1:2" x14ac:dyDescent="0.25">
      <c r="A43" s="59" t="str">
        <f>IF(TipoFonte="Solar","Área dos Arranjos (m²)",IF(OR(TipoFonte="Hidráulica",TipoFonte="Biomassa",TipoFonte="Eólica",TipoFonte="Cogeração Qualificada"),"Fator de Potência",""))</f>
        <v/>
      </c>
      <c r="B43" s="43">
        <f>COUNTA(Formulário!P73)</f>
        <v>0</v>
      </c>
    </row>
    <row r="44" spans="1:2" x14ac:dyDescent="0.25">
      <c r="A44" s="59" t="str">
        <f>IF(TipoFonte="Solar","Quantidade de Módulos",IF(TipoFonte="Hidráulica","Tensão (kV)",IF(OR(TipoFonte="Cogeração Qualificada",TipoFonte="Biomassa"),"Combustível",IF(TipoFonte="Eólica","Fabricante dos Aerogeradores",""))))</f>
        <v/>
      </c>
      <c r="B44" s="43">
        <f>COUNTA(Formulário!P75)</f>
        <v>0</v>
      </c>
    </row>
    <row r="45" spans="1:2" x14ac:dyDescent="0.25">
      <c r="A45" s="59" t="str">
        <f>IF(TipoFonte="Solar","Modelo dos Módulos",IF(OR(TipoFonte="Cogeração Qualificada",TipoFonte="Biomassa"),"Máquina Motriz (Motor/Turbina)",IF(TipoFonte="Eólica","Altura da pá (m)",IF(TipoFonte="Hidráulica","Nome do rio",""))))</f>
        <v/>
      </c>
      <c r="B45" s="43">
        <f>COUNTA(Formulário!P77)</f>
        <v>0</v>
      </c>
    </row>
    <row r="46" spans="1:2" x14ac:dyDescent="0.25">
      <c r="A46" s="59" t="str">
        <f>IF(TipoFonte="Solar","Fabricante dos Módulos",IF(TipoFonte="Hidráulica","Nível Operacional Normal de Jusante (m)",IF(OR(TipoFonte="Cogeração Qualificada",TipoFonte="Biomassa"),"Ciclo Termodinâmico (Aberto/Fechado)",IF(TipoFonte="Eólica","Eixo do rotor",""))))</f>
        <v/>
      </c>
      <c r="B46" s="43">
        <f>COUNTA(Formulário!P79)</f>
        <v>0</v>
      </c>
    </row>
    <row r="47" spans="1:2" x14ac:dyDescent="0.25">
      <c r="A47" s="59" t="str">
        <f>IF(TipoFonte="Solar","Quantidade de Inversores",IF(OR(TipoFonte="Cogeração Qualificada",TipoFonte="Biomassa"),"Número do Despacho de qualificação",IF(TipoFonte="Eólica","Modelo dos Aerogeradores","")))</f>
        <v/>
      </c>
      <c r="B47" s="43">
        <f>IF(A47="",1,COUNTA(Formulário!P81))</f>
        <v>1</v>
      </c>
    </row>
    <row r="48" spans="1:2" x14ac:dyDescent="0.25">
      <c r="A48" s="59" t="str">
        <f>IF(TipoFonte="Solar","Modelo dos Inversores","")</f>
        <v/>
      </c>
      <c r="B48" s="43">
        <f>IF(A48="",1,COUNTA(Formulário!P83))</f>
        <v>1</v>
      </c>
    </row>
    <row r="49" spans="1:2" x14ac:dyDescent="0.25">
      <c r="A49" s="59" t="str">
        <f>IF(TipoFonte="Solar","Fabricante dos Inversores","")</f>
        <v/>
      </c>
      <c r="B49" s="43">
        <f>IF(A49="",1,COUNTA(Formulário!P85))</f>
        <v>1</v>
      </c>
    </row>
    <row r="50" spans="1:2" x14ac:dyDescent="0.25">
      <c r="A50" t="s">
        <v>259</v>
      </c>
      <c r="B50" s="43">
        <f>COUNTA(Formulário!Q151)</f>
        <v>0</v>
      </c>
    </row>
    <row r="51" spans="1:2" x14ac:dyDescent="0.25">
      <c r="A51" t="s">
        <v>261</v>
      </c>
      <c r="B51" s="43">
        <f>COUNTA(Formulário!O153)</f>
        <v>0</v>
      </c>
    </row>
    <row r="52" spans="1:2" x14ac:dyDescent="0.25">
      <c r="A52" t="s">
        <v>283</v>
      </c>
      <c r="B52" s="43">
        <f>COUNTA(Formulário!O157)</f>
        <v>0</v>
      </c>
    </row>
    <row r="53" spans="1:2" x14ac:dyDescent="0.25">
      <c r="A53" t="s">
        <v>262</v>
      </c>
      <c r="B53" s="43">
        <f>COUNTA(Formulário!Y157)</f>
        <v>0</v>
      </c>
    </row>
    <row r="54" spans="1:2" x14ac:dyDescent="0.25">
      <c r="A54" t="s">
        <v>269</v>
      </c>
      <c r="B54" s="43">
        <f>COUNTA(Formulário!C167)</f>
        <v>0</v>
      </c>
    </row>
  </sheetData>
  <sheetProtection algorithmName="SHA-512" hashValue="zGDm49vNPKS3TP9r9Mc1T4CdmkJ2CEmwEaAEqVWW3Ud7GSEeyLI9taB6SsmxtkcccO0TlsxXH+FcIuDhh2Bh6w==" saltValue="FaFnBzhxqtjmnriKxrrktA==" spinCount="100000" sheet="1" objects="1" scenarios="1"/>
  <pageMargins left="0.511811024" right="0.511811024" top="0.78740157499999996" bottom="0.78740157499999996" header="0.31496062000000002" footer="0.31496062000000002"/>
  <headerFooter>
    <oddFooter>&amp;R_x000D_&amp;1#&amp;"Calibri"&amp;10&amp;K000000 Classificação: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37929-F649-4C4B-BB0B-39A8CAD0AF00}">
  <dimension ref="A1:C14"/>
  <sheetViews>
    <sheetView workbookViewId="0">
      <selection activeCell="C15" sqref="C15"/>
    </sheetView>
  </sheetViews>
  <sheetFormatPr defaultRowHeight="15" x14ac:dyDescent="0.25"/>
  <cols>
    <col min="2" max="2" width="10.7109375" bestFit="1" customWidth="1"/>
    <col min="3" max="3" width="52" bestFit="1" customWidth="1"/>
  </cols>
  <sheetData>
    <row r="1" spans="1:3" x14ac:dyDescent="0.25">
      <c r="A1" s="68" t="s">
        <v>288</v>
      </c>
      <c r="B1" s="68" t="s">
        <v>289</v>
      </c>
      <c r="C1" s="68" t="s">
        <v>290</v>
      </c>
    </row>
    <row r="2" spans="1:3" ht="45" x14ac:dyDescent="0.25">
      <c r="A2" s="65" t="s">
        <v>291</v>
      </c>
      <c r="B2" s="66">
        <v>44841</v>
      </c>
      <c r="C2" s="67" t="s">
        <v>295</v>
      </c>
    </row>
    <row r="3" spans="1:3" x14ac:dyDescent="0.25">
      <c r="A3" s="65"/>
      <c r="B3" s="65"/>
      <c r="C3" s="65"/>
    </row>
    <row r="4" spans="1:3" x14ac:dyDescent="0.25">
      <c r="A4" s="65"/>
      <c r="B4" s="65"/>
      <c r="C4" s="65"/>
    </row>
    <row r="5" spans="1:3" x14ac:dyDescent="0.25">
      <c r="A5" s="65"/>
      <c r="B5" s="65"/>
      <c r="C5" s="65"/>
    </row>
    <row r="6" spans="1:3" x14ac:dyDescent="0.25">
      <c r="A6" s="65"/>
      <c r="B6" s="65"/>
      <c r="C6" s="65"/>
    </row>
    <row r="7" spans="1:3" x14ac:dyDescent="0.25">
      <c r="A7" s="65"/>
      <c r="B7" s="65"/>
      <c r="C7" s="65"/>
    </row>
    <row r="8" spans="1:3" x14ac:dyDescent="0.25">
      <c r="A8" s="65"/>
      <c r="B8" s="65"/>
      <c r="C8" s="65"/>
    </row>
    <row r="9" spans="1:3" x14ac:dyDescent="0.25">
      <c r="A9" s="65"/>
      <c r="B9" s="65"/>
      <c r="C9" s="65"/>
    </row>
    <row r="10" spans="1:3" x14ac:dyDescent="0.25">
      <c r="A10" s="65"/>
      <c r="B10" s="65"/>
      <c r="C10" s="65"/>
    </row>
    <row r="11" spans="1:3" x14ac:dyDescent="0.25">
      <c r="A11" s="65"/>
      <c r="B11" s="65"/>
      <c r="C11" s="65"/>
    </row>
    <row r="12" spans="1:3" x14ac:dyDescent="0.25">
      <c r="A12" s="65"/>
      <c r="B12" s="65"/>
      <c r="C12" s="65"/>
    </row>
    <row r="13" spans="1:3" x14ac:dyDescent="0.25">
      <c r="A13" s="65"/>
      <c r="B13" s="65"/>
      <c r="C13" s="65"/>
    </row>
    <row r="14" spans="1:3" x14ac:dyDescent="0.25">
      <c r="A14" s="65"/>
      <c r="B14" s="65"/>
      <c r="C14" s="65"/>
    </row>
  </sheetData>
  <sheetProtection algorithmName="SHA-512" hashValue="rsO/d6p9MYSgbA5jk85mJSVMOiRKkB5oN1eCNP2cUe6NfrgVnsw9rDaF2UonYeyNgEZOKjqG5pEb3CPj3hLDHg==" saltValue="Xg9FkUZZ3Qx0cHjPKIVIwA==" spinCount="100000" sheet="1" objects="1" scenarios="1"/>
  <pageMargins left="0.511811024" right="0.511811024" top="0.78740157499999996" bottom="0.78740157499999996" header="0.31496062000000002" footer="0.31496062000000002"/>
  <pageSetup orientation="portrait" r:id="rId1"/>
</worksheet>
</file>

<file path=docMetadata/LabelInfo.xml><?xml version="1.0" encoding="utf-8"?>
<clbl:labelList xmlns:clbl="http://schemas.microsoft.com/office/2020/mipLabelMetadata">
  <clbl:label id="{7158201a-9c91-4077-8c8c-35afb0b2b6e2}" enabled="1" method="Privileged" siteId="{97ce2340-9c1d-45b1-a835-7ea811b6fe9a}"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vt:i4>
      </vt:variant>
      <vt:variant>
        <vt:lpstr>Intervalos Nomeados</vt:lpstr>
      </vt:variant>
      <vt:variant>
        <vt:i4>18</vt:i4>
      </vt:variant>
    </vt:vector>
  </HeadingPairs>
  <TitlesOfParts>
    <vt:vector size="24" baseType="lpstr">
      <vt:lpstr>Formulário</vt:lpstr>
      <vt:lpstr>Notas Explicativas</vt:lpstr>
      <vt:lpstr>Dados</vt:lpstr>
      <vt:lpstr>Apoio</vt:lpstr>
      <vt:lpstr>Conferencia</vt:lpstr>
      <vt:lpstr>ControleREV</vt:lpstr>
      <vt:lpstr>Formulário!Area_de_impressao</vt:lpstr>
      <vt:lpstr>CargaInstalada</vt:lpstr>
      <vt:lpstr>E_Máximo</vt:lpstr>
      <vt:lpstr>E_Mínimo</vt:lpstr>
      <vt:lpstr>Grupo</vt:lpstr>
      <vt:lpstr>Mensagem_Erro</vt:lpstr>
      <vt:lpstr>N_Máximo</vt:lpstr>
      <vt:lpstr>N_Mínimo</vt:lpstr>
      <vt:lpstr>Outros_Trafos_Particulares</vt:lpstr>
      <vt:lpstr>Pot_Ativa_Instalada</vt:lpstr>
      <vt:lpstr>Ramal</vt:lpstr>
      <vt:lpstr>TblDisj_1</vt:lpstr>
      <vt:lpstr>TensãoA</vt:lpstr>
      <vt:lpstr>TensãoB</vt:lpstr>
      <vt:lpstr>TipoFonte</vt:lpstr>
      <vt:lpstr>Tipos_Edificações</vt:lpstr>
      <vt:lpstr>TipoSE</vt:lpstr>
      <vt:lpstr>Formulário!Titulos_de_impressao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Henrique</cp:lastModifiedBy>
  <cp:lastPrinted>2022-06-30T18:44:10Z</cp:lastPrinted>
  <dcterms:created xsi:type="dcterms:W3CDTF">2006-09-16T00:00:00Z</dcterms:created>
  <dcterms:modified xsi:type="dcterms:W3CDTF">2023-03-09T14:31:29Z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31d8ac-5ed3-47a6-a906-d47f78cf87da_Enabled">
    <vt:lpwstr>true</vt:lpwstr>
  </property>
  <property fmtid="{D5CDD505-2E9C-101B-9397-08002B2CF9AE}" pid="3" name="MSIP_Label_1631d8ac-5ed3-47a6-a906-d47f78cf87da_SetDate">
    <vt:lpwstr>2022-05-31T19:59:14Z</vt:lpwstr>
  </property>
  <property fmtid="{D5CDD505-2E9C-101B-9397-08002B2CF9AE}" pid="4" name="MSIP_Label_1631d8ac-5ed3-47a6-a906-d47f78cf87da_Method">
    <vt:lpwstr>Standard</vt:lpwstr>
  </property>
  <property fmtid="{D5CDD505-2E9C-101B-9397-08002B2CF9AE}" pid="5" name="MSIP_Label_1631d8ac-5ed3-47a6-a906-d47f78cf87da_Name">
    <vt:lpwstr>Uso interno</vt:lpwstr>
  </property>
  <property fmtid="{D5CDD505-2E9C-101B-9397-08002B2CF9AE}" pid="6" name="MSIP_Label_1631d8ac-5ed3-47a6-a906-d47f78cf87da_SiteId">
    <vt:lpwstr>97ce2340-9c1d-45b1-a835-7ea811b6fe9a</vt:lpwstr>
  </property>
  <property fmtid="{D5CDD505-2E9C-101B-9397-08002B2CF9AE}" pid="7" name="MSIP_Label_1631d8ac-5ed3-47a6-a906-d47f78cf87da_ActionId">
    <vt:lpwstr>e5750626-1fcd-433d-bfef-a53f72cd9267</vt:lpwstr>
  </property>
  <property fmtid="{D5CDD505-2E9C-101B-9397-08002B2CF9AE}" pid="8" name="MSIP_Label_1631d8ac-5ed3-47a6-a906-d47f78cf87da_ContentBits">
    <vt:lpwstr>0</vt:lpwstr>
  </property>
</Properties>
</file>