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EstaPastaDeTrabalho"/>
  <workbookProtection lockStructure="1" workbookAlgorithmName="SHA-512" workbookHashValue="TAkgFdn75Y/d+dFi1B3+8yu9jVQzxK8zFXX3uj9SupWiBXzetqX9G0hdQ9eILSzW5Mp3lEo3N/3CR+Vn3v3F4w==" workbookSaltValue="01pvsdXa8peeEcFRCg2zSA==" workbookSpinCount="100000"/>
  <bookViews>
    <workbookView visibility="visible" minimized="0" showHorizontalScroll="1" showVerticalScroll="1" showSheetTabs="1" xWindow="3855" yWindow="-12345" windowWidth="21600" windowHeight="11505" tabRatio="600" firstSheet="0" activeTab="0" autoFilterDateGrouping="1"/>
  </bookViews>
  <sheets>
    <sheet xmlns:r="http://schemas.openxmlformats.org/officeDocument/2006/relationships" name="Formulário" sheetId="1" state="visible" r:id="rId1"/>
    <sheet xmlns:r="http://schemas.openxmlformats.org/officeDocument/2006/relationships" name="Notas Explicativas" sheetId="2" state="visible" r:id="rId2"/>
    <sheet xmlns:r="http://schemas.openxmlformats.org/officeDocument/2006/relationships" name="Dados" sheetId="3" state="hidden" r:id="rId3"/>
    <sheet xmlns:r="http://schemas.openxmlformats.org/officeDocument/2006/relationships" name="Apoio" sheetId="4" state="hidden" r:id="rId4"/>
    <sheet xmlns:r="http://schemas.openxmlformats.org/officeDocument/2006/relationships" name="Conferencia" sheetId="5" state="hidden" r:id="rId5"/>
    <sheet xmlns:r="http://schemas.openxmlformats.org/officeDocument/2006/relationships" name="ControleREV" sheetId="6" state="hidden" r:id="rId6"/>
  </sheets>
  <definedNames>
    <definedName name="CargaInstalada">Formulário!$P$29</definedName>
    <definedName name="Cod_Solicitação">SUM(Dados!$D$4:$D$7)</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Formulário!$AT$59</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A">Dados!$B$20:$B$22</definedName>
    <definedName name="TensãoB">Dados!$B$26:$B$27</definedName>
    <definedName name="TensãoGrupo">IF(Grupo="A",Dados!$C$20:$C$22,Dados!$C$20:$C$21)</definedName>
    <definedName name="TipoFonte">Formulário!$L$59</definedName>
    <definedName name="TipoRamal">IF(Dados!$C$28="1Tipo",Dados!$C$30,Dados!$C$30:$C$31)</definedName>
    <definedName name="Tipos_Edificações">Dados!$B$13:$B$16</definedName>
    <definedName name="Tipos_Solicitação">IF(TipoSE = "Nº 1",Dados!$B$4:$B$6,Dados!$B$4:$B$7)</definedName>
    <definedName name="TipoSE">Formulário!$T$34</definedName>
    <definedName name="TrafosPorSE">IF(OR(TipoSE="Nº 1",TipoSE="Nº 5",TipoSE="Nº 8"),Dados!$P$4:$P$8,Dados!$R$4:$R$7)</definedName>
    <definedName name="_xlnm.Print_Titles" localSheetId="0">'Formulário'!$2:$6</definedName>
    <definedName name="_xlnm.Print_Area" localSheetId="0">'Formulário'!$B$2:$AW$168</definedName>
  </definedNames>
  <calcPr calcId="191029" fullCalcOnLoad="1"/>
</workbook>
</file>

<file path=xl/styles.xml><?xml version="1.0" encoding="utf-8"?>
<styleSheet xmlns="http://schemas.openxmlformats.org/spreadsheetml/2006/main">
  <numFmts count="4">
    <numFmt numFmtId="164" formatCode="[&lt;100000000000]000\.000\.000\-00;00\.000\.000\/0000\-00"/>
    <numFmt numFmtId="165" formatCode="\(##\)\ ####\-####"/>
    <numFmt numFmtId="166" formatCode="\(##\)\ #\ ####\-####"/>
    <numFmt numFmtId="167" formatCode="00000\-000"/>
  </numFmts>
  <fonts count="21">
    <font>
      <name val="Calibri"/>
      <family val="2"/>
      <color theme="1"/>
      <sz val="11"/>
      <scheme val="minor"/>
    </font>
    <font>
      <name val="Calibri"/>
      <family val="2"/>
      <color indexed="10"/>
      <sz val="11"/>
    </font>
    <font>
      <name val="Calibri"/>
      <family val="2"/>
      <b val="1"/>
      <color indexed="8"/>
      <sz val="11"/>
    </font>
    <font>
      <name val="Calibri"/>
      <family val="2"/>
      <color rgb="FF0070C0"/>
      <sz val="11"/>
      <scheme val="minor"/>
    </font>
    <font>
      <name val="Calibri"/>
      <family val="2"/>
      <b val="1"/>
      <color theme="0"/>
      <sz val="11"/>
      <scheme val="minor"/>
    </font>
    <font>
      <name val="Calibri"/>
      <family val="2"/>
      <b val="1"/>
      <color theme="1"/>
      <sz val="11"/>
      <scheme val="minor"/>
    </font>
    <font>
      <name val="Calibri"/>
      <family val="2"/>
      <color rgb="FFFF0000"/>
      <sz val="11"/>
      <scheme val="minor"/>
    </font>
    <font>
      <name val="Calibri"/>
      <family val="2"/>
      <b val="1"/>
      <color theme="1"/>
      <sz val="12"/>
      <scheme val="minor"/>
    </font>
    <font>
      <name val="Calibri"/>
      <family val="2"/>
      <color theme="1"/>
      <sz val="10"/>
      <scheme val="minor"/>
    </font>
    <font>
      <name val="Calibri"/>
      <family val="2"/>
      <color rgb="FFFF0000"/>
      <sz val="8"/>
      <scheme val="minor"/>
    </font>
    <font>
      <name val="Calibri"/>
      <family val="2"/>
      <b val="1"/>
      <color theme="1"/>
      <sz val="14"/>
      <scheme val="minor"/>
    </font>
    <font>
      <name val="Calibri"/>
      <family val="2"/>
      <color theme="1"/>
      <sz val="12"/>
      <scheme val="minor"/>
    </font>
    <font>
      <name val="Times New Roman"/>
      <family val="1"/>
      <color theme="1"/>
      <sz val="10"/>
    </font>
    <font>
      <name val="Calibri"/>
      <family val="2"/>
      <color theme="8" tint="-0.249977111117893"/>
      <sz val="11"/>
      <scheme val="minor"/>
    </font>
    <font>
      <name val="Times New Roman"/>
      <family val="1"/>
      <b val="1"/>
      <color theme="1"/>
      <sz val="11"/>
    </font>
    <font>
      <name val="Calibri"/>
      <family val="2"/>
      <b val="1"/>
      <color rgb="FF0070C0"/>
      <sz val="11"/>
      <scheme val="minor"/>
    </font>
    <font>
      <name val="Calibri"/>
      <family val="2"/>
      <sz val="8"/>
      <scheme val="minor"/>
    </font>
    <font>
      <name val="Wingdings"/>
      <charset val="2"/>
      <color theme="1" tint="0.3499862666707358"/>
      <sz val="8"/>
    </font>
    <font>
      <name val="Calibri"/>
      <family val="2"/>
      <color theme="1"/>
      <sz val="11"/>
      <vertAlign val="superscript"/>
      <scheme val="minor"/>
    </font>
    <font>
      <name val="Calibri"/>
      <family val="2"/>
      <b val="1"/>
      <color theme="1"/>
      <sz val="11"/>
      <u val="single"/>
      <scheme val="minor"/>
    </font>
    <font>
      <name val="Calibri"/>
      <family val="2"/>
      <b val="1"/>
      <color rgb="FFFF0000"/>
      <sz val="11"/>
      <scheme val="minor"/>
    </font>
  </fonts>
  <fills count="11">
    <fill>
      <patternFill/>
    </fill>
    <fill>
      <patternFill patternType="gray125"/>
    </fill>
    <fill>
      <patternFill patternType="solid">
        <fgColor rgb="FF92D050"/>
        <bgColor indexed="64"/>
      </patternFill>
    </fill>
    <fill>
      <patternFill patternType="solid">
        <fgColor theme="0" tint="-0.1499984740745262"/>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0.0499893185216834"/>
        <bgColor indexed="64"/>
      </patternFill>
    </fill>
    <fill>
      <patternFill patternType="solid">
        <fgColor rgb="FFFFFF00"/>
        <bgColor indexed="64"/>
      </patternFill>
    </fill>
    <fill>
      <patternFill patternType="solid">
        <fgColor theme="6" tint="0.7999816888943144"/>
        <bgColor indexed="64"/>
      </patternFill>
    </fill>
    <fill>
      <patternFill patternType="solid">
        <fgColor theme="4" tint="0.7999816888943144"/>
        <bgColor indexed="64"/>
      </patternFill>
    </fill>
  </fills>
  <borders count="42">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8"/>
      </right>
      <top/>
      <bottom/>
      <diagonal/>
    </border>
    <border>
      <left style="medium">
        <color theme="1" tint="0.3499862666707358"/>
      </left>
      <right/>
      <top style="medium">
        <color theme="1" tint="0.3499862666707358"/>
      </top>
      <bottom style="thin">
        <color theme="0" tint="-0.1499679555650502"/>
      </bottom>
      <diagonal/>
    </border>
    <border>
      <left/>
      <right/>
      <top style="medium">
        <color theme="1" tint="0.3499862666707358"/>
      </top>
      <bottom style="thin">
        <color theme="0" tint="-0.1499679555650502"/>
      </bottom>
      <diagonal/>
    </border>
    <border>
      <left/>
      <right style="thin">
        <color theme="0" tint="-0.1499679555650502"/>
      </right>
      <top style="medium">
        <color theme="1" tint="0.3499862666707358"/>
      </top>
      <bottom style="thin">
        <color theme="0" tint="-0.1499679555650502"/>
      </bottom>
      <diagonal/>
    </border>
    <border>
      <left style="medium">
        <color theme="1" tint="0.3499862666707358"/>
      </left>
      <right/>
      <top style="medium">
        <color theme="1" tint="0.3499862666707358"/>
      </top>
      <bottom style="thin">
        <color theme="0" tint="-0.1499374370555742"/>
      </bottom>
      <diagonal/>
    </border>
    <border>
      <left/>
      <right style="thin">
        <color theme="0" tint="-0.1499374370555742"/>
      </right>
      <top style="medium">
        <color theme="1" tint="0.3499862666707358"/>
      </top>
      <bottom style="thin">
        <color theme="0" tint="-0.1499374370555742"/>
      </bottom>
      <diagonal/>
    </border>
    <border>
      <left/>
      <right/>
      <top style="medium">
        <color theme="1" tint="0.3499862666707358"/>
      </top>
      <bottom style="thin">
        <color theme="0" tint="-0.1499374370555742"/>
      </bottom>
      <diagonal/>
    </border>
    <border>
      <left style="thin">
        <color theme="0" tint="-0.1499679555650502"/>
      </left>
      <right/>
      <top/>
      <bottom/>
      <diagonal/>
    </border>
    <border>
      <left style="thin">
        <color indexed="64"/>
      </left>
      <right style="thin">
        <color indexed="64"/>
      </right>
      <top style="thin">
        <color indexed="64"/>
      </top>
      <bottom style="thin">
        <color indexed="64"/>
      </bottom>
      <diagonal/>
    </border>
    <border>
      <left style="medium">
        <color theme="1" tint="0.3499862666707358"/>
      </left>
      <right/>
      <top style="medium">
        <color theme="1" tint="0.3499862666707358"/>
      </top>
      <bottom style="thin">
        <color theme="0" tint="-0.1499069185460982"/>
      </bottom>
      <diagonal/>
    </border>
    <border>
      <left/>
      <right/>
      <top style="medium">
        <color theme="1" tint="0.3499862666707358"/>
      </top>
      <bottom style="thin">
        <color theme="0" tint="-0.1499069185460982"/>
      </bottom>
      <diagonal/>
    </border>
    <border>
      <left style="medium">
        <color theme="1" tint="0.3499862666707358"/>
      </left>
      <right/>
      <top style="medium">
        <color theme="1" tint="0.3499862666707358"/>
      </top>
      <bottom style="medium">
        <color theme="0" tint="-0.1499679555650502"/>
      </bottom>
      <diagonal/>
    </border>
    <border>
      <left/>
      <right/>
      <top style="medium">
        <color theme="1" tint="0.3499862666707358"/>
      </top>
      <bottom style="medium">
        <color theme="0" tint="-0.1499679555650502"/>
      </bottom>
      <diagonal/>
    </border>
    <border>
      <left/>
      <right style="medium">
        <color theme="0" tint="-0.1499679555650502"/>
      </right>
      <top style="medium">
        <color theme="1" tint="0.3499862666707358"/>
      </top>
      <bottom style="medium">
        <color theme="0" tint="-0.1499679555650502"/>
      </bottom>
      <diagonal/>
    </border>
    <border>
      <left/>
      <right style="thin">
        <color theme="0" tint="-0.1499679555650502"/>
      </right>
      <top/>
      <bottom/>
      <diagonal/>
    </border>
    <border>
      <left/>
      <right/>
      <top style="thin">
        <color theme="0" tint="-0.1499679555650502"/>
      </top>
      <bottom/>
      <diagonal/>
    </border>
    <border>
      <left/>
      <right style="thin">
        <color theme="0" tint="-0.1499069185460982"/>
      </right>
      <top style="medium">
        <color theme="1" tint="0.3499862666707358"/>
      </top>
      <bottom style="thin">
        <color theme="0" tint="-0.1499069185460982"/>
      </bottom>
      <diagonal/>
    </border>
    <border>
      <left style="medium">
        <color theme="1" tint="0.3499862666707358"/>
      </left>
      <right style="thin">
        <color theme="0" tint="-0.1499679555650502"/>
      </right>
      <top style="medium">
        <color theme="1" tint="0.3499862666707358"/>
      </top>
      <bottom style="thin">
        <color theme="0" tint="-0.1499679555650502"/>
      </bottom>
      <diagonal/>
    </border>
    <border>
      <left/>
      <right/>
      <top style="medium">
        <color theme="1" tint="0.3499862666707358"/>
      </top>
      <bottom/>
      <diagonal/>
    </border>
    <border>
      <left/>
      <right style="thin">
        <color theme="0" tint="-0.1499679555650502"/>
      </right>
      <top style="medium">
        <color theme="1" tint="0.3499862666707358"/>
      </top>
      <bottom/>
      <diagonal/>
    </border>
    <border>
      <left style="medium">
        <color theme="1" tint="0.3499862666707358"/>
      </left>
      <right style="thin">
        <color theme="0" tint="-0.1499069185460982"/>
      </right>
      <top style="medium">
        <color theme="1" tint="0.3499862666707358"/>
      </top>
      <bottom style="thin">
        <color theme="0" tint="-0.1499069185460982"/>
      </bottom>
      <diagonal/>
    </border>
    <border>
      <left/>
      <right style="thin">
        <color theme="0" tint="-0.1499069185460982"/>
      </right>
      <top style="medium">
        <color theme="1" tint="0.349986266670735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tint="0.3499862666707358"/>
      </left>
      <right style="thin">
        <color theme="0" tint="-0.1499374370555742"/>
      </right>
      <top style="medium">
        <color theme="1" tint="0.3499862666707358"/>
      </top>
      <bottom style="thin">
        <color theme="0" tint="-0.1499374370555742"/>
      </bottom>
      <diagonal/>
    </border>
    <border>
      <left/>
      <right style="thin">
        <color theme="0" tint="-0.1499374370555742"/>
      </right>
      <top style="medium">
        <color theme="1" tint="0.3499862666707358"/>
      </top>
      <bottom/>
      <diagonal/>
    </border>
    <border>
      <left style="thin">
        <color theme="0" tint="-0.1499679555650502"/>
      </left>
      <right style="medium">
        <color theme="1" tint="0.3499862666707358"/>
      </right>
      <top/>
      <bottom/>
      <diagonal/>
    </border>
    <border>
      <left style="thin">
        <color indexed="64"/>
      </left>
      <right style="thin">
        <color indexed="64"/>
      </right>
      <top/>
      <bottom/>
      <diagonal/>
    </border>
    <border>
      <left style="medium">
        <color theme="1" tint="0.3499862666707358"/>
      </left>
      <right style="medium">
        <color theme="0" tint="-0.1499679555650502"/>
      </right>
      <top style="medium">
        <color theme="1" tint="0.3499862666707358"/>
      </top>
      <bottom style="medium">
        <color theme="0" tint="-0.1499679555650502"/>
      </bottom>
      <diagonal/>
    </border>
    <border>
      <left/>
      <right style="medium">
        <color theme="0" tint="-0.1499679555650502"/>
      </right>
      <top style="medium">
        <color theme="1" tint="0.3499862666707358"/>
      </top>
      <bottom/>
      <diagonal/>
    </border>
  </borders>
  <cellStyleXfs count="1">
    <xf numFmtId="0" fontId="0" fillId="0" borderId="0"/>
  </cellStyleXfs>
  <cellXfs count="243">
    <xf numFmtId="0" fontId="0" fillId="0" borderId="0" pivotButton="0" quotePrefix="0" xfId="0"/>
    <xf numFmtId="0" fontId="0" fillId="0" borderId="1" pivotButton="0" quotePrefix="0" xfId="0"/>
    <xf numFmtId="0" fontId="3" fillId="0" borderId="0" pivotButton="0" quotePrefix="0" xfId="0"/>
    <xf numFmtId="164" fontId="3" fillId="0" borderId="0" pivotButton="0" quotePrefix="0" xfId="0"/>
    <xf numFmtId="164" fontId="3" fillId="0" borderId="0" applyAlignment="1" pivotButton="0" quotePrefix="0" xfId="0">
      <alignment horizontal="left"/>
    </xf>
    <xf numFmtId="0" fontId="3" fillId="0" borderId="0" applyAlignment="1" pivotButton="0" quotePrefix="0" xfId="0">
      <alignment horizontal="center"/>
    </xf>
    <xf numFmtId="0" fontId="4" fillId="0" borderId="0" applyAlignment="1" pivotButton="0" quotePrefix="0" xfId="0">
      <alignment horizontal="center"/>
    </xf>
    <xf numFmtId="0" fontId="0" fillId="0" borderId="0" applyAlignment="1" pivotButton="0" quotePrefix="0" xfId="0">
      <alignment horizontal="right"/>
    </xf>
    <xf numFmtId="0" fontId="0" fillId="0" borderId="2" pivotButton="0" quotePrefix="0" xfId="0"/>
    <xf numFmtId="0" fontId="4" fillId="0" borderId="3" applyAlignment="1" pivotButton="0" quotePrefix="0" xfId="0">
      <alignment horizontal="center"/>
    </xf>
    <xf numFmtId="0" fontId="0" fillId="0" borderId="3" pivotButton="0" quotePrefix="0" xfId="0"/>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xf numFmtId="0" fontId="0" fillId="0" borderId="9" pivotButton="0" quotePrefix="0" xfId="0"/>
    <xf numFmtId="0" fontId="3" fillId="0" borderId="0" applyAlignment="1" pivotButton="0" quotePrefix="0" xfId="0">
      <alignment horizontal="left"/>
    </xf>
    <xf numFmtId="0" fontId="0" fillId="0" borderId="0" applyAlignment="1" pivotButton="0" quotePrefix="0" xfId="0">
      <alignment horizontal="left"/>
    </xf>
    <xf numFmtId="0" fontId="5" fillId="0" borderId="3" pivotButton="0" quotePrefix="0" xfId="0"/>
    <xf numFmtId="0" fontId="0" fillId="0" borderId="0" applyAlignment="1" pivotButton="0" quotePrefix="0" xfId="0">
      <alignment horizontal="center"/>
    </xf>
    <xf numFmtId="0" fontId="0" fillId="0" borderId="12" pivotButton="0" quotePrefix="0" xfId="0"/>
    <xf numFmtId="0" fontId="6" fillId="0" borderId="3" pivotButton="0" quotePrefix="0" xfId="0"/>
    <xf numFmtId="0" fontId="0" fillId="2" borderId="6" pivotButton="0" quotePrefix="0" xfId="0"/>
    <xf numFmtId="0" fontId="7" fillId="0" borderId="20" applyAlignment="1" pivotButton="0" quotePrefix="0" xfId="0">
      <alignment horizontal="center"/>
    </xf>
    <xf numFmtId="0" fontId="11" fillId="0" borderId="20" applyAlignment="1" pivotButton="0" quotePrefix="0" xfId="0">
      <alignment horizontal="center"/>
    </xf>
    <xf numFmtId="0" fontId="0" fillId="0" borderId="20" applyAlignment="1" pivotButton="0" quotePrefix="0" xfId="0">
      <alignment horizontal="center"/>
    </xf>
    <xf numFmtId="0" fontId="10" fillId="0" borderId="20" pivotButton="0" quotePrefix="0" xfId="0"/>
    <xf numFmtId="0" fontId="12" fillId="0" borderId="0" applyAlignment="1" pivotButton="0" quotePrefix="0" xfId="0">
      <alignment vertical="center"/>
    </xf>
    <xf numFmtId="0" fontId="0" fillId="0" borderId="0" applyProtection="1" pivotButton="0" quotePrefix="0" xfId="0">
      <protection locked="1" hidden="1"/>
    </xf>
    <xf numFmtId="0" fontId="0" fillId="0" borderId="3" applyProtection="1" pivotButton="0" quotePrefix="0" xfId="0">
      <protection locked="1" hidden="1"/>
    </xf>
    <xf numFmtId="0" fontId="11" fillId="0" borderId="20" applyAlignment="1" pivotButton="0" quotePrefix="1" xfId="0">
      <alignment horizontal="center"/>
    </xf>
    <xf numFmtId="0" fontId="14" fillId="0" borderId="0" pivotButton="0" quotePrefix="0" xfId="0"/>
    <xf numFmtId="0" fontId="0" fillId="0" borderId="11" pivotButton="0" quotePrefix="0" xfId="0"/>
    <xf numFmtId="0" fontId="0" fillId="0" borderId="0" applyAlignment="1" pivotButton="0" quotePrefix="0" xfId="0">
      <alignment horizontal="left" vertical="center"/>
    </xf>
    <xf numFmtId="0" fontId="0" fillId="2" borderId="5" pivotButton="0" quotePrefix="0" xfId="0"/>
    <xf numFmtId="0" fontId="0" fillId="0" borderId="3" applyAlignment="1" pivotButton="0" quotePrefix="0" xfId="0">
      <alignment vertical="top"/>
    </xf>
    <xf numFmtId="0" fontId="0" fillId="0" borderId="0" applyAlignment="1" pivotButton="0" quotePrefix="0" xfId="0">
      <alignment vertical="top"/>
    </xf>
    <xf numFmtId="0" fontId="5" fillId="0" borderId="3" applyAlignment="1" pivotButton="0" quotePrefix="0" xfId="0">
      <alignment horizontal="center"/>
    </xf>
    <xf numFmtId="0" fontId="5" fillId="0" borderId="0" applyAlignment="1" pivotButton="0" quotePrefix="0" xfId="0">
      <alignment horizontal="center"/>
    </xf>
    <xf numFmtId="0" fontId="4" fillId="0" borderId="7" applyAlignment="1" pivotButton="0" quotePrefix="0" xfId="0">
      <alignment horizontal="center"/>
    </xf>
    <xf numFmtId="0" fontId="4" fillId="0" borderId="8" applyAlignment="1" pivotButton="0" quotePrefix="0" xfId="0">
      <alignment horizontal="center"/>
    </xf>
    <xf numFmtId="0" fontId="7" fillId="0" borderId="8" applyAlignment="1" applyProtection="1" pivotButton="0" quotePrefix="0" xfId="0">
      <alignment vertical="center" wrapText="1"/>
      <protection locked="1" hidden="1"/>
    </xf>
    <xf numFmtId="0" fontId="7" fillId="0" borderId="0" applyAlignment="1" applyProtection="1" pivotButton="0" quotePrefix="0" xfId="0">
      <alignment vertical="center" wrapText="1"/>
      <protection locked="1" hidden="1"/>
    </xf>
    <xf numFmtId="0" fontId="0" fillId="0" borderId="0" applyAlignment="1" applyProtection="1" pivotButton="0" quotePrefix="0" xfId="0">
      <alignment horizontal="center"/>
      <protection locked="1" hidden="1"/>
    </xf>
    <xf numFmtId="0" fontId="17" fillId="0" borderId="0" pivotButton="0" quotePrefix="1" xfId="0"/>
    <xf numFmtId="0" fontId="0" fillId="0" borderId="4" applyAlignment="1" pivotButton="0" quotePrefix="0" xfId="0">
      <alignment horizontal="left" vertical="center"/>
    </xf>
    <xf numFmtId="0" fontId="0" fillId="0" borderId="3" applyAlignment="1" pivotButton="0" quotePrefix="0" xfId="0">
      <alignment vertical="center"/>
    </xf>
    <xf numFmtId="0" fontId="0" fillId="0" borderId="0" applyAlignment="1" pivotButton="0" quotePrefix="0" xfId="0">
      <alignment vertical="center"/>
    </xf>
    <xf numFmtId="0" fontId="0" fillId="0" borderId="2" applyAlignment="1" pivotButton="0" quotePrefix="0" xfId="0">
      <alignment vertic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0" fillId="0" borderId="0" applyAlignment="1" pivotButton="0" quotePrefix="0" xfId="0">
      <alignment horizontal="left" wrapText="1"/>
    </xf>
    <xf numFmtId="0" fontId="19" fillId="0" borderId="0" pivotButton="0" quotePrefix="0" xfId="0"/>
    <xf numFmtId="0" fontId="5" fillId="0" borderId="0" pivotButton="0" quotePrefix="0" xfId="0"/>
    <xf numFmtId="0" fontId="11" fillId="9" borderId="20" applyAlignment="1" pivotButton="0" quotePrefix="0" xfId="0">
      <alignment horizontal="center"/>
    </xf>
    <xf numFmtId="0" fontId="0" fillId="9" borderId="20" applyAlignment="1" pivotButton="0" quotePrefix="0" xfId="0">
      <alignment horizontal="center"/>
    </xf>
    <xf numFmtId="0" fontId="0" fillId="9" borderId="0" pivotButton="0" quotePrefix="0" xfId="0"/>
    <xf numFmtId="165" fontId="3" fillId="0" borderId="0" applyAlignment="1" pivotButton="0" quotePrefix="0" xfId="0">
      <alignment horizontal="left" vertical="center"/>
    </xf>
    <xf numFmtId="166" fontId="3" fillId="0" borderId="0" applyAlignment="1" pivotButton="0" quotePrefix="0" xfId="0">
      <alignment horizontal="left"/>
    </xf>
    <xf numFmtId="0" fontId="3" fillId="0" borderId="0" applyAlignment="1" pivotButton="0" quotePrefix="0" xfId="0">
      <alignment vertical="center"/>
    </xf>
    <xf numFmtId="0" fontId="0" fillId="8" borderId="0" applyAlignment="1" pivotButton="0" quotePrefix="0" xfId="0">
      <alignment horizontal="center"/>
    </xf>
    <xf numFmtId="0" fontId="15" fillId="0" borderId="0" applyAlignment="1" pivotButton="0" quotePrefix="0" xfId="0">
      <alignment horizontal="left" vertical="center" shrinkToFit="1"/>
    </xf>
    <xf numFmtId="0" fontId="0" fillId="0" borderId="20" applyAlignment="1" pivotButton="0" quotePrefix="0" xfId="0">
      <alignment horizontal="center" vertical="center"/>
    </xf>
    <xf numFmtId="14" fontId="0" fillId="0" borderId="20" applyAlignment="1" pivotButton="0" quotePrefix="0" xfId="0">
      <alignment horizontal="center" vertical="center"/>
    </xf>
    <xf numFmtId="0" fontId="0" fillId="0" borderId="20" applyAlignment="1" pivotButton="0" quotePrefix="0" xfId="0">
      <alignment horizontal="center" vertical="center" wrapText="1"/>
    </xf>
    <xf numFmtId="0" fontId="5" fillId="10" borderId="20" applyAlignment="1" pivotButton="0" quotePrefix="0" xfId="0">
      <alignment horizontal="center" vertical="center"/>
    </xf>
    <xf numFmtId="0" fontId="0" fillId="0" borderId="3" applyAlignment="1" pivotButton="0" quotePrefix="0" xfId="0">
      <alignment horizontal="right" vertical="center" wrapText="1"/>
    </xf>
    <xf numFmtId="0" fontId="0" fillId="0" borderId="0" applyAlignment="1" pivotButton="0" quotePrefix="0" xfId="0">
      <alignment horizontal="right" vertical="center" wrapText="1"/>
    </xf>
    <xf numFmtId="0" fontId="0" fillId="0" borderId="2" applyAlignment="1" pivotButton="0" quotePrefix="0" xfId="0">
      <alignment horizontal="right" vertical="center" wrapText="1"/>
    </xf>
    <xf numFmtId="0" fontId="0" fillId="0" borderId="0" applyAlignment="1" pivotButton="0" quotePrefix="0" xfId="0">
      <alignment horizontal="center"/>
    </xf>
    <xf numFmtId="0" fontId="0" fillId="0" borderId="12" applyAlignment="1" pivotButton="0" quotePrefix="0" xfId="0">
      <alignment horizontal="center"/>
    </xf>
    <xf numFmtId="0" fontId="0" fillId="0" borderId="13" applyAlignment="1" applyProtection="1" pivotButton="0" quotePrefix="0" xfId="0">
      <alignment horizontal="center"/>
      <protection locked="0" hidden="0"/>
    </xf>
    <xf numFmtId="0" fontId="0" fillId="0" borderId="15" applyAlignment="1" applyProtection="1" pivotButton="0" quotePrefix="0" xfId="0">
      <alignment horizontal="center"/>
      <protection locked="0" hidden="0"/>
    </xf>
    <xf numFmtId="0" fontId="0" fillId="0" borderId="14" applyAlignment="1" applyProtection="1" pivotButton="0" quotePrefix="0" xfId="0">
      <alignment horizontal="center"/>
      <protection locked="0" hidden="0"/>
    </xf>
    <xf numFmtId="0" fontId="0" fillId="0" borderId="3" applyAlignment="1" applyProtection="1" pivotButton="0" quotePrefix="0" xfId="0">
      <alignment horizontal="left"/>
      <protection locked="1" hidden="1"/>
    </xf>
    <xf numFmtId="0" fontId="0" fillId="0" borderId="0" applyAlignment="1" applyProtection="1" pivotButton="0" quotePrefix="0" xfId="0">
      <alignment horizontal="left"/>
      <protection locked="1" hidden="1"/>
    </xf>
    <xf numFmtId="0" fontId="3" fillId="0" borderId="13" applyAlignment="1" applyProtection="1" pivotButton="0" quotePrefix="0" xfId="0">
      <alignment horizontal="center" vertical="center"/>
      <protection locked="0" hidden="0"/>
    </xf>
    <xf numFmtId="0" fontId="3" fillId="0" borderId="14" applyAlignment="1" applyProtection="1" pivotButton="0" quotePrefix="0" xfId="0">
      <alignment horizontal="center" vertical="center"/>
      <protection locked="0" hidden="0"/>
    </xf>
    <xf numFmtId="0" fontId="3" fillId="0" borderId="15" applyAlignment="1" applyProtection="1" pivotButton="0" quotePrefix="0" xfId="0">
      <alignment horizontal="center" vertical="center"/>
      <protection locked="0" hidden="0"/>
    </xf>
    <xf numFmtId="0" fontId="15" fillId="0" borderId="13" applyAlignment="1" applyProtection="1" pivotButton="0" quotePrefix="0" xfId="0">
      <alignment horizontal="left" vertical="center" shrinkToFit="1"/>
      <protection locked="0" hidden="0"/>
    </xf>
    <xf numFmtId="0" fontId="15" fillId="0" borderId="14" applyAlignment="1" applyProtection="1" pivotButton="0" quotePrefix="0" xfId="0">
      <alignment horizontal="left" vertical="center" shrinkToFit="1"/>
      <protection locked="0" hidden="0"/>
    </xf>
    <xf numFmtId="0" fontId="15" fillId="0" borderId="15" applyAlignment="1" applyProtection="1" pivotButton="0" quotePrefix="0" xfId="0">
      <alignment horizontal="left" vertical="center" shrinkToFit="1"/>
      <protection locked="0" hidden="0"/>
    </xf>
    <xf numFmtId="0" fontId="5" fillId="0" borderId="4" applyAlignment="1" pivotButton="0" quotePrefix="0" xfId="0">
      <alignment horizontal="center"/>
    </xf>
    <xf numFmtId="0" fontId="5" fillId="0" borderId="1" applyAlignment="1" pivotButton="0" quotePrefix="0" xfId="0">
      <alignment horizontal="center"/>
    </xf>
    <xf numFmtId="0" fontId="5" fillId="6" borderId="0" applyAlignment="1" pivotButton="0" quotePrefix="0" xfId="0">
      <alignment horizontal="center" vertical="center"/>
    </xf>
    <xf numFmtId="0" fontId="3" fillId="0" borderId="16" applyAlignment="1" applyProtection="1" pivotButton="0" quotePrefix="0" xfId="0">
      <alignment horizontal="center" vertical="center"/>
      <protection locked="0" hidden="0"/>
    </xf>
    <xf numFmtId="0" fontId="3" fillId="0" borderId="17" applyAlignment="1" applyProtection="1" pivotButton="0" quotePrefix="0" xfId="0">
      <alignment horizontal="center" vertical="center"/>
      <protection locked="0" hidden="0"/>
    </xf>
    <xf numFmtId="0" fontId="15" fillId="0" borderId="13" applyAlignment="1" applyProtection="1" pivotButton="0" quotePrefix="0" xfId="0">
      <alignment horizontal="left"/>
      <protection locked="0" hidden="0"/>
    </xf>
    <xf numFmtId="0" fontId="15" fillId="0" borderId="14" applyAlignment="1" applyProtection="1" pivotButton="0" quotePrefix="0" xfId="0">
      <alignment horizontal="left"/>
      <protection locked="0" hidden="0"/>
    </xf>
    <xf numFmtId="0" fontId="15" fillId="0" borderId="15" applyAlignment="1" applyProtection="1" pivotButton="0" quotePrefix="0" xfId="0">
      <alignment horizontal="left"/>
      <protection locked="0" hidden="0"/>
    </xf>
    <xf numFmtId="0" fontId="3" fillId="0" borderId="13" applyAlignment="1" applyProtection="1" pivotButton="0" quotePrefix="0" xfId="0">
      <alignment horizontal="center"/>
      <protection locked="0" hidden="0"/>
    </xf>
    <xf numFmtId="0" fontId="3" fillId="0" borderId="14" applyAlignment="1" applyProtection="1" pivotButton="0" quotePrefix="0" xfId="0">
      <alignment horizontal="center"/>
      <protection locked="0" hidden="0"/>
    </xf>
    <xf numFmtId="0" fontId="3" fillId="0" borderId="15" applyAlignment="1" applyProtection="1" pivotButton="0" quotePrefix="0" xfId="0">
      <alignment horizontal="center"/>
      <protection locked="0" hidden="0"/>
    </xf>
    <xf numFmtId="0" fontId="0" fillId="0" borderId="0" applyAlignment="1" pivotButton="0" quotePrefix="0" xfId="0">
      <alignment horizontal="left"/>
    </xf>
    <xf numFmtId="0" fontId="0" fillId="0" borderId="26" applyAlignment="1" pivotButton="0" quotePrefix="0" xfId="0">
      <alignment horizontal="left"/>
    </xf>
    <xf numFmtId="0" fontId="13" fillId="0" borderId="13" applyAlignment="1" applyProtection="1" pivotButton="0" quotePrefix="0" xfId="0">
      <alignment horizontal="center"/>
      <protection locked="0" hidden="0"/>
    </xf>
    <xf numFmtId="0" fontId="13" fillId="0" borderId="14" applyAlignment="1" applyProtection="1" pivotButton="0" quotePrefix="0" xfId="0">
      <alignment horizontal="center"/>
      <protection locked="0" hidden="0"/>
    </xf>
    <xf numFmtId="0" fontId="13" fillId="0" borderId="15" applyAlignment="1" applyProtection="1" pivotButton="0" quotePrefix="0" xfId="0">
      <alignment horizontal="center"/>
      <protection locked="0" hidden="0"/>
    </xf>
    <xf numFmtId="0" fontId="3" fillId="0" borderId="13" applyAlignment="1" applyProtection="1" pivotButton="0" quotePrefix="0" xfId="0">
      <alignment horizontal="center" shrinkToFit="1"/>
      <protection locked="0" hidden="0"/>
    </xf>
    <xf numFmtId="0" fontId="3" fillId="0" borderId="14" applyAlignment="1" applyProtection="1" pivotButton="0" quotePrefix="0" xfId="0">
      <alignment horizontal="center" shrinkToFit="1"/>
      <protection locked="0" hidden="0"/>
    </xf>
    <xf numFmtId="0" fontId="3" fillId="0" borderId="15" applyAlignment="1" applyProtection="1" pivotButton="0" quotePrefix="0" xfId="0">
      <alignment horizontal="center" shrinkToFit="1"/>
      <protection locked="0" hidden="0"/>
    </xf>
    <xf numFmtId="0" fontId="3" fillId="0" borderId="23" applyAlignment="1" applyProtection="1" pivotButton="0" quotePrefix="0" xfId="0">
      <alignment horizontal="left" vertical="center"/>
      <protection locked="0" hidden="0"/>
    </xf>
    <xf numFmtId="0" fontId="3" fillId="0" borderId="24" applyAlignment="1" applyProtection="1" pivotButton="0" quotePrefix="0" xfId="0">
      <alignment horizontal="left" vertical="center"/>
      <protection locked="0" hidden="0"/>
    </xf>
    <xf numFmtId="0" fontId="3" fillId="0" borderId="25" applyAlignment="1" applyProtection="1" pivotButton="0" quotePrefix="0" xfId="0">
      <alignment horizontal="left" vertical="center"/>
      <protection locked="0" hidden="0"/>
    </xf>
    <xf numFmtId="0" fontId="3" fillId="0" borderId="14" applyAlignment="1" pivotButton="0" quotePrefix="0" xfId="0">
      <alignment horizontal="left" vertical="center"/>
    </xf>
    <xf numFmtId="0" fontId="3" fillId="0" borderId="15" applyAlignment="1" pivotButton="0" quotePrefix="0" xfId="0">
      <alignment horizontal="left" vertical="center"/>
    </xf>
    <xf numFmtId="0" fontId="3" fillId="0" borderId="18" applyAlignment="1" applyProtection="1" pivotButton="0" quotePrefix="0" xfId="0">
      <alignment horizontal="center" vertical="center"/>
      <protection locked="0" hidden="0"/>
    </xf>
    <xf numFmtId="0" fontId="0" fillId="0" borderId="0" applyAlignment="1" pivotButton="0" quotePrefix="0" xfId="0">
      <alignment horizontal="right"/>
    </xf>
    <xf numFmtId="0" fontId="0" fillId="0" borderId="12" applyAlignment="1" pivotButton="0" quotePrefix="0" xfId="0">
      <alignment horizontal="right"/>
    </xf>
    <xf numFmtId="0" fontId="3" fillId="0" borderId="13" applyAlignment="1" applyProtection="1" pivotButton="0" quotePrefix="0" xfId="0">
      <alignment horizontal="left" vertical="center"/>
      <protection locked="0" hidden="0"/>
    </xf>
    <xf numFmtId="0" fontId="3" fillId="0" borderId="14" applyAlignment="1" applyProtection="1" pivotButton="0" quotePrefix="0" xfId="0">
      <alignment horizontal="left" vertical="center"/>
      <protection locked="0" hidden="0"/>
    </xf>
    <xf numFmtId="0" fontId="3" fillId="0" borderId="15" applyAlignment="1" applyProtection="1" pivotButton="0" quotePrefix="0" xfId="0">
      <alignment horizontal="left" vertical="center"/>
      <protection locked="0" hidden="0"/>
    </xf>
    <xf numFmtId="167" fontId="3" fillId="0" borderId="13" applyAlignment="1" applyProtection="1" pivotButton="0" quotePrefix="0" xfId="0">
      <alignment horizontal="center" vertical="center"/>
      <protection locked="0" hidden="0"/>
    </xf>
    <xf numFmtId="167" fontId="3" fillId="0" borderId="14" applyAlignment="1" applyProtection="1" pivotButton="0" quotePrefix="0" xfId="0">
      <alignment horizontal="center" vertical="center"/>
      <protection locked="0" hidden="0"/>
    </xf>
    <xf numFmtId="167" fontId="3" fillId="0" borderId="15" applyAlignment="1" applyProtection="1" pivotButton="0" quotePrefix="0" xfId="0">
      <alignment horizontal="center" vertical="center"/>
      <protection locked="0" hidden="0"/>
    </xf>
    <xf numFmtId="0" fontId="3" fillId="0" borderId="13" applyAlignment="1" applyProtection="1" pivotButton="0" quotePrefix="0" xfId="0">
      <alignment horizontal="left"/>
      <protection locked="0" hidden="0"/>
    </xf>
    <xf numFmtId="0" fontId="3" fillId="0" borderId="14" applyAlignment="1" applyProtection="1" pivotButton="0" quotePrefix="0" xfId="0">
      <alignment horizontal="left"/>
      <protection locked="0" hidden="0"/>
    </xf>
    <xf numFmtId="0" fontId="3" fillId="0" borderId="15" applyAlignment="1" applyProtection="1" pivotButton="0" quotePrefix="0" xfId="0">
      <alignment horizontal="left"/>
      <protection locked="0" hidden="0"/>
    </xf>
    <xf numFmtId="164" fontId="3" fillId="0" borderId="13" applyAlignment="1" applyProtection="1" pivotButton="0" quotePrefix="0" xfId="0">
      <alignment horizontal="left"/>
      <protection locked="0" hidden="0"/>
    </xf>
    <xf numFmtId="164" fontId="3" fillId="0" borderId="14" applyAlignment="1" applyProtection="1" pivotButton="0" quotePrefix="0" xfId="0">
      <alignment horizontal="left"/>
      <protection locked="0" hidden="0"/>
    </xf>
    <xf numFmtId="164" fontId="3" fillId="0" borderId="15" applyAlignment="1" applyProtection="1" pivotButton="0" quotePrefix="0" xfId="0">
      <alignment horizontal="left"/>
      <protection locked="0" hidden="0"/>
    </xf>
    <xf numFmtId="0" fontId="4" fillId="2" borderId="4" applyAlignment="1" pivotButton="0" quotePrefix="0" xfId="0">
      <alignment horizontal="center"/>
    </xf>
    <xf numFmtId="0" fontId="4" fillId="2" borderId="1" applyAlignment="1" pivotButton="0" quotePrefix="0" xfId="0">
      <alignment horizontal="center"/>
    </xf>
    <xf numFmtId="165" fontId="3" fillId="0" borderId="13" applyAlignment="1" applyProtection="1" pivotButton="0" quotePrefix="0" xfId="0">
      <alignment horizontal="left" vertical="center"/>
      <protection locked="0" hidden="0"/>
    </xf>
    <xf numFmtId="165" fontId="3" fillId="0" borderId="14" applyAlignment="1" applyProtection="1" pivotButton="0" quotePrefix="0" xfId="0">
      <alignment horizontal="left" vertical="center"/>
      <protection locked="0" hidden="0"/>
    </xf>
    <xf numFmtId="165" fontId="3" fillId="0" borderId="15" applyAlignment="1" applyProtection="1" pivotButton="0" quotePrefix="0" xfId="0">
      <alignment horizontal="left" vertical="center"/>
      <protection locked="0" hidden="0"/>
    </xf>
    <xf numFmtId="0" fontId="3" fillId="0" borderId="16" applyAlignment="1" applyProtection="1" pivotButton="0" quotePrefix="0" xfId="0">
      <alignment horizontal="center"/>
      <protection locked="0" hidden="0"/>
    </xf>
    <xf numFmtId="0" fontId="3" fillId="0" borderId="17" applyAlignment="1" applyProtection="1" pivotButton="0" quotePrefix="0" xfId="0">
      <alignment horizontal="center"/>
      <protection locked="0" hidden="0"/>
    </xf>
    <xf numFmtId="0" fontId="3" fillId="0" borderId="13" applyProtection="1" pivotButton="0" quotePrefix="0" xfId="0">
      <protection locked="0" hidden="0"/>
    </xf>
    <xf numFmtId="0" fontId="3" fillId="0" borderId="14" applyProtection="1" pivotButton="0" quotePrefix="0" xfId="0">
      <protection locked="0" hidden="0"/>
    </xf>
    <xf numFmtId="0" fontId="3" fillId="0" borderId="15" applyProtection="1" pivotButton="0" quotePrefix="0" xfId="0">
      <protection locked="0" hidden="0"/>
    </xf>
    <xf numFmtId="166" fontId="3" fillId="0" borderId="13" applyAlignment="1" applyProtection="1" pivotButton="0" quotePrefix="0" xfId="0">
      <alignment horizontal="left"/>
      <protection locked="0" hidden="0"/>
    </xf>
    <xf numFmtId="166" fontId="3" fillId="0" borderId="14" applyAlignment="1" applyProtection="1" pivotButton="0" quotePrefix="0" xfId="0">
      <alignment horizontal="left"/>
      <protection locked="0" hidden="0"/>
    </xf>
    <xf numFmtId="166" fontId="3" fillId="0" borderId="15" applyAlignment="1" applyProtection="1" pivotButton="0" quotePrefix="0" xfId="0">
      <alignment horizontal="left"/>
      <protection locked="0" hidden="0"/>
    </xf>
    <xf numFmtId="0" fontId="3" fillId="3" borderId="16" applyAlignment="1" applyProtection="1" pivotButton="0" quotePrefix="0" xfId="0">
      <alignment horizontal="center"/>
      <protection locked="1" hidden="1"/>
    </xf>
    <xf numFmtId="0" fontId="3" fillId="3" borderId="18" applyAlignment="1" applyProtection="1" pivotButton="0" quotePrefix="0" xfId="0">
      <alignment horizontal="center"/>
      <protection locked="1" hidden="1"/>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0" fillId="5" borderId="0" applyAlignment="1" pivotButton="0" quotePrefix="0" xfId="0">
      <alignment horizontal="left"/>
    </xf>
    <xf numFmtId="0" fontId="0" fillId="0" borderId="11" applyAlignment="1" pivotButton="0" quotePrefix="0" xfId="0">
      <alignment horizontal="left"/>
    </xf>
    <xf numFmtId="0" fontId="0" fillId="0" borderId="6" applyAlignment="1" pivotButton="0" quotePrefix="0" xfId="0">
      <alignment horizontal="left"/>
    </xf>
    <xf numFmtId="0" fontId="0" fillId="0" borderId="10" applyAlignment="1" pivotButton="0" quotePrefix="0" xfId="0">
      <alignment horizontal="left" vertical="center" wrapText="1"/>
    </xf>
    <xf numFmtId="0" fontId="0" fillId="0" borderId="11" applyAlignment="1" pivotButton="0" quotePrefix="0" xfId="0">
      <alignment horizontal="left" vertical="center" wrapText="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0" fillId="0" borderId="5" applyAlignment="1" pivotButton="0" quotePrefix="0" xfId="0">
      <alignment horizontal="left"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9" applyAlignment="1" pivotButton="0" quotePrefix="0" xfId="0">
      <alignment horizontal="left" vertical="center" wrapText="1"/>
    </xf>
    <xf numFmtId="0" fontId="0" fillId="0" borderId="3" applyAlignment="1" pivotButton="0" quotePrefix="0" xfId="0">
      <alignment horizontal="left" vertical="center"/>
    </xf>
    <xf numFmtId="0" fontId="0" fillId="0" borderId="0" applyAlignment="1" pivotButton="0" quotePrefix="0" xfId="0">
      <alignment horizontal="left" vertical="center"/>
    </xf>
    <xf numFmtId="0" fontId="4" fillId="2" borderId="20" applyAlignment="1" pivotButton="0" quotePrefix="0" xfId="0">
      <alignment horizontal="center"/>
    </xf>
    <xf numFmtId="0" fontId="0" fillId="0" borderId="1" applyAlignment="1" pivotButton="0" quotePrefix="0" xfId="0">
      <alignment horizontal="center" vertical="top"/>
    </xf>
    <xf numFmtId="0" fontId="0" fillId="0" borderId="27" applyAlignment="1" pivotButton="0" quotePrefix="0" xfId="0">
      <alignment horizontal="left" vertical="top"/>
    </xf>
    <xf numFmtId="0" fontId="4" fillId="2" borderId="10" applyAlignment="1" pivotButton="0" quotePrefix="0" xfId="0">
      <alignment horizontal="center"/>
    </xf>
    <xf numFmtId="0" fontId="4" fillId="2" borderId="11" applyAlignment="1" pivotButton="0" quotePrefix="0" xfId="0">
      <alignment horizontal="center"/>
    </xf>
    <xf numFmtId="0" fontId="4" fillId="2" borderId="6" applyAlignment="1" pivotButton="0" quotePrefix="0" xfId="0">
      <alignment horizont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top" wrapText="1"/>
    </xf>
    <xf numFmtId="0" fontId="0" fillId="0" borderId="0" applyAlignment="1" pivotButton="0" quotePrefix="0" xfId="0">
      <alignment horizontal="left" vertical="top" wrapText="1"/>
    </xf>
    <xf numFmtId="0" fontId="0" fillId="0" borderId="21" applyAlignment="1" applyProtection="1" pivotButton="0" quotePrefix="0" xfId="0">
      <alignment horizontal="center"/>
      <protection locked="0" hidden="0"/>
    </xf>
    <xf numFmtId="0" fontId="0" fillId="0" borderId="22" applyAlignment="1" applyProtection="1" pivotButton="0" quotePrefix="0" xfId="0">
      <alignment horizontal="center"/>
      <protection locked="0" hidden="0"/>
    </xf>
    <xf numFmtId="0" fontId="0" fillId="0" borderId="28" applyAlignment="1" applyProtection="1" pivotButton="0" quotePrefix="0" xfId="0">
      <alignment horizontal="center"/>
      <protection locked="0" hidden="0"/>
    </xf>
    <xf numFmtId="0" fontId="7" fillId="0" borderId="8" applyAlignment="1" applyProtection="1" pivotButton="0" quotePrefix="0" xfId="0">
      <alignment horizontal="center" vertical="center" wrapText="1"/>
      <protection locked="1" hidden="1"/>
    </xf>
    <xf numFmtId="0" fontId="7" fillId="0" borderId="0" applyAlignment="1" applyProtection="1" pivotButton="0" quotePrefix="0" xfId="0">
      <alignment horizontal="center" vertical="center" wrapText="1"/>
      <protection locked="1" hidden="1"/>
    </xf>
    <xf numFmtId="0" fontId="0" fillId="0" borderId="7" applyAlignment="1" pivotButton="0" quotePrefix="0" xfId="0">
      <alignment horizont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4" applyAlignment="1" pivotButton="0" quotePrefix="0" xfId="0">
      <alignment horizontal="center"/>
    </xf>
    <xf numFmtId="0" fontId="0" fillId="0" borderId="1" applyAlignment="1" pivotButton="0" quotePrefix="0" xfId="0">
      <alignment horizontal="center"/>
    </xf>
    <xf numFmtId="0" fontId="0" fillId="0" borderId="5" applyAlignment="1" pivotButton="0" quotePrefix="0" xfId="0">
      <alignment horizontal="center"/>
    </xf>
    <xf numFmtId="0" fontId="8" fillId="0" borderId="1" applyAlignment="1" pivotButton="0" quotePrefix="0" xfId="0">
      <alignment horizontal="center" vertical="center"/>
    </xf>
    <xf numFmtId="0" fontId="3" fillId="0" borderId="16" applyAlignment="1" applyProtection="1" pivotButton="0" quotePrefix="0" xfId="0">
      <alignment horizontal="left"/>
      <protection locked="0" hidden="0"/>
    </xf>
    <xf numFmtId="0" fontId="3" fillId="0" borderId="18" applyAlignment="1" applyProtection="1" pivotButton="0" quotePrefix="0" xfId="0">
      <alignment horizontal="left"/>
      <protection locked="0" hidden="0"/>
    </xf>
    <xf numFmtId="0" fontId="3" fillId="0" borderId="17" applyAlignment="1" applyProtection="1" pivotButton="0" quotePrefix="0" xfId="0">
      <alignment horizontal="left"/>
      <protection locked="0" hidden="0"/>
    </xf>
    <xf numFmtId="0" fontId="3" fillId="4" borderId="13" applyAlignment="1" applyProtection="1" pivotButton="0" quotePrefix="0" xfId="0">
      <alignment horizontal="center" vertical="center"/>
      <protection locked="0" hidden="0"/>
    </xf>
    <xf numFmtId="0" fontId="3" fillId="4" borderId="14" applyAlignment="1" applyProtection="1" pivotButton="0" quotePrefix="0" xfId="0">
      <alignment horizontal="center" vertical="center"/>
      <protection locked="0" hidden="0"/>
    </xf>
    <xf numFmtId="0" fontId="3" fillId="4" borderId="15" applyAlignment="1" applyProtection="1" pivotButton="0" quotePrefix="0" xfId="0">
      <alignment horizontal="center" vertical="center"/>
      <protection locked="0" hidden="0"/>
    </xf>
    <xf numFmtId="0" fontId="3" fillId="4" borderId="16" applyAlignment="1" applyProtection="1" pivotButton="0" quotePrefix="0" xfId="0">
      <alignment horizontal="center"/>
      <protection locked="0" hidden="0"/>
    </xf>
    <xf numFmtId="0" fontId="3" fillId="4" borderId="17" applyAlignment="1" applyProtection="1" pivotButton="0" quotePrefix="0" xfId="0">
      <alignment horizontal="center"/>
      <protection locked="0" hidden="0"/>
    </xf>
    <xf numFmtId="0" fontId="0" fillId="0" borderId="19" applyAlignment="1" pivotButton="0" quotePrefix="0" xfId="0">
      <alignment horizontal="right"/>
    </xf>
    <xf numFmtId="0" fontId="7" fillId="0" borderId="0" applyAlignment="1" applyProtection="1" pivotButton="0" quotePrefix="0" xfId="0">
      <alignment horizontal="center" vertical="center" shrinkToFit="1"/>
      <protection locked="1" hidden="1"/>
    </xf>
    <xf numFmtId="0" fontId="9" fillId="0" borderId="0" applyAlignment="1" pivotButton="0" quotePrefix="0" xfId="0">
      <alignment horizontal="center" vertical="center"/>
    </xf>
    <xf numFmtId="0" fontId="0" fillId="0" borderId="0" applyAlignment="1" pivotButton="0" quotePrefix="0" xfId="0">
      <alignment horizontal="left" wrapText="1"/>
    </xf>
    <xf numFmtId="0" fontId="0" fillId="0" borderId="0" applyAlignment="1" pivotButton="0" quotePrefix="0" xfId="0">
      <alignment wrapText="1"/>
    </xf>
    <xf numFmtId="0" fontId="0" fillId="0" borderId="11" applyAlignment="1" pivotButton="0" quotePrefix="0" xfId="0">
      <alignment horizontal="center"/>
    </xf>
    <xf numFmtId="0" fontId="0" fillId="0" borderId="10" applyAlignment="1" pivotButton="0" quotePrefix="0" xfId="0">
      <alignment horizontal="center"/>
    </xf>
    <xf numFmtId="0" fontId="0" fillId="7" borderId="11" applyAlignment="1" pivotButton="0" quotePrefix="0" xfId="0">
      <alignment horizontal="center"/>
    </xf>
    <xf numFmtId="0" fontId="0" fillId="7" borderId="10" applyAlignment="1" pivotButton="0" quotePrefix="0" xfId="0">
      <alignment horizontal="center"/>
    </xf>
    <xf numFmtId="0" fontId="7" fillId="0" borderId="20" applyAlignment="1" pivotButton="0" quotePrefix="0" xfId="0">
      <alignment horizontal="center"/>
    </xf>
    <xf numFmtId="0" fontId="7" fillId="0" borderId="20" applyAlignment="1" pivotButton="0" quotePrefix="0" xfId="0">
      <alignment horizontal="center" vertical="center"/>
    </xf>
    <xf numFmtId="0" fontId="10" fillId="0" borderId="20" applyAlignment="1" pivotButton="0" quotePrefix="0" xfId="0">
      <alignment horizontal="center"/>
    </xf>
    <xf numFmtId="0" fontId="0" fillId="0" borderId="8" applyProtection="1" pivotButton="0" quotePrefix="0" xfId="0">
      <protection locked="1" hidden="1"/>
    </xf>
    <xf numFmtId="0" fontId="3" fillId="0" borderId="29"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15" applyProtection="1" pivotButton="0" quotePrefix="0" xfId="0">
      <protection locked="0" hidden="0"/>
    </xf>
    <xf numFmtId="0" fontId="3" fillId="0" borderId="29" applyAlignment="1" applyProtection="1" pivotButton="0" quotePrefix="0" xfId="0">
      <alignment horizontal="center"/>
      <protection locked="0" hidden="0"/>
    </xf>
    <xf numFmtId="0" fontId="3" fillId="0" borderId="29" applyAlignment="1" applyProtection="1" pivotButton="0" quotePrefix="0" xfId="0">
      <alignment horizontal="left"/>
      <protection locked="0" hidden="0"/>
    </xf>
    <xf numFmtId="0" fontId="3" fillId="0" borderId="29" applyAlignment="1" applyProtection="1" pivotButton="0" quotePrefix="0" xfId="0">
      <alignment horizontal="left" vertical="center"/>
      <protection locked="0" hidden="0"/>
    </xf>
    <xf numFmtId="164" fontId="3" fillId="0" borderId="29" applyAlignment="1" applyProtection="1" pivotButton="0" quotePrefix="0" xfId="0">
      <alignment horizontal="left"/>
      <protection locked="0" hidden="0"/>
    </xf>
    <xf numFmtId="167" fontId="3" fillId="0" borderId="29" applyAlignment="1" applyProtection="1" pivotButton="0" quotePrefix="0" xfId="0">
      <alignment horizontal="center" vertical="center"/>
      <protection locked="0" hidden="0"/>
    </xf>
    <xf numFmtId="165" fontId="3" fillId="0" borderId="29" applyAlignment="1" applyProtection="1" pivotButton="0" quotePrefix="0" xfId="0">
      <alignment horizontal="left" vertical="center"/>
      <protection locked="0" hidden="0"/>
    </xf>
    <xf numFmtId="166" fontId="3" fillId="0" borderId="29" applyAlignment="1" applyProtection="1" pivotButton="0" quotePrefix="0" xfId="0">
      <alignment horizontal="left"/>
      <protection locked="0" hidden="0"/>
    </xf>
    <xf numFmtId="0" fontId="3" fillId="0" borderId="29" applyProtection="1" pivotButton="0" quotePrefix="0" xfId="0">
      <protection locked="0" hidden="0"/>
    </xf>
    <xf numFmtId="0" fontId="0" fillId="0" borderId="18" applyProtection="1" pivotButton="0" quotePrefix="0" xfId="0">
      <protection locked="1" hidden="1"/>
    </xf>
    <xf numFmtId="0" fontId="0" fillId="0" borderId="32" applyAlignment="1" applyProtection="1" pivotButton="0" quotePrefix="0" xfId="0">
      <alignment horizontal="center"/>
      <protection locked="0" hidden="0"/>
    </xf>
    <xf numFmtId="0" fontId="0" fillId="0" borderId="22" applyProtection="1" pivotButton="0" quotePrefix="0" xfId="0">
      <protection locked="0" hidden="0"/>
    </xf>
    <xf numFmtId="0" fontId="0" fillId="0" borderId="28" applyProtection="1" pivotButton="0" quotePrefix="0" xfId="0">
      <protection locked="0" hidden="0"/>
    </xf>
    <xf numFmtId="0" fontId="3" fillId="0" borderId="36" applyAlignment="1" applyProtection="1" pivotButton="0" quotePrefix="0" xfId="0">
      <alignment horizontal="center" vertical="center"/>
      <protection locked="0" hidden="0"/>
    </xf>
    <xf numFmtId="0" fontId="0" fillId="0" borderId="17" applyProtection="1" pivotButton="0" quotePrefix="0" xfId="0">
      <protection locked="0" hidden="0"/>
    </xf>
    <xf numFmtId="0" fontId="0" fillId="0" borderId="39" applyAlignment="1" pivotButton="0" quotePrefix="0" xfId="0">
      <alignment horizontal="center" vertical="center" wrapText="1"/>
    </xf>
    <xf numFmtId="0" fontId="3" fillId="4" borderId="36" applyAlignment="1" applyProtection="1" pivotButton="0" quotePrefix="0" xfId="0">
      <alignment horizontal="center"/>
      <protection locked="0" hidden="0"/>
    </xf>
    <xf numFmtId="0" fontId="0" fillId="0" borderId="29" applyAlignment="1" applyProtection="1" pivotButton="0" quotePrefix="0" xfId="0">
      <alignment horizontal="center"/>
      <protection locked="0" hidden="0"/>
    </xf>
    <xf numFmtId="0" fontId="3" fillId="4" borderId="29" applyAlignment="1" applyProtection="1" pivotButton="0" quotePrefix="0" xfId="0">
      <alignment horizontal="center" vertical="center"/>
      <protection locked="0" hidden="0"/>
    </xf>
    <xf numFmtId="0" fontId="3" fillId="0" borderId="36" applyAlignment="1" applyProtection="1" pivotButton="0" quotePrefix="0" xfId="0">
      <alignment horizontal="left"/>
      <protection locked="0" hidden="0"/>
    </xf>
    <xf numFmtId="0" fontId="0" fillId="0" borderId="18" applyProtection="1" pivotButton="0" quotePrefix="0" xfId="0">
      <protection locked="0" hidden="0"/>
    </xf>
    <xf numFmtId="0" fontId="3" fillId="0" borderId="36" applyAlignment="1" applyProtection="1" pivotButton="0" quotePrefix="0" xfId="0">
      <alignment horizontal="center"/>
      <protection locked="0" hidden="0"/>
    </xf>
    <xf numFmtId="0" fontId="0" fillId="0" borderId="39" applyAlignment="1" pivotButton="0" quotePrefix="0" xfId="0">
      <alignment horizontal="right" vertical="center" wrapText="1"/>
    </xf>
    <xf numFmtId="0" fontId="3" fillId="0" borderId="29" applyAlignment="1" applyProtection="1" pivotButton="0" quotePrefix="0" xfId="0">
      <alignment horizontal="center" shrinkToFit="1"/>
      <protection locked="0" hidden="0"/>
    </xf>
    <xf numFmtId="0" fontId="13" fillId="0" borderId="29" applyAlignment="1" applyProtection="1" pivotButton="0" quotePrefix="0" xfId="0">
      <alignment horizontal="center"/>
      <protection locked="0" hidden="0"/>
    </xf>
    <xf numFmtId="0" fontId="0" fillId="0" borderId="26" pivotButton="0" quotePrefix="0" xfId="0"/>
    <xf numFmtId="0" fontId="3" fillId="0" borderId="40" applyAlignment="1" applyProtection="1" pivotButton="0" quotePrefix="0" xfId="0">
      <alignment horizontal="left" vertical="center"/>
      <protection locked="0" hidden="0"/>
    </xf>
    <xf numFmtId="0" fontId="0" fillId="0" borderId="24" applyProtection="1" pivotButton="0" quotePrefix="0" xfId="0">
      <protection locked="0" hidden="0"/>
    </xf>
    <xf numFmtId="0" fontId="0" fillId="0" borderId="25" applyProtection="1" pivotButton="0" quotePrefix="0" xfId="0">
      <protection locked="0" hidden="0"/>
    </xf>
    <xf numFmtId="0" fontId="0" fillId="0" borderId="14" pivotButton="0" quotePrefix="0" xfId="0"/>
    <xf numFmtId="0" fontId="0" fillId="0" borderId="15" pivotButton="0" quotePrefix="0" xfId="0"/>
    <xf numFmtId="0" fontId="0" fillId="0" borderId="38" applyAlignment="1" pivotButton="0" quotePrefix="0" xfId="0">
      <alignment horizontal="right"/>
    </xf>
    <xf numFmtId="0" fontId="0" fillId="0" borderId="34" applyAlignment="1" pivotButton="0" quotePrefix="0" xfId="0">
      <alignment horizontal="center"/>
    </xf>
    <xf numFmtId="0" fontId="15" fillId="0" borderId="29" applyAlignment="1" applyProtection="1" pivotButton="0" quotePrefix="0" xfId="0">
      <alignment horizontal="left"/>
      <protection locked="0" hidden="0"/>
    </xf>
    <xf numFmtId="0" fontId="15" fillId="0" borderId="29" applyAlignment="1" applyProtection="1" pivotButton="0" quotePrefix="0" xfId="0">
      <alignment horizontal="left" vertical="center" shrinkToFit="1"/>
      <protection locked="0" hidden="0"/>
    </xf>
    <xf numFmtId="0" fontId="0" fillId="0" borderId="35" applyAlignment="1" pivotButton="0" quotePrefix="0" xfId="0">
      <alignment horizontal="center"/>
    </xf>
    <xf numFmtId="0" fontId="0" fillId="0" borderId="6" pivotButton="0" quotePrefix="0" xfId="0"/>
    <xf numFmtId="0" fontId="0" fillId="0" borderId="34" applyAlignment="1" pivotButton="0" quotePrefix="0" xfId="0">
      <alignment horizontal="left" vertical="center" wrapText="1"/>
    </xf>
    <xf numFmtId="0" fontId="0" fillId="0" borderId="35" applyAlignment="1" pivotButton="0" quotePrefix="0" xfId="0">
      <alignment horizontal="left" vertical="center" wrapText="1"/>
    </xf>
    <xf numFmtId="0" fontId="0" fillId="0" borderId="27" pivotButton="0" quotePrefix="0" xfId="0"/>
    <xf numFmtId="0" fontId="0" fillId="0" borderId="35" pivotButton="0" quotePrefix="0" xfId="0"/>
  </cellXfs>
  <cellStyles count="1">
    <cellStyle name="Normal" xfId="0" builtinId="0"/>
  </cellStyles>
  <dxfs count="43">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color theme="0"/>
      </font>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right/>
        <top/>
        <bottom/>
        <vertical/>
        <horizontal/>
      </border>
    </dxf>
    <dxf>
      <font>
        <color theme="0"/>
      </font>
      <fill>
        <patternFill>
          <bgColor theme="0"/>
        </patternFill>
      </fill>
      <border>
        <left/>
        <right style="thin">
          <color theme="1" tint="0.3499862666707358"/>
        </right>
        <top/>
        <bottom/>
        <vertical/>
        <horizontal/>
      </border>
    </dxf>
    <dxf>
      <font>
        <color theme="0"/>
      </font>
      <fill>
        <patternFill>
          <bgColor theme="0"/>
        </patternFill>
      </fill>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font>
        <color theme="0"/>
      </font>
      <fill>
        <patternFill>
          <bgColor theme="0"/>
        </patternFill>
      </fill>
      <border>
        <left/>
        <right/>
        <top/>
        <bottom/>
        <vertical/>
        <horizontal/>
      </border>
    </dxf>
    <dxf>
      <border>
        <right style="thin">
          <color auto="1"/>
        </right>
        <vertical/>
        <horizontal/>
      </border>
    </dxf>
    <dxf>
      <font>
        <color theme="0" tint="-0.0499893185216834"/>
      </font>
      <fill>
        <patternFill>
          <bgColor theme="0" tint="-0.0499893185216834"/>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border>
        <left/>
        <right/>
        <top/>
        <bottom/>
        <vertical/>
        <horizontal/>
      </border>
    </dxf>
    <dxf>
      <font>
        <color theme="0"/>
      </font>
      <fill>
        <patternFill>
          <bgColor theme="0"/>
        </patternFill>
      </fill>
    </dxf>
    <dxf>
      <border>
        <right style="thin">
          <color auto="1"/>
        </right>
        <vertical/>
        <horizontal/>
      </border>
    </dxf>
    <dxf>
      <font>
        <color theme="0"/>
      </font>
      <fill>
        <patternFill>
          <bgColor theme="0"/>
        </patternFill>
      </fill>
    </dxf>
    <dxf>
      <font>
        <color rgb="FF9C0006"/>
      </font>
      <fill>
        <patternFill>
          <bgColor rgb="FFFFC7CE"/>
        </patternFill>
      </fill>
    </dxf>
    <dxf>
      <border>
        <left/>
        <right/>
        <top/>
        <bottom/>
      </border>
    </dxf>
    <dxf>
      <font>
        <color theme="0"/>
      </font>
      <fill>
        <patternFill>
          <bgColor theme="0"/>
        </patternFill>
      </fill>
      <border>
        <left/>
        <right/>
        <top/>
        <bottom/>
      </border>
    </dxf>
    <dxf>
      <font>
        <color theme="0"/>
      </font>
      <border>
        <left/>
        <right/>
        <top/>
        <bottom/>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123825</colOff>
      <row>1</row>
      <rowOff>57150</rowOff>
    </from>
    <to>
      <col>9</col>
      <colOff>19050</colOff>
      <row>4</row>
      <rowOff>133350</rowOff>
    </to>
    <pic>
      <nvPicPr>
        <cNvPr id="1026" name="Imagem 2"/>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304800" y="247650"/>
          <a:ext cx="1343025" cy="64770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28</col>
      <colOff>142875</colOff>
      <row>164</row>
      <rowOff>171450</rowOff>
    </from>
    <to>
      <col>40</col>
      <colOff>57150</colOff>
      <row>168</row>
      <rowOff>39370</rowOff>
    </to>
    <pic>
      <nvPicPr>
        <cNvPr id="2" name="Imagem 1"/>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5210175" y="20202525"/>
          <a:ext cx="2162175" cy="51562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Plan1">
    <tabColor rgb="FF00B050"/>
    <outlinePr summaryBelow="1" summaryRight="1"/>
    <pageSetUpPr fitToPage="1"/>
  </sheetPr>
  <dimension ref="A2:AX168"/>
  <sheetViews>
    <sheetView showGridLines="0" showRowColHeaders="0" tabSelected="1" zoomScaleNormal="100" workbookViewId="0">
      <pane ySplit="9" topLeftCell="A148" activePane="bottomLeft" state="frozen"/>
      <selection pane="bottomLeft" activeCell="C167" sqref="C167:T167"/>
    </sheetView>
  </sheetViews>
  <sheetFormatPr baseColWidth="8" defaultColWidth="0" defaultRowHeight="15"/>
  <cols>
    <col width="2.7109375" customWidth="1" min="1" max="30"/>
    <col width="3.85546875" customWidth="1" min="31" max="31"/>
    <col width="2.7109375" customWidth="1" min="32" max="43"/>
    <col width="3.42578125" customWidth="1" min="44" max="44"/>
    <col width="3.140625" customWidth="1" min="45" max="45"/>
    <col width="2.7109375" customWidth="1" min="46" max="48"/>
    <col width="0.7109375" customWidth="1" min="49" max="49"/>
    <col width="2.7109375" customWidth="1" min="50" max="50"/>
    <col hidden="1" width="2.7109375" customWidth="1" min="51" max="16384"/>
  </cols>
  <sheetData>
    <row r="2" ht="15" customHeight="1">
      <c r="B2" s="13" t="n"/>
      <c r="C2" s="14" t="n"/>
      <c r="D2" s="14" t="n"/>
      <c r="E2" s="14" t="n"/>
      <c r="F2" s="14" t="n"/>
      <c r="G2" s="14" t="n"/>
      <c r="H2" s="14" t="n"/>
      <c r="I2" s="14" t="n"/>
      <c r="J2" s="14" t="n"/>
      <c r="K2" s="14" t="n"/>
      <c r="L2" s="170">
        <f>"      FORMULÁRIO DE SOLICITAÇÃO DE ACESSO PARA MICROGERAÇÃO DISTRIBUÍDA "&amp;IF(OR(AT59=0,AT59=""),"",IF(AT59&lt;=10," COM POTÊNCIA IGUAL OU INFERIOR A 10kW     "," COM POTÊNCIA SUPERIOR A 10 KW      "))</f>
        <v/>
      </c>
      <c r="M2" s="199" t="n"/>
      <c r="N2" s="199" t="n"/>
      <c r="O2" s="199" t="n"/>
      <c r="P2" s="199" t="n"/>
      <c r="Q2" s="199" t="n"/>
      <c r="R2" s="199" t="n"/>
      <c r="S2" s="199" t="n"/>
      <c r="T2" s="199" t="n"/>
      <c r="U2" s="199" t="n"/>
      <c r="V2" s="199" t="n"/>
      <c r="W2" s="199" t="n"/>
      <c r="X2" s="199" t="n"/>
      <c r="Y2" s="199" t="n"/>
      <c r="Z2" s="199" t="n"/>
      <c r="AA2" s="199" t="n"/>
      <c r="AB2" s="199" t="n"/>
      <c r="AC2" s="199" t="n"/>
      <c r="AD2" s="199" t="n"/>
      <c r="AE2" s="199" t="n"/>
      <c r="AF2" s="199" t="n"/>
      <c r="AG2" s="199" t="n"/>
      <c r="AH2" s="199" t="n"/>
      <c r="AI2" s="199" t="n"/>
      <c r="AJ2" s="199" t="n"/>
      <c r="AK2" s="199" t="n"/>
      <c r="AL2" s="199" t="n"/>
      <c r="AM2" s="199" t="n"/>
      <c r="AN2" s="199" t="n"/>
      <c r="AO2" s="199" t="n"/>
      <c r="AP2" s="199" t="n"/>
      <c r="AQ2" s="199" t="n"/>
      <c r="AR2" s="199" t="n"/>
      <c r="AS2" s="199" t="n"/>
      <c r="AT2" s="41" t="n"/>
      <c r="AU2" s="41" t="n"/>
      <c r="AV2" s="41" t="n"/>
      <c r="AW2" s="15" t="n"/>
    </row>
    <row r="3" ht="15" customHeight="1">
      <c r="B3" s="10" t="n"/>
      <c r="L3" s="28" t="n"/>
      <c r="M3" s="28" t="n"/>
      <c r="N3" s="28" t="n"/>
      <c r="O3" s="28" t="n"/>
      <c r="P3" s="28" t="n"/>
      <c r="Q3" s="28" t="n"/>
      <c r="R3" s="28" t="n"/>
      <c r="S3" s="28" t="n"/>
      <c r="T3" s="28" t="n"/>
      <c r="U3" s="28" t="n"/>
      <c r="V3" s="28" t="n"/>
      <c r="W3" s="28" t="n"/>
      <c r="X3" s="28" t="n"/>
      <c r="Y3" s="28" t="n"/>
      <c r="Z3" s="28" t="n"/>
      <c r="AA3" s="28" t="n"/>
      <c r="AB3" s="28" t="n"/>
      <c r="AC3" s="28" t="n"/>
      <c r="AD3" s="28" t="n"/>
      <c r="AE3" s="28" t="n"/>
      <c r="AF3" s="28" t="n"/>
      <c r="AG3" s="28" t="n"/>
      <c r="AH3" s="28" t="n"/>
      <c r="AI3" s="28" t="n"/>
      <c r="AJ3" s="28" t="n"/>
      <c r="AK3" s="28" t="n"/>
      <c r="AL3" s="28" t="n"/>
      <c r="AM3" s="28" t="n"/>
      <c r="AN3" s="28" t="n"/>
      <c r="AO3" s="28" t="n"/>
      <c r="AP3" s="28" t="n"/>
      <c r="AQ3" s="28" t="n"/>
      <c r="AR3" s="28" t="n"/>
      <c r="AS3" s="28" t="n"/>
      <c r="AT3" s="42" t="n"/>
      <c r="AU3" s="42" t="n"/>
      <c r="AV3" s="42" t="n"/>
      <c r="AW3" s="8" t="n"/>
    </row>
    <row r="4" ht="15" customHeight="1">
      <c r="B4" s="10" t="n"/>
      <c r="L4" s="28" t="n"/>
      <c r="M4" s="28" t="n"/>
      <c r="N4" s="28" t="n"/>
      <c r="O4" s="28" t="n"/>
      <c r="P4" s="28" t="n"/>
      <c r="Q4" s="28" t="n"/>
      <c r="R4" s="28" t="n"/>
      <c r="S4" s="28" t="n"/>
      <c r="T4" s="28" t="n"/>
      <c r="U4" s="28" t="n"/>
      <c r="V4" s="28" t="n"/>
      <c r="W4" s="28" t="n"/>
      <c r="X4" s="28" t="n"/>
      <c r="Y4" s="28" t="n"/>
      <c r="Z4" s="28" t="n"/>
      <c r="AA4" s="28" t="n"/>
      <c r="AB4" s="28" t="n"/>
      <c r="AC4" s="28" t="n"/>
      <c r="AD4" s="28" t="n"/>
      <c r="AE4" s="28" t="n"/>
      <c r="AF4" s="28" t="n"/>
      <c r="AG4" s="28" t="n"/>
      <c r="AH4" s="28" t="n"/>
      <c r="AI4" s="28" t="n"/>
      <c r="AJ4" s="28" t="n"/>
      <c r="AK4" s="28" t="n"/>
      <c r="AL4" s="28" t="n"/>
      <c r="AM4" s="28" t="n"/>
      <c r="AN4" s="28" t="n"/>
      <c r="AO4" s="28" t="n"/>
      <c r="AP4" s="28" t="n"/>
      <c r="AQ4" s="28" t="n"/>
      <c r="AR4" s="28" t="n"/>
      <c r="AS4" s="28" t="n"/>
      <c r="AT4" s="42" t="n"/>
      <c r="AU4" s="42" t="n"/>
      <c r="AV4" s="42" t="n"/>
      <c r="AW4" s="8" t="n"/>
    </row>
    <row r="5">
      <c r="B5" s="11" t="n"/>
      <c r="C5" s="1" t="n"/>
      <c r="D5" s="1" t="n"/>
      <c r="E5" s="1" t="n"/>
      <c r="F5" s="1" t="n"/>
      <c r="G5" s="1" t="n"/>
      <c r="H5" s="1" t="n"/>
      <c r="I5" s="1" t="n"/>
      <c r="J5" s="1" t="n"/>
      <c r="K5" s="1" t="n"/>
      <c r="L5" s="178" t="inlineStr">
        <is>
          <t>Gerência de Processos Especiais de Expansão de Média e Baixa Tensão - EM/PE - Revisão i - 07/10/2022</t>
        </is>
      </c>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2" t="n"/>
    </row>
    <row r="6" ht="3" customHeight="1"/>
    <row r="7" ht="9" customFormat="1" customHeight="1" s="56">
      <c r="B7" s="188">
        <f>Mensagem_Erro</f>
        <v/>
      </c>
      <c r="C7" s="28" t="n"/>
      <c r="D7" s="28" t="n"/>
      <c r="E7" s="28" t="n"/>
      <c r="F7" s="28" t="n"/>
      <c r="G7" s="28" t="n"/>
      <c r="H7" s="28" t="n"/>
      <c r="I7" s="28" t="n"/>
      <c r="J7" s="28" t="n"/>
      <c r="K7" s="28" t="n"/>
      <c r="L7" s="28" t="n"/>
      <c r="M7" s="28" t="n"/>
      <c r="N7" s="28" t="n"/>
      <c r="O7" s="28" t="n"/>
      <c r="P7" s="28" t="n"/>
      <c r="Q7" s="28" t="n"/>
      <c r="R7" s="28" t="n"/>
      <c r="S7" s="28" t="n"/>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n"/>
      <c r="AU7" s="28" t="n"/>
      <c r="AV7" s="28" t="n"/>
      <c r="AW7" s="28" t="n"/>
    </row>
    <row r="8" ht="9" customFormat="1" customHeight="1" s="56">
      <c r="B8" s="28" t="n"/>
      <c r="C8" s="28" t="n"/>
      <c r="D8" s="28" t="n"/>
      <c r="E8" s="28" t="n"/>
      <c r="F8" s="28" t="n"/>
      <c r="G8" s="28" t="n"/>
      <c r="H8" s="28" t="n"/>
      <c r="I8" s="28" t="n"/>
      <c r="J8" s="28" t="n"/>
      <c r="K8" s="28" t="n"/>
      <c r="L8" s="28" t="n"/>
      <c r="M8" s="28" t="n"/>
      <c r="N8" s="28" t="n"/>
      <c r="O8" s="28" t="n"/>
      <c r="P8" s="28" t="n"/>
      <c r="Q8" s="28" t="n"/>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n"/>
      <c r="AU8" s="28" t="n"/>
      <c r="AV8" s="28" t="n"/>
      <c r="AW8" s="28" t="n"/>
    </row>
    <row r="9" ht="3" customHeight="1"/>
    <row r="10">
      <c r="B10" s="160" t="inlineStr">
        <is>
          <t>1 – IDENTIFICAÇÃO DA UNIDADE CONSUMIDORA – UC</t>
        </is>
      </c>
      <c r="C10" s="32" t="n"/>
      <c r="D10" s="32" t="n"/>
      <c r="E10" s="32" t="n"/>
      <c r="F10" s="32" t="n"/>
      <c r="G10" s="32" t="n"/>
      <c r="H10" s="32" t="n"/>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n"/>
      <c r="AW10" s="22" t="n"/>
    </row>
    <row r="11" ht="3" customHeight="1" thickBot="1">
      <c r="B11" s="39" t="n"/>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c r="AL11" s="40" t="n"/>
      <c r="AM11" s="40" t="n"/>
      <c r="AN11" s="40" t="n"/>
      <c r="AO11" s="40" t="n"/>
      <c r="AP11" s="40" t="n"/>
      <c r="AQ11" s="40" t="n"/>
      <c r="AR11" s="40" t="n"/>
      <c r="AS11" s="40" t="n"/>
      <c r="AT11" s="40" t="n"/>
      <c r="AU11" s="40" t="n"/>
      <c r="AV11" s="40" t="n"/>
      <c r="AW11" s="15" t="n"/>
    </row>
    <row r="12">
      <c r="B12" s="10" t="inlineStr">
        <is>
          <t>Número do Cliente*:</t>
        </is>
      </c>
      <c r="I12" s="200" t="n">
        <v>7004791967</v>
      </c>
      <c r="J12" s="201" t="n"/>
      <c r="K12" s="201" t="n"/>
      <c r="L12" s="201" t="n"/>
      <c r="M12" s="202" t="n"/>
      <c r="Y12" s="110" t="inlineStr">
        <is>
          <t>Número da instalação:</t>
        </is>
      </c>
      <c r="AG12" s="203" t="n">
        <v>3006637736</v>
      </c>
      <c r="AH12" s="201" t="n"/>
      <c r="AI12" s="201" t="n"/>
      <c r="AJ12" s="201" t="n"/>
      <c r="AK12" s="202" t="n"/>
      <c r="AW12" s="8" t="n"/>
    </row>
    <row r="13" ht="3" customHeight="1" thickBot="1">
      <c r="B13" s="9"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8" t="n"/>
    </row>
    <row r="14">
      <c r="B14" s="10" t="inlineStr">
        <is>
          <t>Titular da Unidade Consumidora*:</t>
        </is>
      </c>
      <c r="M14" s="20" t="n"/>
      <c r="N14" s="204" t="inlineStr">
        <is>
          <t>ELERCI DE SOUZA VIEIRA</t>
        </is>
      </c>
      <c r="O14" s="201" t="n"/>
      <c r="P14" s="201" t="n"/>
      <c r="Q14" s="201" t="n"/>
      <c r="R14" s="201" t="n"/>
      <c r="S14" s="201" t="n"/>
      <c r="T14" s="201" t="n"/>
      <c r="U14" s="201" t="n"/>
      <c r="V14" s="201" t="n"/>
      <c r="W14" s="201" t="n"/>
      <c r="X14" s="201" t="n"/>
      <c r="Y14" s="201" t="n"/>
      <c r="Z14" s="201" t="n"/>
      <c r="AA14" s="201" t="n"/>
      <c r="AB14" s="201" t="n"/>
      <c r="AC14" s="201" t="n"/>
      <c r="AD14" s="201" t="n"/>
      <c r="AE14" s="201" t="n"/>
      <c r="AF14" s="201" t="n"/>
      <c r="AG14" s="201" t="n"/>
      <c r="AH14" s="201" t="n"/>
      <c r="AI14" s="201" t="n"/>
      <c r="AJ14" s="201" t="n"/>
      <c r="AK14" s="201" t="n"/>
      <c r="AL14" s="201" t="n"/>
      <c r="AM14" s="201" t="n"/>
      <c r="AN14" s="201" t="n"/>
      <c r="AO14" s="201" t="n"/>
      <c r="AP14" s="201" t="n"/>
      <c r="AQ14" s="201" t="n"/>
      <c r="AR14" s="201" t="n"/>
      <c r="AS14" s="201" t="n"/>
      <c r="AT14" s="201" t="n"/>
      <c r="AU14" s="201" t="n"/>
      <c r="AV14" s="202" t="n"/>
      <c r="AW14" s="8" t="n"/>
    </row>
    <row r="15" ht="3" customHeight="1" thickBot="1">
      <c r="B15" s="9"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8" t="n"/>
    </row>
    <row r="16">
      <c r="B16" s="10" t="inlineStr">
        <is>
          <t>Grupo*:</t>
        </is>
      </c>
      <c r="E16" s="203" t="inlineStr">
        <is>
          <t>B</t>
        </is>
      </c>
      <c r="F16" s="202" t="n"/>
      <c r="H16" t="inlineStr">
        <is>
          <t>Classe*:</t>
        </is>
      </c>
      <c r="K16" s="205" t="inlineStr">
        <is>
          <t>Rural</t>
        </is>
      </c>
      <c r="L16" s="201" t="n"/>
      <c r="M16" s="201" t="n"/>
      <c r="N16" s="201" t="n"/>
      <c r="O16" s="201" t="n"/>
      <c r="P16" s="201" t="n"/>
      <c r="Q16" s="202" t="n"/>
      <c r="Y16" t="inlineStr">
        <is>
          <t>CPF/CNPJ*:</t>
        </is>
      </c>
      <c r="AC16" s="206" t="inlineStr">
        <is>
          <t>793.203.256-34</t>
        </is>
      </c>
      <c r="AD16" s="201" t="n"/>
      <c r="AE16" s="201" t="n"/>
      <c r="AF16" s="201" t="n"/>
      <c r="AG16" s="201" t="n"/>
      <c r="AH16" s="201" t="n"/>
      <c r="AI16" s="202" t="n"/>
      <c r="AJ16" s="3" t="n"/>
      <c r="AK16" s="3" t="n"/>
      <c r="AL16" s="3" t="n"/>
      <c r="AW16" s="8" t="n"/>
    </row>
    <row r="17" ht="3" customHeight="1" thickBot="1">
      <c r="B17" s="10" t="n"/>
      <c r="E17" s="2" t="n"/>
      <c r="AC17" s="4" t="n"/>
      <c r="AD17" s="4" t="n"/>
      <c r="AE17" s="4" t="n"/>
      <c r="AF17" s="4" t="n"/>
      <c r="AG17" s="4" t="n"/>
      <c r="AH17" s="4" t="n"/>
      <c r="AI17" s="4" t="n"/>
      <c r="AJ17" s="3" t="n"/>
      <c r="AK17" s="3" t="n"/>
      <c r="AL17" s="3" t="n"/>
      <c r="AW17" s="8" t="n"/>
    </row>
    <row r="18">
      <c r="B18" s="10" t="inlineStr">
        <is>
          <t>Logradouro*:</t>
        </is>
      </c>
      <c r="G18" s="204" t="inlineStr">
        <is>
          <t>REGIAO DE GODINHO</t>
        </is>
      </c>
      <c r="H18" s="201" t="n"/>
      <c r="I18" s="201" t="n"/>
      <c r="J18" s="201" t="n"/>
      <c r="K18" s="201" t="n"/>
      <c r="L18" s="201" t="n"/>
      <c r="M18" s="201" t="n"/>
      <c r="N18" s="201" t="n"/>
      <c r="O18" s="201" t="n"/>
      <c r="P18" s="201" t="n"/>
      <c r="Q18" s="201" t="n"/>
      <c r="R18" s="201" t="n"/>
      <c r="S18" s="201" t="n"/>
      <c r="T18" s="201" t="n"/>
      <c r="U18" s="201" t="n"/>
      <c r="V18" s="201" t="n"/>
      <c r="W18" s="201" t="n"/>
      <c r="X18" s="201" t="n"/>
      <c r="Y18" s="201" t="n"/>
      <c r="Z18" s="201" t="n"/>
      <c r="AA18" s="201" t="n"/>
      <c r="AB18" s="201" t="n"/>
      <c r="AC18" s="201" t="n"/>
      <c r="AD18" s="202" t="n"/>
      <c r="AE18" s="111" t="inlineStr">
        <is>
          <t>Número*:</t>
        </is>
      </c>
      <c r="AH18" s="20" t="n"/>
      <c r="AI18" s="203" t="n">
        <v>99999</v>
      </c>
      <c r="AJ18" s="201" t="n"/>
      <c r="AK18" s="202" t="n"/>
      <c r="AL18" s="110" t="inlineStr">
        <is>
          <t>Complemento:</t>
        </is>
      </c>
      <c r="AR18" s="203" t="inlineStr">
        <is>
          <t>FZ</t>
        </is>
      </c>
      <c r="AS18" s="201" t="n"/>
      <c r="AT18" s="201" t="n"/>
      <c r="AU18" s="201" t="n"/>
      <c r="AV18" s="202" t="n"/>
      <c r="AW18" s="8" t="n"/>
    </row>
    <row r="19" ht="3" customHeight="1" thickBot="1">
      <c r="B19" s="10" t="n"/>
      <c r="AW19" s="8" t="n"/>
    </row>
    <row r="20">
      <c r="B20" s="10" t="inlineStr">
        <is>
          <t>Bairro*:</t>
        </is>
      </c>
      <c r="E20" s="204" t="inlineStr">
        <is>
          <t>AREA RURAL</t>
        </is>
      </c>
      <c r="F20" s="201" t="n"/>
      <c r="G20" s="201" t="n"/>
      <c r="H20" s="201" t="n"/>
      <c r="I20" s="201" t="n"/>
      <c r="J20" s="201" t="n"/>
      <c r="K20" s="201" t="n"/>
      <c r="L20" s="201" t="n"/>
      <c r="M20" s="201" t="n"/>
      <c r="N20" s="202" t="n"/>
      <c r="P20" s="110" t="inlineStr">
        <is>
          <t>Município*:</t>
        </is>
      </c>
      <c r="T20" s="204" t="inlineStr">
        <is>
          <t>PIEDADE DOS GERAIS</t>
        </is>
      </c>
      <c r="U20" s="201" t="n"/>
      <c r="V20" s="201" t="n"/>
      <c r="W20" s="201" t="n"/>
      <c r="X20" s="201" t="n"/>
      <c r="Y20" s="201" t="n"/>
      <c r="Z20" s="201" t="n"/>
      <c r="AA20" s="201" t="n"/>
      <c r="AB20" s="201" t="n"/>
      <c r="AC20" s="201" t="n"/>
      <c r="AD20" s="201" t="n"/>
      <c r="AE20" s="201" t="n"/>
      <c r="AF20" s="201" t="n"/>
      <c r="AG20" s="201" t="n"/>
      <c r="AH20" s="201" t="n"/>
      <c r="AI20" s="202" t="n"/>
      <c r="AK20" s="111" t="inlineStr">
        <is>
          <t>Estado*:</t>
        </is>
      </c>
      <c r="AM20" s="20" t="n"/>
      <c r="AN20" s="203" t="inlineStr">
        <is>
          <t>MG</t>
        </is>
      </c>
      <c r="AO20" s="202" t="n"/>
      <c r="AQ20" s="111" t="inlineStr">
        <is>
          <t>CEP*:</t>
        </is>
      </c>
      <c r="AR20" s="20" t="n"/>
      <c r="AS20" s="207" t="inlineStr">
        <is>
          <t>35526-000</t>
        </is>
      </c>
      <c r="AT20" s="201" t="n"/>
      <c r="AU20" s="201" t="n"/>
      <c r="AV20" s="202" t="n"/>
      <c r="AW20" s="8" t="n"/>
    </row>
    <row r="21" ht="3" customHeight="1" thickBot="1">
      <c r="B21" s="10" t="n"/>
      <c r="AW21" s="8" t="n"/>
    </row>
    <row r="22">
      <c r="B22" s="10" t="inlineStr">
        <is>
          <t>Telefone:</t>
        </is>
      </c>
      <c r="F22" s="208" t="n">
        <v>3734021468</v>
      </c>
      <c r="G22" s="201" t="n"/>
      <c r="H22" s="201" t="n"/>
      <c r="I22" s="201" t="n"/>
      <c r="J22" s="202" t="n"/>
      <c r="L22" t="inlineStr">
        <is>
          <t>Celular*:</t>
        </is>
      </c>
      <c r="O22" s="209" t="n">
        <v>37998044360</v>
      </c>
      <c r="P22" s="201" t="n"/>
      <c r="Q22" s="201" t="n"/>
      <c r="R22" s="201" t="n"/>
      <c r="S22" s="201" t="n"/>
      <c r="T22" s="202" t="n"/>
      <c r="V22" s="110" t="inlineStr">
        <is>
          <t>E-mail*:</t>
        </is>
      </c>
      <c r="Y22" s="210" t="inlineStr">
        <is>
          <t>amorim.willy@hotmail.com</t>
        </is>
      </c>
      <c r="Z22" s="201" t="n"/>
      <c r="AA22" s="201" t="n"/>
      <c r="AB22" s="201" t="n"/>
      <c r="AC22" s="201" t="n"/>
      <c r="AD22" s="201" t="n"/>
      <c r="AE22" s="201" t="n"/>
      <c r="AF22" s="201" t="n"/>
      <c r="AG22" s="201" t="n"/>
      <c r="AH22" s="201" t="n"/>
      <c r="AI22" s="201" t="n"/>
      <c r="AJ22" s="201" t="n"/>
      <c r="AK22" s="201" t="n"/>
      <c r="AL22" s="201" t="n"/>
      <c r="AM22" s="201" t="n"/>
      <c r="AN22" s="201" t="n"/>
      <c r="AO22" s="201" t="n"/>
      <c r="AP22" s="201" t="n"/>
      <c r="AQ22" s="201" t="n"/>
      <c r="AR22" s="201" t="n"/>
      <c r="AS22" s="201" t="n"/>
      <c r="AT22" s="201" t="n"/>
      <c r="AU22" s="201" t="n"/>
      <c r="AV22" s="202" t="n"/>
      <c r="AW22" s="8" t="n"/>
    </row>
    <row r="23" ht="3" customHeight="1">
      <c r="B23" s="1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2" t="n"/>
    </row>
    <row r="24" ht="3" customHeight="1">
      <c r="B24" s="32" t="n"/>
      <c r="C24" s="32" t="n"/>
      <c r="D24" s="32" t="n"/>
      <c r="E24" s="32" t="n"/>
      <c r="F24" s="32" t="n"/>
      <c r="G24" s="32" t="n"/>
      <c r="H24" s="32" t="n"/>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n"/>
      <c r="AW24" s="32" t="n"/>
    </row>
    <row r="25">
      <c r="B25" s="124" t="inlineStr">
        <is>
          <t>2 – DADOS DA UNIDADE CONSUMIDORA</t>
        </is>
      </c>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34" t="n"/>
    </row>
    <row r="26" ht="3" customHeight="1" thickBot="1">
      <c r="B26" s="13" t="n"/>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c r="AA26" s="14" t="n"/>
      <c r="AB26" s="14" t="n"/>
      <c r="AC26" s="14" t="n"/>
      <c r="AD26" s="14" t="n">
        <v>1620000</v>
      </c>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5" t="n"/>
    </row>
    <row r="27">
      <c r="B27" s="10" t="inlineStr">
        <is>
          <t>Localização em Coordenadas UTM - Ponto de Entrega:</t>
        </is>
      </c>
      <c r="T27" s="110" t="inlineStr">
        <is>
          <t>Fuso:</t>
        </is>
      </c>
      <c r="V27" s="203" t="n">
        <v>23</v>
      </c>
      <c r="W27" s="202" t="n"/>
      <c r="X27" s="110" t="inlineStr">
        <is>
          <t>E (Abscissa):</t>
        </is>
      </c>
      <c r="AC27" s="203" t="n">
        <v>573674</v>
      </c>
      <c r="AD27" s="201" t="n"/>
      <c r="AE27" s="202" t="n"/>
      <c r="AG27" s="110" t="inlineStr">
        <is>
          <t>N (Ordenada):</t>
        </is>
      </c>
      <c r="AL27" s="203" t="n">
        <v>7733573</v>
      </c>
      <c r="AM27" s="201" t="n"/>
      <c r="AN27" s="202" t="n"/>
      <c r="AW27" s="8" t="n"/>
    </row>
    <row r="28" ht="3" customHeight="1" thickBot="1">
      <c r="B28" s="10" t="n"/>
      <c r="AF28" s="110" t="n"/>
      <c r="AG28" s="110" t="n"/>
      <c r="AH28" s="16" t="n"/>
      <c r="AI28" s="16" t="n"/>
      <c r="AO28" s="110" t="n"/>
      <c r="AW28" s="8" t="n"/>
    </row>
    <row r="29">
      <c r="B29" s="10" t="inlineStr">
        <is>
          <t>Carga Instalada (consumo próprio) (kW):</t>
        </is>
      </c>
      <c r="P29" s="137">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211" t="n"/>
      <c r="R29" s="212" t="n"/>
      <c r="S29" s="213" t="n"/>
      <c r="T29" s="213" t="n"/>
      <c r="U29" s="214" t="n"/>
      <c r="Y29" s="189">
        <f>IF(V27="","Indique o fuso",IF(AND(Apoio!I4="Ok",OR(V27="",Conferencia!B16=1)),"",IF(AND(AC27&lt;&gt;"",V27&lt;&gt;"",Apoio!I4&lt;&gt;"Ok"),"Verifique a Abscissa","De "&amp;VLOOKUP(V27,Apoio!B1:F4,2,FALSE)&amp;" a "&amp;VLOOKUP(V27,Apoio!B1:F4,3,FALSE))))</f>
        <v/>
      </c>
      <c r="AG29" s="189">
        <f>IF(V27="","Indique o fuso",IF(V27="","",IF(AND(Apoio!K4="Ok",OR(V27="",Conferencia!B16=1)),"",IF(AND(AL27&lt;&gt;"",V27&lt;&gt;"",Apoio!K4&lt;&gt;"Ok"),"Verifique a Ordenada","De "&amp;VLOOKUP($V$27,Apoio!B1:F4,4,FALSE)&amp;" a "&amp;VLOOKUP($V$27,Apoio!B1:F4,5,FALSE)))))</f>
        <v/>
      </c>
      <c r="AW29" s="8" t="n"/>
    </row>
    <row r="30" ht="3" customHeight="1" thickBot="1">
      <c r="B30" s="10" t="n"/>
      <c r="AW30" s="8" t="n"/>
    </row>
    <row r="31">
      <c r="B31" s="10" t="inlineStr">
        <is>
          <t>Potência do Grupo Motor Gerador de Emergência em Paralelo com a Cemig - Diesel ou Gás (kVA):</t>
        </is>
      </c>
      <c r="AH31" s="215" t="n"/>
      <c r="AI31" s="216" t="n"/>
      <c r="AW31" s="8" t="n"/>
    </row>
    <row r="32" ht="3" customHeight="1">
      <c r="B32" s="10" t="n"/>
      <c r="AW32" s="8" t="n"/>
    </row>
    <row r="33" ht="3" customHeight="1" thickBot="1">
      <c r="B33" s="13" t="n"/>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c r="AA33" s="14" t="n"/>
      <c r="AB33" s="14" t="n"/>
      <c r="AC33" s="14" t="n"/>
      <c r="AD33" s="14" t="n"/>
      <c r="AE33" s="14" t="n"/>
      <c r="AF33" s="14" t="n"/>
      <c r="AG33" s="14" t="n"/>
      <c r="AH33" s="14" t="n"/>
      <c r="AI33" s="14" t="n"/>
      <c r="AJ33" s="14" t="n"/>
      <c r="AK33" s="14" t="n"/>
      <c r="AL33" s="14" t="n"/>
      <c r="AM33" s="14" t="n"/>
      <c r="AN33" s="14" t="n"/>
      <c r="AO33" s="14" t="n"/>
      <c r="AP33" s="14" t="n"/>
      <c r="AQ33" s="14" t="n"/>
      <c r="AR33" s="14" t="n"/>
      <c r="AS33" s="14" t="n"/>
      <c r="AT33" s="14" t="n"/>
      <c r="AU33" s="14" t="n"/>
      <c r="AV33" s="14" t="n"/>
      <c r="AW33" s="15" t="n"/>
    </row>
    <row r="34" ht="15" customHeight="1">
      <c r="B34" s="217">
        <f>IF(Grupo="A","Para clientes do Grupo A:","")</f>
        <v/>
      </c>
      <c r="F34" s="8" t="n"/>
      <c r="G34" t="inlineStr">
        <is>
          <t>Tipo de Subestação (Conforme ND 5.3):</t>
        </is>
      </c>
      <c r="T34" s="218" t="n"/>
      <c r="U34" s="216" t="n"/>
      <c r="X34" s="73" t="inlineStr">
        <is>
          <t>Qte</t>
        </is>
      </c>
      <c r="Y34" s="20" t="n"/>
      <c r="Z34" s="219" t="n"/>
      <c r="AA34" s="202" t="n"/>
      <c r="AB34" s="44" t="inlineStr">
        <is>
          <t>è</t>
        </is>
      </c>
      <c r="AC34" s="72" t="inlineStr">
        <is>
          <t>Potência</t>
        </is>
      </c>
      <c r="AF34" s="219" t="n"/>
      <c r="AG34" s="201" t="n"/>
      <c r="AH34" s="202" t="n"/>
      <c r="AK34" s="73" t="inlineStr">
        <is>
          <t>Qte</t>
        </is>
      </c>
      <c r="AL34" s="20" t="n"/>
      <c r="AM34" s="219" t="n"/>
      <c r="AN34" s="202" t="n"/>
      <c r="AO34" s="44" t="inlineStr">
        <is>
          <t>è</t>
        </is>
      </c>
      <c r="AP34" s="72" t="inlineStr">
        <is>
          <t>Potência</t>
        </is>
      </c>
      <c r="AS34" s="219" t="n"/>
      <c r="AT34" s="201" t="n"/>
      <c r="AU34" s="202" t="n"/>
      <c r="AW34" s="8" t="n"/>
    </row>
    <row r="35" ht="3" customHeight="1" thickBot="1">
      <c r="B35" s="10" t="n"/>
      <c r="F35" s="8" t="n"/>
      <c r="AW35" s="8" t="n"/>
    </row>
    <row r="36">
      <c r="A36" s="8" t="n"/>
      <c r="B36" s="10" t="n"/>
      <c r="F36" s="8" t="n"/>
      <c r="G36">
        <f>IF(OR(TipoSE="Nº 1",TipoSE="Nº 5",TipoSE="Nº 8"),"Transformador particular (kVA):","Qte de potência distinta dos trafos:")</f>
        <v/>
      </c>
      <c r="S36" s="220" t="n"/>
      <c r="T36" s="201" t="n"/>
      <c r="U36" s="202" t="n"/>
      <c r="X36" s="73" t="inlineStr">
        <is>
          <t>Qte</t>
        </is>
      </c>
      <c r="Y36" s="20" t="n"/>
      <c r="Z36" s="219" t="n"/>
      <c r="AA36" s="202" t="n"/>
      <c r="AB36" s="44" t="inlineStr">
        <is>
          <t>è</t>
        </is>
      </c>
      <c r="AC36" s="72" t="inlineStr">
        <is>
          <t>Potência</t>
        </is>
      </c>
      <c r="AF36" s="219" t="n"/>
      <c r="AG36" s="201" t="n"/>
      <c r="AH36" s="202" t="n"/>
      <c r="AK36" s="73" t="inlineStr">
        <is>
          <t>Qte</t>
        </is>
      </c>
      <c r="AL36" s="20" t="n"/>
      <c r="AM36" s="219" t="n"/>
      <c r="AN36" s="202" t="n"/>
      <c r="AO36" s="44" t="inlineStr">
        <is>
          <t>è</t>
        </is>
      </c>
      <c r="AP36" s="72" t="inlineStr">
        <is>
          <t>Potência</t>
        </is>
      </c>
      <c r="AS36" s="219" t="n"/>
      <c r="AT36" s="201" t="n"/>
      <c r="AU36" s="202" t="n"/>
      <c r="AW36" s="8" t="n"/>
    </row>
    <row r="37" ht="3" customHeight="1">
      <c r="B37" s="1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2" t="n"/>
    </row>
    <row r="38" ht="3" customHeight="1" thickBot="1">
      <c r="B38" s="10" t="n"/>
      <c r="AW38" s="8" t="n"/>
    </row>
    <row r="39">
      <c r="B39" s="10" t="inlineStr">
        <is>
          <t>Tipo de Solicitação:</t>
        </is>
      </c>
      <c r="I39" s="221" t="inlineStr">
        <is>
          <t>Conexão de GD em Unidade Consumidora Existente SEM Alteração de Potência Disponibilizada</t>
        </is>
      </c>
      <c r="J39" s="222" t="n"/>
      <c r="K39" s="222" t="n"/>
      <c r="L39" s="222" t="n"/>
      <c r="M39" s="222" t="n"/>
      <c r="N39" s="222" t="n"/>
      <c r="O39" s="222" t="n"/>
      <c r="P39" s="222" t="n"/>
      <c r="Q39" s="222" t="n"/>
      <c r="R39" s="222" t="n"/>
      <c r="S39" s="222" t="n"/>
      <c r="T39" s="222" t="n"/>
      <c r="U39" s="222" t="n"/>
      <c r="V39" s="222" t="n"/>
      <c r="W39" s="222" t="n"/>
      <c r="X39" s="222" t="n"/>
      <c r="Y39" s="222" t="n"/>
      <c r="Z39" s="222" t="n"/>
      <c r="AA39" s="222" t="n"/>
      <c r="AB39" s="222" t="n"/>
      <c r="AC39" s="222" t="n"/>
      <c r="AD39" s="222" t="n"/>
      <c r="AE39" s="222" t="n"/>
      <c r="AF39" s="222" t="n"/>
      <c r="AG39" s="222" t="n"/>
      <c r="AH39" s="222" t="n"/>
      <c r="AI39" s="222" t="n"/>
      <c r="AJ39" s="222" t="n"/>
      <c r="AK39" s="222" t="n"/>
      <c r="AL39" s="222" t="n"/>
      <c r="AM39" s="222" t="n"/>
      <c r="AN39" s="216" t="n"/>
      <c r="AO39" s="110">
        <f>IF(I39="GD Existente COM Alteração de Potência Ativa Instalada Total","Pot. Atual (kW):","")</f>
        <v/>
      </c>
      <c r="AU39" s="223" t="n"/>
      <c r="AV39" s="216" t="n"/>
      <c r="AW39" s="8" t="n"/>
    </row>
    <row r="40" ht="3" customHeight="1" thickBot="1">
      <c r="B40" s="10" t="n"/>
      <c r="I40" s="16" t="n"/>
      <c r="J40" s="16" t="n"/>
      <c r="K40" s="16" t="n"/>
      <c r="L40" s="16" t="n"/>
      <c r="M40" s="16" t="n"/>
      <c r="N40" s="16" t="n"/>
      <c r="O40" s="16" t="n"/>
      <c r="P40" s="16" t="n"/>
      <c r="Q40" s="16" t="n"/>
      <c r="R40" s="16" t="n"/>
      <c r="S40" s="16" t="n"/>
      <c r="T40" s="16" t="n"/>
      <c r="U40" s="16" t="n"/>
      <c r="V40" s="16" t="n"/>
      <c r="W40" s="16" t="n"/>
      <c r="X40" s="16" t="n"/>
      <c r="Y40" s="16" t="n"/>
      <c r="Z40" s="16" t="n"/>
      <c r="AA40" s="16" t="n"/>
      <c r="AB40" s="16" t="n"/>
      <c r="AC40" s="16" t="n"/>
      <c r="AD40" s="16" t="n"/>
      <c r="AE40" s="16" t="n"/>
      <c r="AF40" s="16" t="n"/>
      <c r="AG40" s="16" t="n"/>
      <c r="AH40" s="16" t="n"/>
      <c r="AI40" s="16" t="n"/>
      <c r="AJ40" s="16" t="n"/>
      <c r="AK40" s="16" t="n"/>
      <c r="AL40" s="16" t="n"/>
      <c r="AM40" s="16" t="n"/>
      <c r="AN40" s="16" t="n"/>
      <c r="AO40" s="110" t="n"/>
      <c r="AP40" s="110" t="n"/>
      <c r="AQ40" s="110" t="n"/>
      <c r="AR40" s="110" t="n"/>
      <c r="AS40" s="110" t="n"/>
      <c r="AT40" s="110" t="n"/>
      <c r="AU40" s="5" t="n"/>
      <c r="AV40" s="5" t="n"/>
      <c r="AW40" s="8" t="n"/>
    </row>
    <row r="41">
      <c r="B41" s="10" t="inlineStr">
        <is>
          <t>Tipo de edificação:</t>
        </is>
      </c>
      <c r="I41" s="179" t="inlineStr">
        <is>
          <t>Edificação Individual</t>
        </is>
      </c>
      <c r="J41" s="222" t="n"/>
      <c r="K41" s="222" t="n"/>
      <c r="L41" s="222" t="n"/>
      <c r="M41" s="222" t="n"/>
      <c r="N41" s="222" t="n"/>
      <c r="O41" s="222" t="n"/>
      <c r="P41" s="222" t="n"/>
      <c r="Q41" s="222" t="n"/>
      <c r="R41" s="222" t="n"/>
      <c r="S41" s="222" t="n"/>
      <c r="T41" s="222" t="n"/>
      <c r="U41" s="222" t="n"/>
      <c r="V41" s="222" t="n"/>
      <c r="W41" s="222" t="n"/>
      <c r="X41" s="222" t="n"/>
      <c r="Y41" s="222" t="n"/>
      <c r="Z41" s="222" t="n"/>
      <c r="AA41" s="222" t="n"/>
      <c r="AB41" s="222" t="n"/>
      <c r="AC41" s="222" t="n"/>
      <c r="AD41" s="222" t="n"/>
      <c r="AE41" s="222" t="n"/>
      <c r="AF41" s="222" t="n"/>
      <c r="AG41" s="222" t="n"/>
      <c r="AH41" s="222" t="n"/>
      <c r="AI41" s="96" t="n"/>
      <c r="AJ41" s="96" t="n"/>
      <c r="AK41" s="96" t="n"/>
      <c r="AL41" s="96" t="n"/>
      <c r="AM41" s="110">
        <f>IF(I39="GD Existente COM Alteração de Potência Ativa Instalada Total","Nova Pot. Total (kW):","")</f>
        <v/>
      </c>
      <c r="AU41" s="223" t="n"/>
      <c r="AV41" s="216" t="n"/>
      <c r="AW41" s="8" t="n"/>
    </row>
    <row r="42" ht="3" customHeight="1">
      <c r="B42" s="10" t="n"/>
      <c r="I42" s="16" t="n"/>
      <c r="J42" s="16" t="n"/>
      <c r="K42" s="16" t="n"/>
      <c r="L42" s="16" t="n"/>
      <c r="M42" s="16" t="n"/>
      <c r="N42" s="16" t="n"/>
      <c r="O42" s="16" t="n"/>
      <c r="P42" s="16" t="n"/>
      <c r="Q42" s="16" t="n"/>
      <c r="R42" s="16" t="n"/>
      <c r="S42" s="16" t="n"/>
      <c r="T42" s="16" t="n"/>
      <c r="U42" s="96" t="n"/>
      <c r="V42" s="96" t="n"/>
      <c r="W42" s="96" t="n"/>
      <c r="X42" s="96" t="n"/>
      <c r="Y42" s="96" t="n"/>
      <c r="Z42" s="96" t="n"/>
      <c r="AA42" s="96" t="n"/>
      <c r="AB42" s="96" t="n"/>
      <c r="AC42" s="96" t="n"/>
      <c r="AD42" s="96" t="n"/>
      <c r="AE42" s="96" t="n"/>
      <c r="AF42" s="96" t="n"/>
      <c r="AG42" s="96" t="n"/>
      <c r="AH42" s="96" t="n"/>
      <c r="AI42" s="96" t="n"/>
      <c r="AJ42" s="96" t="n"/>
      <c r="AK42" s="96" t="n"/>
      <c r="AL42" s="96" t="n"/>
      <c r="AM42" s="110" t="n"/>
      <c r="AN42" s="110" t="n"/>
      <c r="AO42" s="110" t="n"/>
      <c r="AP42" s="110" t="n"/>
      <c r="AQ42" s="110" t="n"/>
      <c r="AR42" s="110" t="n"/>
      <c r="AS42" s="110" t="n"/>
      <c r="AT42" s="110" t="n"/>
      <c r="AU42" s="5" t="n"/>
      <c r="AV42" s="5" t="n"/>
      <c r="AW42" s="8" t="n"/>
    </row>
    <row r="43" ht="3" customHeight="1">
      <c r="B43" s="10" t="n"/>
      <c r="AW43" s="8" t="n"/>
    </row>
    <row r="44" ht="3" customHeight="1" thickBot="1">
      <c r="B44" s="10" t="n"/>
      <c r="AW44" s="8" t="n"/>
    </row>
    <row r="45">
      <c r="B45" s="224" t="inlineStr">
        <is>
          <t xml:space="preserve">Tipo de Padrão de Entrada:  </t>
        </is>
      </c>
      <c r="G45" s="8" t="n"/>
      <c r="H45" s="77">
        <f>IF(Grupo="B"," Disjuntor Individual Atual:",IF(OR(TipoSE="Nº 1",TipoSE="Nº 5",TipoSE="Nº 8"),"Disjuntor de Baixa Tensão:"," Relé de Proteção Secundária"))</f>
        <v/>
      </c>
      <c r="I45" s="28" t="n"/>
      <c r="J45" s="28" t="n"/>
      <c r="K45" s="28" t="n"/>
      <c r="L45" s="28" t="n"/>
      <c r="M45" s="28" t="n"/>
      <c r="N45" s="28" t="n"/>
      <c r="O45" s="28" t="n"/>
      <c r="P45" s="28" t="n"/>
      <c r="Q45" s="28" t="n"/>
      <c r="R45" s="28" t="n"/>
      <c r="S45" s="28" t="n"/>
      <c r="T45" s="28" t="n"/>
      <c r="U45" s="28" t="n"/>
      <c r="V45" s="28" t="n"/>
      <c r="W45" s="28" t="n"/>
      <c r="X45" s="28" t="n"/>
      <c r="Y45" s="28" t="n"/>
      <c r="Z45" s="28" t="n"/>
      <c r="AB45" s="203" t="inlineStr">
        <is>
          <t>Bipolar</t>
        </is>
      </c>
      <c r="AC45" s="201" t="n"/>
      <c r="AD45" s="201" t="n"/>
      <c r="AE45" s="201" t="n"/>
      <c r="AF45" s="202" t="n"/>
      <c r="AH45" s="203" t="n">
        <v>60</v>
      </c>
      <c r="AI45" s="201" t="n"/>
      <c r="AJ45" s="202" t="n"/>
      <c r="AK45" s="96" t="inlineStr">
        <is>
          <t>A</t>
        </is>
      </c>
      <c r="AW45" s="8" t="n"/>
    </row>
    <row r="46" ht="4.5" customHeight="1" thickBot="1">
      <c r="B46" s="10" t="n"/>
      <c r="G46" s="8" t="n"/>
      <c r="H46" s="28" t="n"/>
      <c r="I46" s="28" t="n"/>
      <c r="J46" s="28" t="n"/>
      <c r="K46" s="28" t="n"/>
      <c r="L46" s="28" t="n"/>
      <c r="M46" s="28" t="n"/>
      <c r="N46" s="28" t="n"/>
      <c r="O46" s="28" t="n"/>
      <c r="P46" s="28" t="n"/>
      <c r="Q46" s="28" t="n"/>
      <c r="R46" s="28" t="n"/>
      <c r="S46" s="28" t="n"/>
      <c r="T46" s="28" t="n"/>
      <c r="U46" s="28" t="n"/>
      <c r="V46" s="28" t="n"/>
      <c r="W46" s="28" t="n"/>
      <c r="X46" s="28" t="n"/>
      <c r="Y46" s="28" t="n"/>
      <c r="Z46" s="28" t="n"/>
      <c r="AW46" s="8" t="n"/>
    </row>
    <row r="47">
      <c r="B47" s="10" t="n"/>
      <c r="G47" s="8" t="n"/>
      <c r="H47" s="77">
        <f>IF(Grupo="A","",IF(OR(MAX(Dados!D4:D7)=1,MAX(Dados!D4:D7)=3)," Disjuntor Individual Solicitado para Alteração de Carga:",IF(AND(OR(MAX(Dados!D4:D7)=2,MAX(Dados!D4:D7)=4),MAX(Dados!D13:D17)&gt;1)," Disjuntor Geral do Padrão (Conforme ND 5.2):","")))</f>
        <v/>
      </c>
      <c r="I47" s="28" t="n"/>
      <c r="J47" s="28" t="n"/>
      <c r="K47" s="28" t="n"/>
      <c r="L47" s="28" t="n"/>
      <c r="M47" s="28" t="n"/>
      <c r="N47" s="28" t="n"/>
      <c r="O47" s="28" t="n"/>
      <c r="P47" s="28" t="n"/>
      <c r="Q47" s="28" t="n"/>
      <c r="R47" s="28" t="n"/>
      <c r="S47" s="28" t="n"/>
      <c r="T47" s="28" t="n"/>
      <c r="U47" s="28" t="n"/>
      <c r="V47" s="28" t="n"/>
      <c r="W47" s="28" t="n"/>
      <c r="X47" s="28" t="n"/>
      <c r="Y47" s="28" t="n"/>
      <c r="Z47" s="28" t="n"/>
      <c r="AB47" s="225" t="n"/>
      <c r="AC47" s="201" t="n"/>
      <c r="AD47" s="201" t="n"/>
      <c r="AE47" s="201" t="n"/>
      <c r="AF47" s="202" t="n"/>
      <c r="AH47" s="203" t="n"/>
      <c r="AI47" s="201" t="n"/>
      <c r="AJ47" s="202" t="n"/>
      <c r="AK47" s="96">
        <f>IF(H47="","","A")</f>
        <v/>
      </c>
      <c r="AW47" s="8" t="n"/>
    </row>
    <row r="48" ht="3" customHeight="1" thickBot="1">
      <c r="B48" s="10" t="n"/>
      <c r="G48" s="8" t="n"/>
      <c r="H48" s="28" t="n"/>
      <c r="I48" s="28" t="n"/>
      <c r="J48" s="28" t="n"/>
      <c r="K48" s="28" t="n"/>
      <c r="L48" s="28" t="n"/>
      <c r="M48" s="28" t="n"/>
      <c r="N48" s="28" t="n"/>
      <c r="O48" s="28" t="n"/>
      <c r="P48" s="28" t="n"/>
      <c r="Q48" s="28" t="n"/>
      <c r="R48" s="28" t="n"/>
      <c r="S48" s="28" t="n"/>
      <c r="T48" s="28" t="n"/>
      <c r="U48" s="28" t="n"/>
      <c r="V48" s="28" t="n"/>
      <c r="W48" s="28" t="n"/>
      <c r="X48" s="28" t="n"/>
      <c r="Y48" s="28" t="n"/>
      <c r="Z48" s="28" t="n"/>
      <c r="AW48" s="8" t="n"/>
    </row>
    <row r="49" ht="17.25" customHeight="1">
      <c r="B49" s="10" t="n"/>
      <c r="G49" s="8" t="n"/>
      <c r="H49" s="77">
        <f>IF(Grupo="A","",IF(AND(OR(MAX(Dados!D4:D7)=1,MAX(Dados!D4:D7)=3),MAX(Dados!D13:D17)&gt;1)," Disjuntor Geral do Padrão (Conforme ND 5.2):",""))</f>
        <v/>
      </c>
      <c r="I49" s="28" t="n"/>
      <c r="J49" s="28" t="n"/>
      <c r="K49" s="28" t="n"/>
      <c r="L49" s="28" t="n"/>
      <c r="M49" s="28" t="n"/>
      <c r="N49" s="28" t="n"/>
      <c r="O49" s="28" t="n"/>
      <c r="P49" s="28" t="n"/>
      <c r="Q49" s="28" t="n"/>
      <c r="R49" s="28" t="n"/>
      <c r="S49" s="28" t="n"/>
      <c r="T49" s="28" t="n"/>
      <c r="U49" s="28" t="n"/>
      <c r="V49" s="28" t="n"/>
      <c r="W49" s="28" t="n"/>
      <c r="X49" s="28" t="n"/>
      <c r="Y49" s="28" t="n"/>
      <c r="Z49" s="28" t="n"/>
      <c r="AB49" s="226" t="n"/>
      <c r="AC49" s="201" t="n"/>
      <c r="AD49" s="201" t="n"/>
      <c r="AE49" s="201" t="n"/>
      <c r="AF49" s="202" t="n"/>
      <c r="AH49" s="226" t="n"/>
      <c r="AI49" s="201" t="n"/>
      <c r="AJ49" s="202" t="n"/>
      <c r="AK49" s="96">
        <f>IF(H49="","","A")</f>
        <v/>
      </c>
      <c r="AM49" s="96" t="inlineStr">
        <is>
          <t>Qte Disjuntor Geral:</t>
        </is>
      </c>
      <c r="AT49" s="200" t="n"/>
      <c r="AU49" s="201" t="n"/>
      <c r="AV49" s="202" t="n"/>
      <c r="AW49" s="8" t="n"/>
    </row>
    <row r="50" ht="3" customHeight="1">
      <c r="B50" s="10" t="n"/>
      <c r="AW50" s="8" t="n"/>
    </row>
    <row r="51" ht="3" customHeight="1" thickBot="1">
      <c r="B51" s="10" t="n"/>
      <c r="AW51" s="8" t="n"/>
    </row>
    <row r="52">
      <c r="B52" s="10" t="inlineStr">
        <is>
          <t>Tensão de Atendimento (V):</t>
        </is>
      </c>
      <c r="L52" s="88" t="inlineStr">
        <is>
          <t>120/240</t>
        </is>
      </c>
      <c r="M52" s="222" t="n"/>
      <c r="N52" s="222" t="n"/>
      <c r="O52" s="222" t="n"/>
      <c r="S52" t="inlineStr">
        <is>
          <t xml:space="preserve">Tipo de Ramal: </t>
        </is>
      </c>
      <c r="X52" s="215" t="inlineStr">
        <is>
          <t>Aéreo</t>
        </is>
      </c>
      <c r="Y52" s="222" t="n"/>
      <c r="Z52" s="222" t="n"/>
      <c r="AA52" s="222" t="n"/>
      <c r="AB52" s="216" t="n"/>
      <c r="AE52" s="142">
        <f>IF(AND(OR(AH45&gt;=300,AH47&gt;=300,AH49&gt;=300),Ramal="Aéreo")," &lt;-- Atenção! Altere o tipo de ramal","")</f>
        <v/>
      </c>
      <c r="AW52" s="8" t="n"/>
    </row>
    <row r="53" ht="3" customHeight="1" thickBot="1">
      <c r="B53" s="10" t="n"/>
      <c r="X53" s="16" t="n"/>
      <c r="Y53" s="16" t="n"/>
      <c r="Z53" s="16" t="n"/>
      <c r="AA53" s="16" t="n"/>
      <c r="AB53" s="16" t="n"/>
      <c r="AW53" s="8" t="n"/>
    </row>
    <row r="54">
      <c r="A54" s="8" t="n"/>
      <c r="B54" s="29">
        <f>IF(MAX(Dados!D4:D7)&lt;4,"Haverá Mudança de Local do Padrão de Entrada:","")</f>
        <v/>
      </c>
      <c r="C54" s="28" t="n"/>
      <c r="D54" s="28" t="n"/>
      <c r="E54" s="28" t="n"/>
      <c r="F54" s="28" t="n"/>
      <c r="G54" s="28" t="n"/>
      <c r="H54" s="28" t="n"/>
      <c r="I54" s="28" t="n"/>
      <c r="J54" s="28" t="n"/>
      <c r="K54" s="28" t="n"/>
      <c r="L54" s="28" t="n"/>
      <c r="M54" s="28" t="n"/>
      <c r="N54" s="28" t="n"/>
      <c r="O54" s="28" t="n"/>
      <c r="P54" s="28" t="n"/>
      <c r="R54" s="215" t="inlineStr">
        <is>
          <t>Não</t>
        </is>
      </c>
      <c r="S54" s="216" t="n"/>
      <c r="U54" s="97">
        <f>IF(AND(TipoSE="Nº 1",R54="Sim"),"&lt;-- Para SE Nº 1 não pode haver mudança de local do Padrão de Entrada. Altere...","")</f>
        <v/>
      </c>
      <c r="AV54" s="227" t="n"/>
      <c r="AW54" s="8" t="n"/>
    </row>
    <row r="55" ht="3" customHeight="1">
      <c r="B55" s="10" t="n"/>
      <c r="AW55" s="8" t="n"/>
    </row>
    <row r="56" ht="3" customHeight="1">
      <c r="B56" s="32" t="n"/>
      <c r="C56" s="32" t="n"/>
      <c r="D56" s="32" t="n"/>
      <c r="E56" s="32" t="n"/>
      <c r="F56" s="32" t="n"/>
      <c r="G56" s="32" t="n"/>
      <c r="H56" s="32" t="n"/>
      <c r="I56" s="32" t="n"/>
      <c r="J56" s="32" t="n"/>
      <c r="K56" s="32" t="n"/>
      <c r="L56" s="32" t="n"/>
      <c r="M56" s="32" t="n"/>
      <c r="N56" s="32" t="n"/>
      <c r="O56" s="32" t="n"/>
      <c r="P56" s="32" t="n"/>
      <c r="Q56" s="32" t="n"/>
      <c r="R56" s="32" t="n"/>
      <c r="S56" s="32" t="n"/>
      <c r="T56" s="32" t="n"/>
      <c r="U56" s="32" t="n"/>
      <c r="V56" s="32" t="n"/>
      <c r="W56" s="32" t="n"/>
      <c r="X56" s="32" t="n"/>
      <c r="Y56" s="32" t="n"/>
      <c r="Z56" s="32" t="n"/>
      <c r="AA56" s="32" t="n"/>
      <c r="AB56" s="32" t="n"/>
      <c r="AC56" s="32" t="n"/>
      <c r="AD56" s="32" t="n"/>
      <c r="AE56" s="32" t="n"/>
      <c r="AF56" s="32" t="n"/>
      <c r="AG56" s="32" t="n"/>
      <c r="AH56" s="32" t="n"/>
      <c r="AI56" s="32" t="n"/>
      <c r="AJ56" s="32" t="n"/>
      <c r="AK56" s="32" t="n"/>
      <c r="AL56" s="32" t="n"/>
      <c r="AM56" s="32" t="n"/>
      <c r="AN56" s="32" t="n"/>
      <c r="AO56" s="32" t="n"/>
      <c r="AP56" s="32" t="n"/>
      <c r="AQ56" s="32" t="n"/>
      <c r="AR56" s="32" t="n"/>
      <c r="AS56" s="32" t="n"/>
      <c r="AT56" s="32" t="n"/>
      <c r="AU56" s="32" t="n"/>
      <c r="AV56" s="32" t="n"/>
      <c r="AW56" s="32" t="n"/>
    </row>
    <row r="57">
      <c r="B57" s="124" t="inlineStr">
        <is>
          <t>3 – DADOS DA GERAÇÃO</t>
        </is>
      </c>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34" t="n"/>
    </row>
    <row r="58" ht="3" customHeight="1" thickBot="1">
      <c r="B58" s="13"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c r="AA58" s="14" t="n"/>
      <c r="AB58" s="14" t="n"/>
      <c r="AC58" s="14" t="n"/>
      <c r="AD58" s="14" t="n"/>
      <c r="AE58" s="14" t="n"/>
      <c r="AF58" s="14" t="n"/>
      <c r="AG58" s="14" t="n"/>
      <c r="AH58" s="14" t="n"/>
      <c r="AI58" s="14" t="n"/>
      <c r="AJ58" s="14" t="n"/>
      <c r="AK58" s="14" t="n"/>
      <c r="AL58" s="14" t="n"/>
      <c r="AM58" s="14" t="n"/>
      <c r="AN58" s="14" t="n"/>
      <c r="AO58" s="14" t="n"/>
      <c r="AP58" s="14" t="n"/>
      <c r="AQ58" s="14" t="n"/>
      <c r="AR58" s="14" t="n"/>
      <c r="AS58" s="14" t="n"/>
      <c r="AT58" s="14" t="n"/>
      <c r="AU58" s="14" t="n"/>
      <c r="AV58" s="14" t="n"/>
      <c r="AW58" s="15" t="n"/>
    </row>
    <row r="59" ht="15.75" customHeight="1" thickBot="1">
      <c r="B59" s="10" t="inlineStr">
        <is>
          <t>Tipo de Fonte de Geração:</t>
        </is>
      </c>
      <c r="L59" s="228" t="inlineStr">
        <is>
          <t>Solar</t>
        </is>
      </c>
      <c r="M59" s="229" t="n"/>
      <c r="N59" s="229" t="n"/>
      <c r="O59" s="229" t="n"/>
      <c r="P59" s="229" t="n"/>
      <c r="Q59" s="229" t="n"/>
      <c r="R59" s="229" t="n"/>
      <c r="S59" s="230" t="n"/>
      <c r="T59" s="108" t="n"/>
      <c r="U59" s="231" t="n"/>
      <c r="V59" s="231" t="n"/>
      <c r="W59" s="231" t="n"/>
      <c r="X59" s="231" t="n"/>
      <c r="Y59" s="231" t="n"/>
      <c r="Z59" s="232" t="n"/>
      <c r="AA59" t="inlineStr">
        <is>
          <t>Potência Ativa Instalada Total de Geração da Usina (kW):</t>
        </is>
      </c>
      <c r="AT59" s="137">
        <f>IF(OR(TipoFonte="Hidráulica",TipoFonte="Eólica"),P71,IF(AND(TipoFonte&lt;&gt;"Eólica",P69+P71=0),"",MIN(P69,P71)))</f>
        <v/>
      </c>
      <c r="AU59" s="211" t="n"/>
      <c r="AV59" s="211" t="n"/>
      <c r="AW59" s="8" t="n"/>
    </row>
    <row r="60" ht="3" customHeight="1" thickBot="1">
      <c r="B60" s="10" t="n"/>
      <c r="AW60" s="8" t="n"/>
    </row>
    <row r="61">
      <c r="B61" s="10" t="inlineStr">
        <is>
          <t>Modalidade de compensação:</t>
        </is>
      </c>
      <c r="L61" s="205" t="inlineStr">
        <is>
          <t>Consumo Local</t>
        </is>
      </c>
      <c r="M61" s="201" t="n"/>
      <c r="N61" s="201" t="n"/>
      <c r="O61" s="201" t="n"/>
      <c r="P61" s="201" t="n"/>
      <c r="Q61" s="201" t="n"/>
      <c r="R61" s="201" t="n"/>
      <c r="S61" s="201" t="n"/>
      <c r="T61" s="201" t="n"/>
      <c r="U61" s="201" t="n"/>
      <c r="V61" s="201" t="n"/>
      <c r="W61" s="201" t="n"/>
      <c r="X61" s="201" t="n"/>
      <c r="Y61" s="201" t="n"/>
      <c r="Z61" s="201" t="n"/>
      <c r="AA61" s="201" t="n"/>
      <c r="AB61" s="201" t="n"/>
      <c r="AC61" s="201" t="n"/>
      <c r="AD61" s="202" t="n"/>
      <c r="AE61" s="233" t="inlineStr">
        <is>
          <t>Qtde. de Instalações a receber o crédito:</t>
        </is>
      </c>
      <c r="AR61" s="20" t="n"/>
      <c r="AS61" s="215" t="n">
        <v>1</v>
      </c>
      <c r="AT61" s="222" t="n"/>
      <c r="AU61" s="222" t="n"/>
      <c r="AV61" s="216" t="n"/>
      <c r="AW61" s="8" t="n"/>
    </row>
    <row r="62" ht="3" customHeight="1">
      <c r="B62" s="1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2" t="n"/>
    </row>
    <row r="63" ht="3" customHeight="1">
      <c r="B63" s="234"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c r="AA63" s="14" t="n"/>
      <c r="AB63" s="14" t="n"/>
      <c r="AC63" s="14" t="n"/>
      <c r="AD63" s="14" t="n"/>
      <c r="AE63" s="14" t="n"/>
      <c r="AF63" s="14" t="n"/>
      <c r="AG63" s="14" t="n"/>
      <c r="AH63" s="14" t="n"/>
      <c r="AI63" s="14" t="n"/>
      <c r="AJ63" s="14" t="n"/>
      <c r="AK63" s="14" t="n"/>
      <c r="AL63" s="14" t="n"/>
      <c r="AM63" s="14" t="n"/>
      <c r="AN63" s="14" t="n"/>
      <c r="AO63" s="14" t="n"/>
      <c r="AP63" s="14" t="n"/>
      <c r="AQ63" s="14" t="n"/>
      <c r="AR63" s="14" t="n"/>
      <c r="AS63" s="14" t="n"/>
      <c r="AT63" s="14" t="n"/>
      <c r="AU63" s="14" t="n"/>
      <c r="AV63" s="14" t="n"/>
      <c r="AW63" s="15" t="n"/>
    </row>
    <row r="64" ht="15" customHeight="1">
      <c r="B64" s="85">
        <f>IF(TipoFonte="Solar","Preencher o quadro abaixo para projeto de CENTRAL GERADORA FOTOVOLTAICA.",IF(TipoFonte="Hidráulica","Preencher o quadro abaixo para projeto de CENTRAL GERADORA HIDRELÉTRICA - CGH.",IF(OR(TipoFonte="Cogeração Qualificada",TipoFonte="Biomassa")," Preencher o quadro abaixo para projeto de CENTRAL GERADORA TÉRMICA.",IF(TipoFonte="Eólica"," Preencher o quadro abaixo para projeto de CENTRAL GERADORA EÓLICA.",""))))</f>
        <v/>
      </c>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8" t="n"/>
    </row>
    <row r="65" ht="3" customHeight="1">
      <c r="B65" s="37" t="n"/>
      <c r="C65" s="38" t="n"/>
      <c r="D65" s="38" t="n"/>
      <c r="E65" s="38" t="n"/>
      <c r="F65" s="38" t="n"/>
      <c r="G65" s="38" t="n"/>
      <c r="H65" s="38" t="n"/>
      <c r="I65" s="38" t="n"/>
      <c r="J65" s="38" t="n"/>
      <c r="K65" s="38" t="n"/>
      <c r="L65" s="38" t="n"/>
      <c r="M65" s="38" t="n"/>
      <c r="N65" s="38" t="n"/>
      <c r="O65" s="38" t="n"/>
      <c r="P65" s="38" t="n"/>
      <c r="Q65" s="38" t="n"/>
      <c r="R65" s="38" t="n"/>
      <c r="S65" s="38" t="n"/>
      <c r="T65" s="38" t="n"/>
      <c r="U65" s="38" t="n"/>
      <c r="V65" s="38" t="n"/>
      <c r="W65" s="38" t="n"/>
      <c r="X65" s="38" t="n"/>
      <c r="Y65" s="38" t="n"/>
      <c r="Z65" s="38" t="n"/>
      <c r="AA65" s="38" t="n"/>
      <c r="AB65" s="38" t="n"/>
      <c r="AC65" s="38" t="n"/>
      <c r="AD65" s="38" t="n"/>
      <c r="AE65" s="38" t="n"/>
      <c r="AF65" s="38" t="n"/>
      <c r="AG65" s="38" t="n"/>
      <c r="AH65" s="38" t="n"/>
      <c r="AI65" s="38" t="n"/>
      <c r="AJ65" s="38" t="n"/>
      <c r="AK65" s="38" t="n"/>
      <c r="AL65" s="38" t="n"/>
      <c r="AM65" s="38" t="n"/>
      <c r="AN65" s="38" t="n"/>
      <c r="AO65" s="38" t="n"/>
      <c r="AP65" s="38" t="n"/>
      <c r="AQ65" s="38" t="n"/>
      <c r="AR65" s="38" t="n"/>
      <c r="AS65" s="38" t="n"/>
      <c r="AT65" s="38" t="n"/>
      <c r="AU65" s="38" t="n"/>
      <c r="AV65" s="38" t="n"/>
      <c r="AW65" s="8" t="n"/>
    </row>
    <row r="66" ht="3" customHeight="1">
      <c r="B66" s="10" t="n"/>
      <c r="AW66" s="8" t="n"/>
    </row>
    <row r="67" ht="15" customHeight="1">
      <c r="B67" s="10" t="n"/>
      <c r="C67" s="87">
        <f>IF(Dados!D6=3," Os dados abaixo deverão ser preenchidos considerando a condição final da usina (potência atual + potência acrescida)","")</f>
        <v/>
      </c>
      <c r="AW67" s="8" t="n"/>
    </row>
    <row r="68" ht="6" customHeight="1" thickBot="1">
      <c r="B68" s="10" t="n"/>
      <c r="AW68" s="8" t="n"/>
    </row>
    <row r="69" ht="15" customHeight="1">
      <c r="B69" s="10">
        <f>IF(TipoFonte="Solar","Potência Total Módulos (kW):",IF(OR(TipoFonte="Hidráulica",TipoFonte="Biomassa",TipoFonte="Cogeração Qualificada"),"Potência Aparente (kVA):",IF(TipoFonte="Eólica","Quantidade de Aerogeradores:","")))</f>
        <v/>
      </c>
      <c r="P69" s="235" t="n">
        <v>5.98</v>
      </c>
      <c r="Q69" s="201" t="n"/>
      <c r="R69" s="201" t="n"/>
      <c r="S69" s="201" t="n"/>
      <c r="T69" s="201" t="n"/>
      <c r="U69" s="201" t="n"/>
      <c r="V69" s="202" t="n"/>
      <c r="W69" s="96" t="n"/>
      <c r="X69" s="96" t="n"/>
      <c r="Y69" s="96" t="n"/>
      <c r="Z69" s="96" t="n"/>
      <c r="AA69" s="96" t="n"/>
      <c r="AB69" s="96" t="n"/>
      <c r="AC69" s="96" t="n"/>
      <c r="AD69" s="96" t="n"/>
      <c r="AE69" s="96" t="n"/>
      <c r="AF69" s="96" t="n"/>
      <c r="AG69" s="96" t="n"/>
      <c r="AH69" s="96" t="n"/>
      <c r="AI69" s="96" t="n"/>
      <c r="AJ69" s="96" t="n"/>
      <c r="AK69" s="96" t="n"/>
      <c r="AL69" s="96" t="n"/>
      <c r="AM69" s="96" t="n"/>
      <c r="AN69" s="96" t="n"/>
      <c r="AO69" s="96" t="n"/>
      <c r="AP69" s="96" t="n"/>
      <c r="AQ69" s="96" t="n"/>
      <c r="AR69" s="96" t="n"/>
      <c r="AS69" s="96" t="n"/>
      <c r="AT69" s="96" t="n"/>
      <c r="AU69" s="96" t="n"/>
      <c r="AW69" s="8" t="n"/>
    </row>
    <row r="70" ht="3.95" customHeight="1" thickBot="1">
      <c r="B70" s="10" t="n"/>
      <c r="P70" s="96" t="n"/>
      <c r="Q70" s="96" t="n"/>
      <c r="R70" s="96" t="n"/>
      <c r="S70" s="96" t="n"/>
      <c r="T70" s="96" t="n"/>
      <c r="U70" s="96" t="n"/>
      <c r="V70" s="96" t="n"/>
      <c r="W70" s="96" t="n"/>
      <c r="X70" s="96" t="n"/>
      <c r="Y70" s="96" t="n"/>
      <c r="Z70" s="96" t="n"/>
      <c r="AA70" s="96" t="n"/>
      <c r="AB70" s="96" t="n"/>
      <c r="AC70" s="96" t="n"/>
      <c r="AD70" s="96" t="n"/>
      <c r="AE70" s="96" t="n"/>
      <c r="AF70" s="96" t="n"/>
      <c r="AG70" s="96" t="n"/>
      <c r="AH70" s="96" t="n"/>
      <c r="AI70" s="96" t="n"/>
      <c r="AJ70" s="96" t="n"/>
      <c r="AK70" s="96" t="n"/>
      <c r="AL70" s="96" t="n"/>
      <c r="AM70" s="96" t="n"/>
      <c r="AN70" s="96" t="n"/>
      <c r="AO70" s="96" t="n"/>
      <c r="AP70" s="96" t="n"/>
      <c r="AQ70" s="96" t="n"/>
      <c r="AR70" s="96" t="n"/>
      <c r="AS70" s="96" t="n"/>
      <c r="AT70" s="96" t="n"/>
      <c r="AU70" s="96" t="n"/>
      <c r="AW70" s="8" t="n"/>
    </row>
    <row r="71" ht="15" customHeight="1">
      <c r="B71" s="10">
        <f>IF(TipoFonte="Solar","Potência Total Inversores (kW):",IF(OR(TipoFonte="Hidráulica",TipoFonte="Biomassa",TipoFonte="Eólica",TipoFonte="Cogeração Qualificada"),"Potência Instalada (kW):",""))</f>
        <v/>
      </c>
      <c r="P71" s="235" t="n">
        <v>4</v>
      </c>
      <c r="Q71" s="201" t="n"/>
      <c r="R71" s="201" t="n"/>
      <c r="S71" s="201" t="n"/>
      <c r="T71" s="201" t="n"/>
      <c r="U71" s="201" t="n"/>
      <c r="V71" s="202" t="n"/>
      <c r="W71" s="96" t="n"/>
      <c r="X71" s="96" t="n"/>
      <c r="Y71" s="96" t="n"/>
      <c r="Z71" s="96" t="n"/>
      <c r="AA71" s="96" t="n"/>
      <c r="AB71" s="96" t="n"/>
      <c r="AC71" s="96" t="n"/>
      <c r="AD71" s="96" t="n"/>
      <c r="AE71" s="96" t="n"/>
      <c r="AF71" s="96" t="n"/>
      <c r="AG71" s="96" t="n"/>
      <c r="AH71" s="96" t="n"/>
      <c r="AI71" s="96" t="n"/>
      <c r="AJ71" s="96" t="n"/>
      <c r="AK71" s="96" t="n"/>
      <c r="AL71" s="96" t="n"/>
      <c r="AM71" s="96" t="n"/>
      <c r="AN71" s="96" t="n"/>
      <c r="AO71" s="96" t="n"/>
      <c r="AP71" s="96" t="n"/>
      <c r="AQ71" s="96" t="n"/>
      <c r="AR71" s="96" t="n"/>
      <c r="AS71" s="96" t="n"/>
      <c r="AT71" s="96" t="n"/>
      <c r="AU71" s="96" t="n"/>
      <c r="AW71" s="8" t="n"/>
    </row>
    <row r="72" ht="3.95" customHeight="1" thickBot="1">
      <c r="B72" s="10" t="n"/>
      <c r="P72" s="96" t="n"/>
      <c r="Q72" s="96" t="n"/>
      <c r="R72" s="96" t="n"/>
      <c r="S72" s="96" t="n"/>
      <c r="T72" s="96" t="n"/>
      <c r="U72" s="96" t="n"/>
      <c r="V72" s="96" t="n"/>
      <c r="W72" s="96" t="n"/>
      <c r="X72" s="96" t="n"/>
      <c r="Y72" s="96" t="n"/>
      <c r="Z72" s="96" t="n"/>
      <c r="AA72" s="96" t="n"/>
      <c r="AB72" s="96" t="n"/>
      <c r="AC72" s="96" t="n"/>
      <c r="AD72" s="96" t="n"/>
      <c r="AE72" s="96" t="n"/>
      <c r="AF72" s="96" t="n"/>
      <c r="AG72" s="96" t="n"/>
      <c r="AH72" s="96" t="n"/>
      <c r="AI72" s="96" t="n"/>
      <c r="AJ72" s="96" t="n"/>
      <c r="AK72" s="96" t="n"/>
      <c r="AL72" s="96" t="n"/>
      <c r="AM72" s="96" t="n"/>
      <c r="AN72" s="96" t="n"/>
      <c r="AO72" s="96" t="n"/>
      <c r="AP72" s="96" t="n"/>
      <c r="AQ72" s="96" t="n"/>
      <c r="AR72" s="96" t="n"/>
      <c r="AS72" s="96" t="n"/>
      <c r="AT72" s="96" t="n"/>
      <c r="AU72" s="96" t="n"/>
      <c r="AW72" s="8" t="n"/>
    </row>
    <row r="73" ht="15" customHeight="1">
      <c r="B73" s="10">
        <f>IF(TipoFonte="Solar","Área dos Arranjos (m²):",IF(OR(TipoFonte="Hidráulica",TipoFonte="Biomassa",TipoFonte="Eólica",TipoFonte="Cogeração Qualificada"),"Fator de Potência:",""))</f>
        <v/>
      </c>
      <c r="P73" s="235" t="n">
        <v>28.1</v>
      </c>
      <c r="Q73" s="201" t="n"/>
      <c r="R73" s="201" t="n"/>
      <c r="S73" s="201" t="n"/>
      <c r="T73" s="201" t="n"/>
      <c r="U73" s="201" t="n"/>
      <c r="V73" s="202" t="n"/>
      <c r="W73" s="96" t="n"/>
      <c r="X73" s="96" t="n"/>
      <c r="Y73" s="96" t="n"/>
      <c r="Z73" s="96" t="n"/>
      <c r="AA73" s="96" t="n"/>
      <c r="AB73" s="96" t="n"/>
      <c r="AC73" s="96" t="n"/>
      <c r="AD73" s="96" t="n"/>
      <c r="AE73" s="96" t="n"/>
      <c r="AF73" s="96" t="n"/>
      <c r="AG73" s="96" t="n"/>
      <c r="AH73" s="96" t="n"/>
      <c r="AI73" s="96" t="n"/>
      <c r="AJ73" s="96" t="n"/>
      <c r="AK73" s="96" t="n"/>
      <c r="AL73" s="96" t="n"/>
      <c r="AM73" s="96" t="n"/>
      <c r="AN73" s="96" t="n"/>
      <c r="AO73" s="96" t="n"/>
      <c r="AP73" s="96" t="n"/>
      <c r="AQ73" s="96" t="n"/>
      <c r="AR73" s="96" t="n"/>
      <c r="AS73" s="96" t="n"/>
      <c r="AT73" s="96" t="n"/>
      <c r="AU73" s="96" t="n"/>
      <c r="AW73" s="8" t="n"/>
    </row>
    <row r="74" ht="3.95" customHeight="1" thickBot="1">
      <c r="B74" s="10" t="n"/>
      <c r="P74" s="96" t="n"/>
      <c r="Q74" s="96" t="n"/>
      <c r="R74" s="96" t="n"/>
      <c r="S74" s="96" t="n"/>
      <c r="T74" s="96" t="n"/>
      <c r="U74" s="96" t="n"/>
      <c r="V74" s="96" t="n"/>
      <c r="W74" s="96" t="n"/>
      <c r="X74" s="96" t="n"/>
      <c r="Y74" s="96" t="n"/>
      <c r="Z74" s="96" t="n"/>
      <c r="AA74" s="96" t="n"/>
      <c r="AB74" s="96" t="n"/>
      <c r="AC74" s="96" t="n"/>
      <c r="AD74" s="96" t="n"/>
      <c r="AE74" s="96" t="n"/>
      <c r="AF74" s="96" t="n"/>
      <c r="AG74" s="96" t="n"/>
      <c r="AH74" s="96" t="n"/>
      <c r="AI74" s="96" t="n"/>
      <c r="AJ74" s="96" t="n"/>
      <c r="AK74" s="96" t="n"/>
      <c r="AL74" s="96" t="n"/>
      <c r="AM74" s="96" t="n"/>
      <c r="AN74" s="96" t="n"/>
      <c r="AO74" s="96" t="n"/>
      <c r="AP74" s="96" t="n"/>
      <c r="AQ74" s="96" t="n"/>
      <c r="AR74" s="96" t="n"/>
      <c r="AS74" s="96" t="n"/>
      <c r="AT74" s="96" t="n"/>
      <c r="AU74" s="96" t="n"/>
      <c r="AW74" s="8" t="n"/>
    </row>
    <row r="75" ht="15" customHeight="1">
      <c r="B75" s="10">
        <f>IF(TipoFonte="Solar","Quantidade de Módulos:",IF(TipoFonte="Hidráulica","Tensão (kV):",IF(OR(TipoFonte="Cogeração Qualificada",TipoFonte="Biomassa"),"Combustível:",IF(TipoFonte="Eólica","Fabricante dos Aerogeradores:",""))))</f>
        <v/>
      </c>
      <c r="P75" s="235" t="n">
        <v>13</v>
      </c>
      <c r="Q75" s="201" t="n"/>
      <c r="R75" s="201" t="n"/>
      <c r="S75" s="201" t="n"/>
      <c r="T75" s="201" t="n"/>
      <c r="U75" s="201" t="n"/>
      <c r="V75" s="202" t="n"/>
      <c r="W75" s="96" t="n"/>
      <c r="X75" s="96" t="n"/>
      <c r="Y75" s="64" t="n"/>
      <c r="Z75" s="64" t="n"/>
      <c r="AA75" s="96" t="n"/>
      <c r="AB75" s="96" t="n"/>
      <c r="AC75" s="96" t="n"/>
      <c r="AD75" s="96" t="n"/>
      <c r="AE75" s="96" t="n"/>
      <c r="AF75" s="96" t="n"/>
      <c r="AG75" s="96" t="n"/>
      <c r="AH75" s="96" t="n"/>
      <c r="AI75" s="96" t="n"/>
      <c r="AJ75" s="96" t="n"/>
      <c r="AK75" s="96" t="n"/>
      <c r="AL75" s="96" t="n"/>
      <c r="AM75" s="96" t="n"/>
      <c r="AN75" s="96" t="n"/>
      <c r="AO75" s="96" t="n"/>
      <c r="AP75" s="96" t="n"/>
      <c r="AQ75" s="96" t="n"/>
      <c r="AR75" s="96" t="n"/>
      <c r="AS75" s="96" t="n"/>
      <c r="AT75" s="96" t="n"/>
      <c r="AU75" s="96" t="n"/>
      <c r="AW75" s="8" t="n"/>
    </row>
    <row r="76" ht="3.95" customHeight="1" thickBot="1">
      <c r="B76" s="10" t="n"/>
      <c r="P76" s="96" t="n"/>
      <c r="Q76" s="96" t="n"/>
      <c r="R76" s="96" t="n"/>
      <c r="S76" s="96" t="n"/>
      <c r="T76" s="96" t="n"/>
      <c r="U76" s="96" t="n"/>
      <c r="V76" s="96" t="n"/>
      <c r="W76" s="96" t="n"/>
      <c r="X76" s="96" t="n"/>
      <c r="Y76" s="96" t="n"/>
      <c r="Z76" s="96" t="n"/>
      <c r="AA76" s="96" t="n"/>
      <c r="AB76" s="96" t="n"/>
      <c r="AC76" s="96" t="n"/>
      <c r="AD76" s="96" t="n"/>
      <c r="AE76" s="96" t="n"/>
      <c r="AF76" s="96" t="n"/>
      <c r="AG76" s="96" t="n"/>
      <c r="AH76" s="96" t="n"/>
      <c r="AI76" s="96" t="n"/>
      <c r="AJ76" s="96" t="n"/>
      <c r="AK76" s="96" t="n"/>
      <c r="AL76" s="96" t="n"/>
      <c r="AM76" s="96" t="n"/>
      <c r="AN76" s="96" t="n"/>
      <c r="AO76" s="96" t="n"/>
      <c r="AP76" s="96" t="n"/>
      <c r="AQ76" s="96" t="n"/>
      <c r="AR76" s="96" t="n"/>
      <c r="AS76" s="96" t="n"/>
      <c r="AT76" s="96" t="n"/>
      <c r="AU76" s="96" t="n"/>
      <c r="AW76" s="8" t="n"/>
    </row>
    <row r="77" ht="15" customHeight="1">
      <c r="B77" s="10">
        <f>IF(TipoFonte="Solar","Modelo dos Módulos:",IF(OR(TipoFonte="Cogeração Qualificada",TipoFonte="Biomassa"),"Máquina Motriz (Motor/Turbina):",IF(TipoFonte="Eólica","Altura da pá (m):",IF(TipoFonte="Hidráulica","Nome do rio:",""))))</f>
        <v/>
      </c>
      <c r="P77" s="236" t="inlineStr">
        <is>
          <t>MFVOS-MO-120-460W</t>
        </is>
      </c>
      <c r="Q77" s="201" t="n"/>
      <c r="R77" s="201" t="n"/>
      <c r="S77" s="201" t="n"/>
      <c r="T77" s="201" t="n"/>
      <c r="U77" s="201" t="n"/>
      <c r="V77" s="201" t="n"/>
      <c r="W77" s="201" t="n"/>
      <c r="X77" s="201" t="n"/>
      <c r="Y77" s="201" t="n"/>
      <c r="Z77" s="201" t="n"/>
      <c r="AA77" s="201" t="n"/>
      <c r="AB77" s="201" t="n"/>
      <c r="AC77" s="201" t="n"/>
      <c r="AD77" s="201" t="n"/>
      <c r="AE77" s="201" t="n"/>
      <c r="AF77" s="201" t="n"/>
      <c r="AG77" s="201" t="n"/>
      <c r="AH77" s="201" t="n"/>
      <c r="AI77" s="201" t="n"/>
      <c r="AJ77" s="201" t="n"/>
      <c r="AK77" s="201" t="n"/>
      <c r="AL77" s="201" t="n"/>
      <c r="AM77" s="201" t="n"/>
      <c r="AN77" s="201" t="n"/>
      <c r="AO77" s="201" t="n"/>
      <c r="AP77" s="201" t="n"/>
      <c r="AQ77" s="201" t="n"/>
      <c r="AR77" s="201" t="n"/>
      <c r="AS77" s="201" t="n"/>
      <c r="AT77" s="201" t="n"/>
      <c r="AU77" s="202" t="n"/>
      <c r="AW77" s="8" t="n"/>
    </row>
    <row r="78" ht="3" customHeight="1" thickBot="1">
      <c r="B78" s="10" t="n"/>
      <c r="P78" s="96" t="n"/>
      <c r="Q78" s="96" t="n"/>
      <c r="R78" s="96" t="n"/>
      <c r="S78" s="96" t="n"/>
      <c r="T78" s="96" t="n"/>
      <c r="U78" s="96" t="n"/>
      <c r="V78" s="96" t="n"/>
      <c r="W78" s="96" t="n"/>
      <c r="X78" s="96" t="n"/>
      <c r="Y78" s="96" t="n"/>
      <c r="Z78" s="96" t="n"/>
      <c r="AA78" s="96" t="n"/>
      <c r="AB78" s="96" t="n"/>
      <c r="AC78" s="96" t="n"/>
      <c r="AD78" s="96" t="n"/>
      <c r="AE78" s="96" t="n"/>
      <c r="AF78" s="96" t="n"/>
      <c r="AG78" s="96" t="n"/>
      <c r="AH78" s="96" t="n"/>
      <c r="AI78" s="96" t="n"/>
      <c r="AJ78" s="96" t="n"/>
      <c r="AK78" s="96" t="n"/>
      <c r="AL78" s="96" t="n"/>
      <c r="AM78" s="96" t="n"/>
      <c r="AN78" s="96" t="n"/>
      <c r="AO78" s="96" t="n"/>
      <c r="AP78" s="96" t="n"/>
      <c r="AQ78" s="96" t="n"/>
      <c r="AR78" s="96" t="n"/>
      <c r="AS78" s="96" t="n"/>
      <c r="AT78" s="96" t="n"/>
      <c r="AU78" s="96" t="n"/>
      <c r="AW78" s="8" t="n"/>
    </row>
    <row r="79" ht="15" customHeight="1">
      <c r="B79" s="10">
        <f>IF(TipoFonte="Solar","Fabricante dos Módulos:",IF(TipoFonte="Hidráulica","Nível Oper. Normal de Jusante (m):",IF(OR(TipoFonte="Cogeração Qualificada",TipoFonte="Biomassa"),"Ciclo Termodinâmico (Aberto/Fechado):",IF(TipoFonte="Eólica","Eixo do rotor:",""))))</f>
        <v/>
      </c>
      <c r="P79" s="236" t="inlineStr">
        <is>
          <t>BELENERGY</t>
        </is>
      </c>
      <c r="Q79" s="201" t="n"/>
      <c r="R79" s="201" t="n"/>
      <c r="S79" s="201" t="n"/>
      <c r="T79" s="201" t="n"/>
      <c r="U79" s="201" t="n"/>
      <c r="V79" s="201" t="n"/>
      <c r="W79" s="201" t="n"/>
      <c r="X79" s="201" t="n"/>
      <c r="Y79" s="201" t="n"/>
      <c r="Z79" s="201" t="n"/>
      <c r="AA79" s="201" t="n"/>
      <c r="AB79" s="201" t="n"/>
      <c r="AC79" s="201" t="n"/>
      <c r="AD79" s="201" t="n"/>
      <c r="AE79" s="201" t="n"/>
      <c r="AF79" s="201" t="n"/>
      <c r="AG79" s="201" t="n"/>
      <c r="AH79" s="201" t="n"/>
      <c r="AI79" s="201" t="n"/>
      <c r="AJ79" s="201" t="n"/>
      <c r="AK79" s="201" t="n"/>
      <c r="AL79" s="201" t="n"/>
      <c r="AM79" s="201" t="n"/>
      <c r="AN79" s="201" t="n"/>
      <c r="AO79" s="201" t="n"/>
      <c r="AP79" s="201" t="n"/>
      <c r="AQ79" s="201" t="n"/>
      <c r="AR79" s="201" t="n"/>
      <c r="AS79" s="201" t="n"/>
      <c r="AT79" s="201" t="n"/>
      <c r="AU79" s="202" t="n"/>
      <c r="AW79" s="8" t="n"/>
      <c r="AX79" s="10" t="n"/>
    </row>
    <row r="80" ht="3" customHeight="1" thickBot="1">
      <c r="B80" s="10" t="n"/>
      <c r="P80" s="96" t="n"/>
      <c r="Q80" s="96" t="n"/>
      <c r="R80" s="96" t="n"/>
      <c r="S80" s="96" t="n"/>
      <c r="T80" s="96" t="n"/>
      <c r="U80" s="96" t="n"/>
      <c r="V80" s="96" t="n"/>
      <c r="W80" s="96" t="n"/>
      <c r="X80" s="96" t="n"/>
      <c r="Y80" s="96" t="n"/>
      <c r="Z80" s="96" t="n"/>
      <c r="AA80" s="96" t="n"/>
      <c r="AB80" s="96" t="n"/>
      <c r="AC80" s="96" t="n"/>
      <c r="AD80" s="96" t="n"/>
      <c r="AE80" s="96" t="n"/>
      <c r="AF80" s="96" t="n"/>
      <c r="AG80" s="96" t="n"/>
      <c r="AH80" s="96" t="n"/>
      <c r="AI80" s="96" t="n"/>
      <c r="AJ80" s="96" t="n"/>
      <c r="AK80" s="96" t="n"/>
      <c r="AL80" s="96" t="n"/>
      <c r="AM80" s="96" t="n"/>
      <c r="AN80" s="96" t="n"/>
      <c r="AO80" s="96" t="n"/>
      <c r="AP80" s="96" t="n"/>
      <c r="AQ80" s="96" t="n"/>
      <c r="AR80" s="96" t="n"/>
      <c r="AS80" s="96" t="n"/>
      <c r="AT80" s="96" t="n"/>
      <c r="AU80" s="96" t="n"/>
      <c r="AW80" s="8" t="n"/>
      <c r="AX80" s="10" t="n"/>
    </row>
    <row r="81">
      <c r="B81" s="10">
        <f>IF(TipoFonte="Solar","Quantidade de Inversores:",IF(OR(TipoFonte="Cogeração Qualificada",TipoFonte="Biomassa"),"Nº do Despacho de qualificação:",IF(TipoFonte="Eólica","Modelo dos Aerogeradores:","")))</f>
        <v/>
      </c>
      <c r="P81" s="235" t="n">
        <v>1</v>
      </c>
      <c r="Q81" s="201" t="n"/>
      <c r="R81" s="201" t="n"/>
      <c r="S81" s="201" t="n"/>
      <c r="T81" s="201" t="n"/>
      <c r="U81" s="201" t="n"/>
      <c r="V81" s="202" t="n"/>
      <c r="W81" s="96" t="n"/>
      <c r="X81" s="96" t="n"/>
      <c r="Y81" s="96" t="n"/>
      <c r="Z81" s="96" t="n"/>
      <c r="AA81" s="96" t="n"/>
      <c r="AB81" s="96" t="n"/>
      <c r="AC81" s="96" t="n"/>
      <c r="AD81" s="96" t="n"/>
      <c r="AE81" s="96" t="n"/>
      <c r="AF81" s="96" t="n"/>
      <c r="AG81" s="96" t="n"/>
      <c r="AH81" s="96" t="n"/>
      <c r="AI81" s="96" t="n"/>
      <c r="AJ81" s="96" t="n"/>
      <c r="AK81" s="96" t="n"/>
      <c r="AL81" s="96" t="n"/>
      <c r="AM81" s="96" t="n"/>
      <c r="AN81" s="96" t="n"/>
      <c r="AO81" s="96" t="n"/>
      <c r="AP81" s="96" t="n"/>
      <c r="AQ81" s="96" t="n"/>
      <c r="AR81" s="96" t="n"/>
      <c r="AS81" s="96" t="n"/>
      <c r="AT81" s="96" t="n"/>
      <c r="AU81" s="96" t="n"/>
      <c r="AW81" s="8" t="n"/>
      <c r="AX81" s="10" t="n"/>
    </row>
    <row r="82" ht="3" customHeight="1" thickBot="1">
      <c r="B82" s="10" t="n"/>
      <c r="P82" s="96" t="n"/>
      <c r="Q82" s="96" t="n"/>
      <c r="R82" s="96" t="n"/>
      <c r="S82" s="96" t="n"/>
      <c r="T82" s="96" t="n"/>
      <c r="U82" s="96" t="n"/>
      <c r="V82" s="96" t="n"/>
      <c r="W82" s="96" t="n"/>
      <c r="X82" s="96" t="n"/>
      <c r="Y82" s="64" t="n"/>
      <c r="Z82" s="64" t="n"/>
      <c r="AA82" s="96" t="n"/>
      <c r="AB82" s="96" t="n"/>
      <c r="AC82" s="96" t="n"/>
      <c r="AD82" s="96" t="n"/>
      <c r="AE82" s="96" t="n"/>
      <c r="AF82" s="96" t="n"/>
      <c r="AG82" s="96" t="n"/>
      <c r="AH82" s="96" t="n"/>
      <c r="AI82" s="96" t="n"/>
      <c r="AJ82" s="96" t="n"/>
      <c r="AK82" s="96" t="n"/>
      <c r="AL82" s="96" t="n"/>
      <c r="AM82" s="96" t="n"/>
      <c r="AN82" s="96" t="n"/>
      <c r="AO82" s="96" t="n"/>
      <c r="AP82" s="96" t="n"/>
      <c r="AQ82" s="96" t="n"/>
      <c r="AR82" s="96" t="n"/>
      <c r="AS82" s="96" t="n"/>
      <c r="AT82" s="96" t="n"/>
      <c r="AU82" s="96" t="n"/>
      <c r="AW82" s="8" t="n"/>
      <c r="AX82" s="10" t="n"/>
    </row>
    <row r="83">
      <c r="B83" s="10">
        <f>IF(TipoFonte="Solar","Modelo dos Inversores:","")</f>
        <v/>
      </c>
      <c r="P83" s="236" t="inlineStr">
        <is>
          <t>SOLIS-1P4K-4G</t>
        </is>
      </c>
      <c r="Q83" s="201" t="n"/>
      <c r="R83" s="201" t="n"/>
      <c r="S83" s="201" t="n"/>
      <c r="T83" s="201" t="n"/>
      <c r="U83" s="201" t="n"/>
      <c r="V83" s="201" t="n"/>
      <c r="W83" s="201" t="n"/>
      <c r="X83" s="201" t="n"/>
      <c r="Y83" s="201" t="n"/>
      <c r="Z83" s="201" t="n"/>
      <c r="AA83" s="201" t="n"/>
      <c r="AB83" s="201" t="n"/>
      <c r="AC83" s="201" t="n"/>
      <c r="AD83" s="201" t="n"/>
      <c r="AE83" s="201" t="n"/>
      <c r="AF83" s="201" t="n"/>
      <c r="AG83" s="201" t="n"/>
      <c r="AH83" s="201" t="n"/>
      <c r="AI83" s="201" t="n"/>
      <c r="AJ83" s="201" t="n"/>
      <c r="AK83" s="201" t="n"/>
      <c r="AL83" s="201" t="n"/>
      <c r="AM83" s="201" t="n"/>
      <c r="AN83" s="201" t="n"/>
      <c r="AO83" s="201" t="n"/>
      <c r="AP83" s="201" t="n"/>
      <c r="AQ83" s="201" t="n"/>
      <c r="AR83" s="201" t="n"/>
      <c r="AS83" s="201" t="n"/>
      <c r="AT83" s="201" t="n"/>
      <c r="AU83" s="202" t="n"/>
      <c r="AW83" s="8" t="n"/>
      <c r="AX83" s="10" t="n"/>
    </row>
    <row r="84" ht="3" customHeight="1" thickBot="1">
      <c r="B84" s="10" t="n"/>
      <c r="P84" s="96" t="n"/>
      <c r="Q84" s="96" t="n"/>
      <c r="R84" s="96" t="n"/>
      <c r="S84" s="96" t="n"/>
      <c r="T84" s="96" t="n"/>
      <c r="U84" s="96" t="n"/>
      <c r="V84" s="96" t="n"/>
      <c r="W84" s="96" t="n"/>
      <c r="X84" s="96" t="n"/>
      <c r="Y84" s="64" t="n"/>
      <c r="Z84" s="64" t="n"/>
      <c r="AA84" s="96" t="n"/>
      <c r="AB84" s="96" t="n"/>
      <c r="AC84" s="96" t="n"/>
      <c r="AD84" s="96" t="n"/>
      <c r="AE84" s="96" t="n"/>
      <c r="AF84" s="96" t="n"/>
      <c r="AG84" s="96" t="n"/>
      <c r="AH84" s="96" t="n"/>
      <c r="AI84" s="96" t="n"/>
      <c r="AJ84" s="96" t="n"/>
      <c r="AK84" s="96" t="n"/>
      <c r="AL84" s="96" t="n"/>
      <c r="AM84" s="96" t="n"/>
      <c r="AN84" s="96" t="n"/>
      <c r="AO84" s="96" t="n"/>
      <c r="AP84" s="96" t="n"/>
      <c r="AQ84" s="96" t="n"/>
      <c r="AR84" s="96" t="n"/>
      <c r="AS84" s="96" t="n"/>
      <c r="AT84" s="96" t="n"/>
      <c r="AU84" s="96" t="n"/>
      <c r="AW84" s="8" t="n"/>
      <c r="AX84" s="10" t="n"/>
    </row>
    <row r="85" ht="15" customHeight="1">
      <c r="B85" s="10">
        <f>IF(TipoFonte="Solar","Fabricante dos Inversores:","")</f>
        <v/>
      </c>
      <c r="D85" s="96" t="n"/>
      <c r="P85" s="236" t="inlineStr">
        <is>
          <t>SOLIS</t>
        </is>
      </c>
      <c r="Q85" s="201" t="n"/>
      <c r="R85" s="201" t="n"/>
      <c r="S85" s="201" t="n"/>
      <c r="T85" s="201" t="n"/>
      <c r="U85" s="201" t="n"/>
      <c r="V85" s="201" t="n"/>
      <c r="W85" s="201" t="n"/>
      <c r="X85" s="201" t="n"/>
      <c r="Y85" s="201" t="n"/>
      <c r="Z85" s="201" t="n"/>
      <c r="AA85" s="201" t="n"/>
      <c r="AB85" s="201" t="n"/>
      <c r="AC85" s="201" t="n"/>
      <c r="AD85" s="201" t="n"/>
      <c r="AE85" s="201" t="n"/>
      <c r="AF85" s="201" t="n"/>
      <c r="AG85" s="201" t="n"/>
      <c r="AH85" s="201" t="n"/>
      <c r="AI85" s="201" t="n"/>
      <c r="AJ85" s="201" t="n"/>
      <c r="AK85" s="201" t="n"/>
      <c r="AL85" s="201" t="n"/>
      <c r="AM85" s="201" t="n"/>
      <c r="AN85" s="201" t="n"/>
      <c r="AO85" s="201" t="n"/>
      <c r="AP85" s="201" t="n"/>
      <c r="AQ85" s="201" t="n"/>
      <c r="AR85" s="201" t="n"/>
      <c r="AS85" s="201" t="n"/>
      <c r="AT85" s="201" t="n"/>
      <c r="AU85" s="202" t="n"/>
      <c r="AW85" s="8" t="n"/>
      <c r="AX85" s="10" t="n"/>
    </row>
    <row r="86" ht="3" customHeight="1">
      <c r="B86" s="10" t="n"/>
      <c r="S86" s="64" t="n"/>
      <c r="T86" s="64" t="n"/>
      <c r="U86" s="64" t="n"/>
      <c r="V86" s="64" t="n"/>
      <c r="W86" s="64" t="n"/>
      <c r="X86" s="64" t="n"/>
      <c r="Y86" s="64" t="n"/>
      <c r="Z86" s="64" t="n"/>
      <c r="AW86" s="8" t="n"/>
    </row>
    <row r="87" ht="3.95" customHeight="1">
      <c r="B87" s="237"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2" t="n"/>
    </row>
    <row r="88" ht="3.95" customHeight="1">
      <c r="B88" s="23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c r="AA88" s="14" t="n"/>
      <c r="AB88" s="14" t="n"/>
      <c r="AC88" s="14" t="n"/>
      <c r="AD88" s="14" t="n"/>
      <c r="AE88" s="14" t="n"/>
      <c r="AF88" s="14" t="n"/>
      <c r="AG88" s="14" t="n"/>
      <c r="AH88" s="14" t="n"/>
      <c r="AI88" s="14" t="n"/>
      <c r="AJ88" s="14" t="n"/>
      <c r="AK88" s="14" t="n"/>
      <c r="AL88" s="14" t="n"/>
      <c r="AM88" s="14" t="n"/>
      <c r="AN88" s="14" t="n"/>
      <c r="AO88" s="14" t="n"/>
      <c r="AP88" s="14" t="n"/>
      <c r="AQ88" s="14" t="n"/>
      <c r="AR88" s="14" t="n"/>
      <c r="AS88" s="14" t="n"/>
      <c r="AT88" s="14" t="n"/>
      <c r="AU88" s="14" t="n"/>
      <c r="AV88" s="14" t="n"/>
      <c r="AW88" s="15" t="n"/>
    </row>
    <row r="89">
      <c r="B89" s="18" t="inlineStr">
        <is>
          <t>Preencha o quadro a seguir somente se a usina possuiu OUTORGA OU REGISTRO. Se não aplicável, mantenha os campos vazios.</t>
        </is>
      </c>
      <c r="AW89" s="8" t="n"/>
    </row>
    <row r="90" ht="3" customHeight="1" thickBot="1">
      <c r="B90" s="10" t="n"/>
      <c r="AW90" s="8" t="n"/>
    </row>
    <row r="91">
      <c r="B91" s="10" t="inlineStr">
        <is>
          <t>CEG do empreendimento:</t>
        </is>
      </c>
      <c r="K91" s="200" t="n"/>
      <c r="L91" s="201" t="n"/>
      <c r="M91" s="201" t="n"/>
      <c r="N91" s="201" t="n"/>
      <c r="O91" s="201" t="n"/>
      <c r="P91" s="201" t="n"/>
      <c r="Q91" s="201" t="n"/>
      <c r="R91" s="202" t="n"/>
      <c r="Y91" s="111" t="inlineStr">
        <is>
          <t>Número do Ato de Outorga ou Registro:</t>
        </is>
      </c>
      <c r="AK91" s="20" t="n"/>
      <c r="AL91" s="200" t="n"/>
      <c r="AM91" s="201" t="n"/>
      <c r="AN91" s="201" t="n"/>
      <c r="AO91" s="201" t="n"/>
      <c r="AP91" s="201" t="n"/>
      <c r="AQ91" s="201" t="n"/>
      <c r="AR91" s="201" t="n"/>
      <c r="AS91" s="202" t="n"/>
      <c r="AW91" s="8" t="n"/>
    </row>
    <row r="92" ht="3" customHeight="1" thickBot="1">
      <c r="B92" s="10" t="n"/>
      <c r="AW92" s="8" t="n"/>
    </row>
    <row r="93">
      <c r="B93" s="10" t="inlineStr">
        <is>
          <t>Nome da Usina:</t>
        </is>
      </c>
      <c r="H93" s="205" t="n"/>
      <c r="I93" s="201" t="n"/>
      <c r="J93" s="201" t="n"/>
      <c r="K93" s="201" t="n"/>
      <c r="L93" s="201" t="n"/>
      <c r="M93" s="201" t="n"/>
      <c r="N93" s="201" t="n"/>
      <c r="O93" s="201" t="n"/>
      <c r="P93" s="201" t="n"/>
      <c r="Q93" s="201" t="n"/>
      <c r="R93" s="202" t="n"/>
      <c r="Y93" t="inlineStr">
        <is>
          <t>Ano do Ato de Outorga ou Registro:</t>
        </is>
      </c>
      <c r="AL93" s="215" t="n"/>
      <c r="AM93" s="216" t="n"/>
      <c r="AW93" s="8" t="n"/>
    </row>
    <row r="94" ht="3" customHeight="1" thickBot="1">
      <c r="B94" s="10" t="n"/>
      <c r="AW94" s="8" t="n"/>
    </row>
    <row r="95">
      <c r="B95" s="10" t="inlineStr">
        <is>
          <t>Tipo do Ato de Outorga ou Registro:</t>
        </is>
      </c>
      <c r="N95" s="205" t="n"/>
      <c r="O95" s="201" t="n"/>
      <c r="P95" s="201" t="n"/>
      <c r="Q95" s="201" t="n"/>
      <c r="R95" s="202" t="n"/>
      <c r="AW95" s="8" t="n"/>
    </row>
    <row r="96" ht="3" customHeight="1">
      <c r="B96" s="1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2" t="n"/>
    </row>
    <row r="97" ht="3" customHeight="1"/>
    <row r="98" ht="15" customHeight="1">
      <c r="B98" s="157" t="inlineStr">
        <is>
          <t>4 – DOCUMENTAÇÃO A SER ANEXADA (OBRIGATÓRIA)</t>
        </is>
      </c>
      <c r="C98" s="32" t="n"/>
      <c r="D98" s="32" t="n"/>
      <c r="E98" s="32" t="n"/>
      <c r="F98" s="32" t="n"/>
      <c r="G98" s="32" t="n"/>
      <c r="H98" s="32" t="n"/>
      <c r="I98" s="32" t="n"/>
      <c r="J98" s="32" t="n"/>
      <c r="K98" s="32" t="n"/>
      <c r="L98" s="32" t="n"/>
      <c r="M98" s="32" t="n"/>
      <c r="N98" s="32" t="n"/>
      <c r="O98" s="32" t="n"/>
      <c r="P98" s="32" t="n"/>
      <c r="Q98" s="32" t="n"/>
      <c r="R98" s="32" t="n"/>
      <c r="S98" s="32" t="n"/>
      <c r="T98" s="32" t="n"/>
      <c r="U98" s="32" t="n"/>
      <c r="V98" s="32" t="n"/>
      <c r="W98" s="32" t="n"/>
      <c r="X98" s="32" t="n"/>
      <c r="Y98" s="32" t="n"/>
      <c r="Z98" s="32" t="n"/>
      <c r="AA98" s="32" t="n"/>
      <c r="AB98" s="32" t="n"/>
      <c r="AC98" s="32" t="n"/>
      <c r="AD98" s="32" t="n"/>
      <c r="AE98" s="32" t="n"/>
      <c r="AF98" s="32" t="n"/>
      <c r="AG98" s="32" t="n"/>
      <c r="AH98" s="32" t="n"/>
      <c r="AI98" s="32" t="n"/>
      <c r="AJ98" s="32" t="n"/>
      <c r="AK98" s="32" t="n"/>
      <c r="AL98" s="32" t="n"/>
      <c r="AM98" s="32" t="n"/>
      <c r="AN98" s="32" t="n"/>
      <c r="AO98" s="32" t="n"/>
      <c r="AP98" s="32" t="n"/>
      <c r="AQ98" s="32" t="n"/>
      <c r="AR98" s="32" t="n"/>
      <c r="AS98" s="32" t="n"/>
      <c r="AT98" s="32" t="n"/>
      <c r="AU98" s="32" t="n"/>
      <c r="AV98" s="32" t="n"/>
      <c r="AW98" s="238" t="n"/>
    </row>
    <row r="99" ht="4.5" customHeight="1">
      <c r="B99" s="10" t="n"/>
      <c r="E99" s="31" t="n"/>
      <c r="AW99" s="8" t="n"/>
    </row>
    <row r="100" ht="17.1" customFormat="1" customHeight="1" s="47">
      <c r="B100" s="46" t="inlineStr">
        <is>
          <t>1 - ART ou TRT¹ do Responsável Técnico pelo projeto e instalação do sistema de microgeração.</t>
        </is>
      </c>
      <c r="AW100" s="48" t="n"/>
    </row>
    <row r="101" ht="3" customFormat="1" customHeight="1" s="47">
      <c r="B101" s="46" t="n"/>
      <c r="AW101" s="48" t="n"/>
    </row>
    <row r="102" ht="23.25" customFormat="1" customHeight="1" s="47">
      <c r="B102" s="163" t="inlineStr">
        <is>
          <t>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is>
      </c>
      <c r="C102" s="28" t="n"/>
      <c r="D102" s="28" t="n"/>
      <c r="E102" s="28" t="n"/>
      <c r="F102" s="28" t="n"/>
      <c r="G102" s="28" t="n"/>
      <c r="H102" s="28" t="n"/>
      <c r="I102" s="28" t="n"/>
      <c r="J102" s="28" t="n"/>
      <c r="K102" s="28" t="n"/>
      <c r="L102" s="28" t="n"/>
      <c r="M102" s="28" t="n"/>
      <c r="N102" s="28" t="n"/>
      <c r="O102" s="28" t="n"/>
      <c r="P102" s="28" t="n"/>
      <c r="Q102" s="28" t="n"/>
      <c r="R102" s="28" t="n"/>
      <c r="S102" s="28" t="n"/>
      <c r="T102" s="28" t="n"/>
      <c r="U102" s="28" t="n"/>
      <c r="V102" s="28" t="n"/>
      <c r="W102" s="28" t="n"/>
      <c r="X102" s="28" t="n"/>
      <c r="Y102" s="28" t="n"/>
      <c r="Z102" s="28" t="n"/>
      <c r="AA102" s="28" t="n"/>
      <c r="AB102" s="28" t="n"/>
      <c r="AC102" s="28" t="n"/>
      <c r="AD102" s="28" t="n"/>
      <c r="AE102" s="28" t="n"/>
      <c r="AF102" s="28" t="n"/>
      <c r="AG102" s="28" t="n"/>
      <c r="AH102" s="28" t="n"/>
      <c r="AI102" s="28" t="n"/>
      <c r="AJ102" s="28" t="n"/>
      <c r="AK102" s="28" t="n"/>
      <c r="AL102" s="28" t="n"/>
      <c r="AM102" s="28" t="n"/>
      <c r="AN102" s="28" t="n"/>
      <c r="AO102" s="28" t="n"/>
      <c r="AP102" s="28" t="n"/>
      <c r="AQ102" s="28" t="n"/>
      <c r="AR102" s="28" t="n"/>
      <c r="AS102" s="28" t="n"/>
      <c r="AT102" s="28" t="n"/>
      <c r="AU102" s="28" t="n"/>
      <c r="AV102" s="28" t="n"/>
      <c r="AW102" s="48" t="n"/>
    </row>
    <row r="103" customFormat="1" s="47">
      <c r="B103" s="29" t="n"/>
      <c r="C103" s="28" t="n"/>
      <c r="D103" s="28" t="n"/>
      <c r="E103" s="28" t="n"/>
      <c r="F103" s="28" t="n"/>
      <c r="G103" s="28" t="n"/>
      <c r="H103" s="28" t="n"/>
      <c r="I103" s="28" t="n"/>
      <c r="J103" s="28" t="n"/>
      <c r="K103" s="28" t="n"/>
      <c r="L103" s="28" t="n"/>
      <c r="M103" s="28" t="n"/>
      <c r="N103" s="28" t="n"/>
      <c r="O103" s="28" t="n"/>
      <c r="P103" s="28" t="n"/>
      <c r="Q103" s="28" t="n"/>
      <c r="R103" s="28" t="n"/>
      <c r="S103" s="28" t="n"/>
      <c r="T103" s="28" t="n"/>
      <c r="U103" s="28" t="n"/>
      <c r="V103" s="28" t="n"/>
      <c r="W103" s="28" t="n"/>
      <c r="X103" s="28" t="n"/>
      <c r="Y103" s="28" t="n"/>
      <c r="Z103" s="28" t="n"/>
      <c r="AA103" s="28" t="n"/>
      <c r="AB103" s="28" t="n"/>
      <c r="AC103" s="28" t="n"/>
      <c r="AD103" s="28" t="n"/>
      <c r="AE103" s="28" t="n"/>
      <c r="AF103" s="28" t="n"/>
      <c r="AG103" s="28" t="n"/>
      <c r="AH103" s="28" t="n"/>
      <c r="AI103" s="28" t="n"/>
      <c r="AJ103" s="28" t="n"/>
      <c r="AK103" s="28" t="n"/>
      <c r="AL103" s="28" t="n"/>
      <c r="AM103" s="28" t="n"/>
      <c r="AN103" s="28" t="n"/>
      <c r="AO103" s="28" t="n"/>
      <c r="AP103" s="28" t="n"/>
      <c r="AQ103" s="28" t="n"/>
      <c r="AR103" s="28" t="n"/>
      <c r="AS103" s="28" t="n"/>
      <c r="AT103" s="28" t="n"/>
      <c r="AU103" s="28" t="n"/>
      <c r="AV103" s="28" t="n"/>
      <c r="AW103" s="48" t="n"/>
    </row>
    <row r="104" ht="3" customFormat="1" customHeight="1" s="47">
      <c r="B104" s="163" t="n"/>
      <c r="C104" s="164" t="n"/>
      <c r="D104" s="164" t="n"/>
      <c r="E104" s="164" t="n"/>
      <c r="F104" s="164" t="n"/>
      <c r="G104" s="164" t="n"/>
      <c r="H104" s="164" t="n"/>
      <c r="I104" s="164" t="n"/>
      <c r="J104" s="164" t="n"/>
      <c r="K104" s="164" t="n"/>
      <c r="L104" s="164" t="n"/>
      <c r="M104" s="164" t="n"/>
      <c r="N104" s="164" t="n"/>
      <c r="O104" s="164" t="n"/>
      <c r="P104" s="164" t="n"/>
      <c r="Q104" s="164" t="n"/>
      <c r="R104" s="164" t="n"/>
      <c r="S104" s="164" t="n"/>
      <c r="T104" s="164" t="n"/>
      <c r="U104" s="164" t="n"/>
      <c r="V104" s="164" t="n"/>
      <c r="W104" s="164" t="n"/>
      <c r="X104" s="164" t="n"/>
      <c r="Y104" s="164" t="n"/>
      <c r="Z104" s="164" t="n"/>
      <c r="AA104" s="164" t="n"/>
      <c r="AB104" s="164" t="n"/>
      <c r="AC104" s="164" t="n"/>
      <c r="AD104" s="164" t="n"/>
      <c r="AE104" s="164" t="n"/>
      <c r="AF104" s="164" t="n"/>
      <c r="AG104" s="164" t="n"/>
      <c r="AH104" s="164" t="n"/>
      <c r="AI104" s="164" t="n"/>
      <c r="AJ104" s="164" t="n"/>
      <c r="AK104" s="164" t="n"/>
      <c r="AL104" s="164" t="n"/>
      <c r="AM104" s="164" t="n"/>
      <c r="AN104" s="164" t="n"/>
      <c r="AO104" s="164" t="n"/>
      <c r="AP104" s="164" t="n"/>
      <c r="AQ104" s="164" t="n"/>
      <c r="AR104" s="164" t="n"/>
      <c r="AS104" s="164" t="n"/>
      <c r="AT104" s="164" t="n"/>
      <c r="AU104" s="164" t="n"/>
      <c r="AV104" s="164" t="n"/>
      <c r="AW104" s="48" t="n"/>
    </row>
    <row r="105" ht="17.1" customFormat="1" customHeight="1" s="47">
      <c r="B105" s="46" t="inlineStr">
        <is>
          <t>3 - Diagrama unifilar contemplando geração, carga, medição e proteção (inversor, se for o caso), conforme modelo disponibilizado no site da Cemig.</t>
        </is>
      </c>
      <c r="AW105" s="48" t="n"/>
    </row>
    <row r="106" ht="3" customFormat="1" customHeight="1" s="47">
      <c r="B106" s="46" t="n"/>
      <c r="AW106" s="48" t="n"/>
    </row>
    <row r="107" ht="17.1" customFormat="1" customHeight="1" s="47">
      <c r="B107" s="147" t="inlineStr">
        <is>
          <t>4 - Certificado de conformidade do(s) inversor(es) ou número de registro de concessão no Inmetro do(s) inversor(es) para a tensão nominal de conexão com a rede.</t>
        </is>
      </c>
      <c r="AW107" s="48" t="n"/>
    </row>
    <row r="108" ht="17.1" customFormat="1" customHeight="1" s="47">
      <c r="B108" s="10" t="n"/>
      <c r="AW108" s="48" t="n"/>
    </row>
    <row r="109" ht="3" customFormat="1" customHeight="1" s="47">
      <c r="B109" s="147" t="n"/>
      <c r="C109" s="148" t="n"/>
      <c r="D109" s="148" t="n"/>
      <c r="E109" s="148" t="n"/>
      <c r="F109" s="148" t="n"/>
      <c r="G109" s="148" t="n"/>
      <c r="H109" s="148" t="n"/>
      <c r="I109" s="148" t="n"/>
      <c r="J109" s="148" t="n"/>
      <c r="K109" s="148" t="n"/>
      <c r="L109" s="148" t="n"/>
      <c r="M109" s="148" t="n"/>
      <c r="N109" s="148" t="n"/>
      <c r="O109" s="148" t="n"/>
      <c r="P109" s="148" t="n"/>
      <c r="Q109" s="148" t="n"/>
      <c r="R109" s="148" t="n"/>
      <c r="S109" s="148" t="n"/>
      <c r="T109" s="148" t="n"/>
      <c r="U109" s="148" t="n"/>
      <c r="V109" s="148" t="n"/>
      <c r="W109" s="148" t="n"/>
      <c r="X109" s="148" t="n"/>
      <c r="Y109" s="148" t="n"/>
      <c r="Z109" s="148" t="n"/>
      <c r="AA109" s="148" t="n"/>
      <c r="AB109" s="148" t="n"/>
      <c r="AC109" s="148" t="n"/>
      <c r="AD109" s="148" t="n"/>
      <c r="AE109" s="148" t="n"/>
      <c r="AF109" s="148" t="n"/>
      <c r="AG109" s="148" t="n"/>
      <c r="AH109" s="148" t="n"/>
      <c r="AI109" s="148" t="n"/>
      <c r="AJ109" s="148" t="n"/>
      <c r="AK109" s="148" t="n"/>
      <c r="AL109" s="148" t="n"/>
      <c r="AM109" s="148" t="n"/>
      <c r="AN109" s="148" t="n"/>
      <c r="AO109" s="148" t="n"/>
      <c r="AP109" s="148" t="n"/>
      <c r="AQ109" s="148" t="n"/>
      <c r="AR109" s="148" t="n"/>
      <c r="AS109" s="148" t="n"/>
      <c r="AT109" s="148" t="n"/>
      <c r="AU109" s="148" t="n"/>
      <c r="AV109" s="148" t="n"/>
      <c r="AW109" s="48" t="n"/>
    </row>
    <row r="110" ht="17.1" customFormat="1" customHeight="1" s="47">
      <c r="B110" s="46" t="inlineStr">
        <is>
          <t>5 - Dados necessários para registro da central geradora conforme disponível no site da ANEEL, a depender do tipo de fonte.</t>
        </is>
      </c>
      <c r="AW110" s="48" t="n"/>
    </row>
    <row r="111" ht="3" customFormat="1" customHeight="1" s="47">
      <c r="B111" s="46" t="n"/>
      <c r="AW111" s="48" t="n"/>
    </row>
    <row r="112" ht="17.1" customFormat="1" customHeight="1" s="47">
      <c r="B112" s="147" t="inlineStr">
        <is>
          <t>6 - Lista de unidades consumidoras participantes do sistema de compensação (se houver) indicando a porcentagem de rateio dos créditos e o enquadramento, conforme Resolução Normativa nº 482/2012.</t>
        </is>
      </c>
      <c r="AW112" s="48" t="n"/>
    </row>
    <row r="113" ht="17.1" customFormat="1" customHeight="1" s="47">
      <c r="B113" s="10" t="n"/>
      <c r="AW113" s="48" t="n"/>
    </row>
    <row r="114" ht="3" customFormat="1" customHeight="1" s="47">
      <c r="B114" s="147" t="n"/>
      <c r="C114" s="148" t="n"/>
      <c r="D114" s="148" t="n"/>
      <c r="E114" s="148" t="n"/>
      <c r="F114" s="148" t="n"/>
      <c r="G114" s="148" t="n"/>
      <c r="H114" s="148" t="n"/>
      <c r="I114" s="148" t="n"/>
      <c r="J114" s="148" t="n"/>
      <c r="K114" s="148" t="n"/>
      <c r="L114" s="148" t="n"/>
      <c r="M114" s="148" t="n"/>
      <c r="N114" s="148" t="n"/>
      <c r="O114" s="148" t="n"/>
      <c r="P114" s="148" t="n"/>
      <c r="Q114" s="148" t="n"/>
      <c r="R114" s="148" t="n"/>
      <c r="S114" s="148" t="n"/>
      <c r="T114" s="148" t="n"/>
      <c r="U114" s="148" t="n"/>
      <c r="V114" s="148" t="n"/>
      <c r="W114" s="148" t="n"/>
      <c r="X114" s="148" t="n"/>
      <c r="Y114" s="148" t="n"/>
      <c r="Z114" s="148" t="n"/>
      <c r="AA114" s="148" t="n"/>
      <c r="AB114" s="148" t="n"/>
      <c r="AC114" s="148" t="n"/>
      <c r="AD114" s="148" t="n"/>
      <c r="AE114" s="148" t="n"/>
      <c r="AF114" s="148" t="n"/>
      <c r="AG114" s="148" t="n"/>
      <c r="AH114" s="148" t="n"/>
      <c r="AI114" s="148" t="n"/>
      <c r="AJ114" s="148" t="n"/>
      <c r="AK114" s="148" t="n"/>
      <c r="AL114" s="148" t="n"/>
      <c r="AM114" s="148" t="n"/>
      <c r="AN114" s="148" t="n"/>
      <c r="AO114" s="148" t="n"/>
      <c r="AP114" s="148" t="n"/>
      <c r="AQ114" s="148" t="n"/>
      <c r="AR114" s="148" t="n"/>
      <c r="AS114" s="148" t="n"/>
      <c r="AT114" s="148" t="n"/>
      <c r="AU114" s="148" t="n"/>
      <c r="AV114" s="148" t="n"/>
      <c r="AW114" s="48" t="n"/>
    </row>
    <row r="115" ht="17.1" customFormat="1" customHeight="1" s="47">
      <c r="B115" s="46" t="inlineStr">
        <is>
          <t>7 - Documento que comprove o reconhecimento, pela ANEEL, da cogeração qualificada (se houver).</t>
        </is>
      </c>
      <c r="AW115" s="48" t="n"/>
    </row>
    <row r="116" ht="3" customFormat="1" customHeight="1" s="47">
      <c r="B116" s="46" t="n"/>
      <c r="AW116" s="48" t="n"/>
    </row>
    <row r="117" ht="17.1" customFormat="1" customHeight="1" s="47">
      <c r="B117" s="165" t="inlineStr">
        <is>
          <t>8 - Formulário de Análise de Carga, com os respectivos anexos necessários (para solicitação de Ligação Nova de Unidade Consumidora com GD ou conexão de GD com aumento ou redução de potência disponibilizada).</t>
        </is>
      </c>
      <c r="AW117" s="48" t="n"/>
    </row>
    <row r="118" ht="17.1" customFormat="1" customHeight="1" s="47">
      <c r="B118" s="10" t="n"/>
      <c r="AW118" s="48" t="n"/>
    </row>
    <row r="119" ht="3" customFormat="1" customHeight="1" s="47">
      <c r="B119" s="10" t="n"/>
      <c r="AW119" s="48" t="n"/>
    </row>
    <row r="120" ht="17.1" customFormat="1" customHeight="1" s="47">
      <c r="B120" s="147" t="inlineStr">
        <is>
          <t>9 - Documentos originais do titular da UC (RG ou outro documento oficial com foto e CPF) para pessoa física e, em caso de pessoa jurídica, documentos relativos à sua constituição, ao seu registro e do(s) seu(s) representante(s) legal(is).</t>
        </is>
      </c>
      <c r="AW120" s="48" t="n"/>
    </row>
    <row r="121" ht="17.1" customFormat="1" customHeight="1" s="47">
      <c r="B121" s="10" t="n"/>
      <c r="AW121" s="48" t="n"/>
    </row>
    <row r="122" ht="3.95" customFormat="1" customHeight="1" s="47">
      <c r="B122" s="147" t="n"/>
      <c r="C122" s="148" t="n"/>
      <c r="D122" s="148" t="n"/>
      <c r="E122" s="148" t="n"/>
      <c r="F122" s="148" t="n"/>
      <c r="G122" s="148" t="n"/>
      <c r="H122" s="148" t="n"/>
      <c r="I122" s="148" t="n"/>
      <c r="J122" s="148" t="n"/>
      <c r="K122" s="148" t="n"/>
      <c r="L122" s="148" t="n"/>
      <c r="M122" s="148" t="n"/>
      <c r="N122" s="148" t="n"/>
      <c r="O122" s="148" t="n"/>
      <c r="P122" s="148" t="n"/>
      <c r="Q122" s="148" t="n"/>
      <c r="R122" s="148" t="n"/>
      <c r="S122" s="148" t="n"/>
      <c r="T122" s="148" t="n"/>
      <c r="U122" s="148" t="n"/>
      <c r="V122" s="148" t="n"/>
      <c r="W122" s="148" t="n"/>
      <c r="X122" s="148" t="n"/>
      <c r="Y122" s="148" t="n"/>
      <c r="Z122" s="148" t="n"/>
      <c r="AA122" s="148" t="n"/>
      <c r="AB122" s="148" t="n"/>
      <c r="AC122" s="148" t="n"/>
      <c r="AD122" s="148" t="n"/>
      <c r="AE122" s="148" t="n"/>
      <c r="AF122" s="148" t="n"/>
      <c r="AG122" s="148" t="n"/>
      <c r="AH122" s="148" t="n"/>
      <c r="AI122" s="148" t="n"/>
      <c r="AJ122" s="148" t="n"/>
      <c r="AK122" s="148" t="n"/>
      <c r="AL122" s="148" t="n"/>
      <c r="AM122" s="148" t="n"/>
      <c r="AN122" s="148" t="n"/>
      <c r="AO122" s="148" t="n"/>
      <c r="AP122" s="148" t="n"/>
      <c r="AQ122" s="148" t="n"/>
      <c r="AR122" s="148" t="n"/>
      <c r="AS122" s="148" t="n"/>
      <c r="AT122" s="148" t="n"/>
      <c r="AU122" s="148" t="n"/>
      <c r="AV122" s="148" t="n"/>
      <c r="AW122" s="48" t="n"/>
    </row>
    <row r="123" ht="17.1" customFormat="1" customHeight="1" s="47">
      <c r="B123" s="147" t="inlineStr">
        <is>
          <t>10 - Cópia do instrumento jurídico que comprove o compromisso de solidariedade entre os integrantes de consórcio, cooperativa, condomínio voluntário ou edilício ou qualquer outra forma de associação civil instituída em caso de empreendimentos de modalidade Geração Compartilhada.</t>
        </is>
      </c>
      <c r="AW123" s="48" t="n"/>
    </row>
    <row r="124" ht="17.1" customFormat="1" customHeight="1" s="47">
      <c r="B124" s="10" t="n"/>
      <c r="AW124" s="48" t="n"/>
    </row>
    <row r="125" ht="3.95" customFormat="1" customHeight="1" s="47">
      <c r="B125" s="147" t="n"/>
      <c r="C125" s="148" t="n"/>
      <c r="D125" s="148" t="n"/>
      <c r="E125" s="148" t="n"/>
      <c r="F125" s="148" t="n"/>
      <c r="G125" s="148" t="n"/>
      <c r="H125" s="148" t="n"/>
      <c r="I125" s="148" t="n"/>
      <c r="J125" s="148" t="n"/>
      <c r="K125" s="148" t="n"/>
      <c r="L125" s="148" t="n"/>
      <c r="M125" s="148" t="n"/>
      <c r="N125" s="148" t="n"/>
      <c r="O125" s="148" t="n"/>
      <c r="P125" s="148" t="n"/>
      <c r="Q125" s="148" t="n"/>
      <c r="R125" s="148" t="n"/>
      <c r="S125" s="148" t="n"/>
      <c r="T125" s="148" t="n"/>
      <c r="U125" s="148" t="n"/>
      <c r="V125" s="148" t="n"/>
      <c r="W125" s="148" t="n"/>
      <c r="X125" s="148" t="n"/>
      <c r="Y125" s="148" t="n"/>
      <c r="Z125" s="148" t="n"/>
      <c r="AA125" s="148" t="n"/>
      <c r="AB125" s="148" t="n"/>
      <c r="AC125" s="148" t="n"/>
      <c r="AD125" s="148" t="n"/>
      <c r="AE125" s="148" t="n"/>
      <c r="AF125" s="148" t="n"/>
      <c r="AG125" s="148" t="n"/>
      <c r="AH125" s="148" t="n"/>
      <c r="AI125" s="148" t="n"/>
      <c r="AJ125" s="148" t="n"/>
      <c r="AK125" s="148" t="n"/>
      <c r="AL125" s="148" t="n"/>
      <c r="AM125" s="148" t="n"/>
      <c r="AN125" s="148" t="n"/>
      <c r="AO125" s="148" t="n"/>
      <c r="AP125" s="148" t="n"/>
      <c r="AQ125" s="148" t="n"/>
      <c r="AR125" s="148" t="n"/>
      <c r="AS125" s="148" t="n"/>
      <c r="AT125" s="148" t="n"/>
      <c r="AU125" s="148" t="n"/>
      <c r="AV125" s="148" t="n"/>
      <c r="AW125" s="48" t="n"/>
    </row>
    <row r="126" ht="17.1" customFormat="1" customHeight="1" s="47">
      <c r="B126" s="147" t="inlineStr">
        <is>
          <t>11 - Quando se tratar de ligações novas, apresentar documento, com data, que comprove a propriedade ou posse do imóvel onde será implantada a central geradora, conforme Art. 67 da Resolução Normativa 1000/2021.</t>
        </is>
      </c>
      <c r="AW126" s="48" t="n"/>
    </row>
    <row r="127" ht="17.1" customFormat="1" customHeight="1" s="47">
      <c r="B127" s="10" t="n"/>
      <c r="AW127" s="48" t="n"/>
    </row>
    <row r="128" ht="3.95" customFormat="1" customHeight="1" s="47">
      <c r="B128" s="147" t="n"/>
      <c r="C128" s="148" t="n"/>
      <c r="D128" s="148" t="n"/>
      <c r="E128" s="148" t="n"/>
      <c r="F128" s="148" t="n"/>
      <c r="G128" s="148" t="n"/>
      <c r="H128" s="148" t="n"/>
      <c r="I128" s="148" t="n"/>
      <c r="J128" s="148" t="n"/>
      <c r="K128" s="148" t="n"/>
      <c r="L128" s="148" t="n"/>
      <c r="M128" s="148" t="n"/>
      <c r="N128" s="148" t="n"/>
      <c r="O128" s="148" t="n"/>
      <c r="P128" s="148" t="n"/>
      <c r="Q128" s="148" t="n"/>
      <c r="R128" s="148" t="n"/>
      <c r="S128" s="148" t="n"/>
      <c r="T128" s="148" t="n"/>
      <c r="U128" s="148" t="n"/>
      <c r="V128" s="148" t="n"/>
      <c r="W128" s="148" t="n"/>
      <c r="X128" s="148" t="n"/>
      <c r="Y128" s="148" t="n"/>
      <c r="Z128" s="148" t="n"/>
      <c r="AA128" s="148" t="n"/>
      <c r="AB128" s="148" t="n"/>
      <c r="AC128" s="148" t="n"/>
      <c r="AD128" s="148" t="n"/>
      <c r="AE128" s="148" t="n"/>
      <c r="AF128" s="148" t="n"/>
      <c r="AG128" s="148" t="n"/>
      <c r="AH128" s="148" t="n"/>
      <c r="AI128" s="148" t="n"/>
      <c r="AJ128" s="148" t="n"/>
      <c r="AK128" s="148" t="n"/>
      <c r="AL128" s="148" t="n"/>
      <c r="AM128" s="148" t="n"/>
      <c r="AN128" s="148" t="n"/>
      <c r="AO128" s="148" t="n"/>
      <c r="AP128" s="148" t="n"/>
      <c r="AQ128" s="148" t="n"/>
      <c r="AR128" s="148" t="n"/>
      <c r="AS128" s="148" t="n"/>
      <c r="AT128" s="148" t="n"/>
      <c r="AU128" s="148" t="n"/>
      <c r="AV128" s="148" t="n"/>
      <c r="AW128" s="48" t="n"/>
    </row>
    <row r="129" ht="17.1" customFormat="1" customHeight="1" s="47">
      <c r="B129" s="147" t="inlineStr">
        <is>
          <t>12 - . Para imóveis rurais apresentar o documento de Cadastro Ambiental Rural – CAR. O CAR é um registro público eletrônico de âmbito nacional, Lei nº 12.651/2012, obrigatório para todos os imóveis rurais.</t>
        </is>
      </c>
      <c r="AW129" s="48" t="n"/>
    </row>
    <row r="130" ht="17.1" customFormat="1" customHeight="1" s="47">
      <c r="B130" s="10" t="n"/>
      <c r="AW130" s="48" t="n"/>
    </row>
    <row r="131" ht="3.95" customFormat="1" customHeight="1" s="47">
      <c r="B131" s="147" t="n"/>
      <c r="C131" s="148" t="n"/>
      <c r="D131" s="148" t="n"/>
      <c r="E131" s="148" t="n"/>
      <c r="F131" s="148" t="n"/>
      <c r="G131" s="148" t="n"/>
      <c r="H131" s="148" t="n"/>
      <c r="I131" s="148" t="n"/>
      <c r="J131" s="148" t="n"/>
      <c r="K131" s="148" t="n"/>
      <c r="L131" s="148" t="n"/>
      <c r="M131" s="148" t="n"/>
      <c r="N131" s="148" t="n"/>
      <c r="O131" s="148" t="n"/>
      <c r="P131" s="148" t="n"/>
      <c r="Q131" s="148" t="n"/>
      <c r="R131" s="148" t="n"/>
      <c r="S131" s="148" t="n"/>
      <c r="T131" s="148" t="n"/>
      <c r="U131" s="148" t="n"/>
      <c r="V131" s="148" t="n"/>
      <c r="W131" s="148" t="n"/>
      <c r="X131" s="148" t="n"/>
      <c r="Y131" s="148" t="n"/>
      <c r="Z131" s="148" t="n"/>
      <c r="AA131" s="148" t="n"/>
      <c r="AB131" s="148" t="n"/>
      <c r="AC131" s="148" t="n"/>
      <c r="AD131" s="148" t="n"/>
      <c r="AE131" s="148" t="n"/>
      <c r="AF131" s="148" t="n"/>
      <c r="AG131" s="148" t="n"/>
      <c r="AH131" s="148" t="n"/>
      <c r="AI131" s="148" t="n"/>
      <c r="AJ131" s="148" t="n"/>
      <c r="AK131" s="148" t="n"/>
      <c r="AL131" s="148" t="n"/>
      <c r="AM131" s="148" t="n"/>
      <c r="AN131" s="148" t="n"/>
      <c r="AO131" s="148" t="n"/>
      <c r="AP131" s="148" t="n"/>
      <c r="AQ131" s="148" t="n"/>
      <c r="AR131" s="148" t="n"/>
      <c r="AS131" s="148" t="n"/>
      <c r="AT131" s="148" t="n"/>
      <c r="AU131" s="148" t="n"/>
      <c r="AV131" s="148" t="n"/>
      <c r="AW131" s="48" t="n"/>
    </row>
    <row r="132" ht="17.1" customFormat="1" customHeight="1" s="47">
      <c r="B132" s="147" t="inlineStr">
        <is>
          <t>13 - Documento que comprove a propriedade da unidade consumidora para a qual está sendo solicitada a ligação da central geradora particular pertencente a uma edificação coletiva ou agrupamento.</t>
        </is>
      </c>
      <c r="AW132" s="48" t="n"/>
    </row>
    <row r="133" ht="17.1" customFormat="1" customHeight="1" s="47">
      <c r="B133" s="10" t="n"/>
      <c r="AW133" s="48" t="n"/>
    </row>
    <row r="134" ht="3.95" customFormat="1" customHeight="1" s="47">
      <c r="B134" s="147" t="n"/>
      <c r="C134" s="148" t="n"/>
      <c r="D134" s="148" t="n"/>
      <c r="E134" s="148" t="n"/>
      <c r="F134" s="148" t="n"/>
      <c r="G134" s="148" t="n"/>
      <c r="H134" s="148" t="n"/>
      <c r="I134" s="148" t="n"/>
      <c r="J134" s="148" t="n"/>
      <c r="K134" s="148" t="n"/>
      <c r="L134" s="148" t="n"/>
      <c r="M134" s="148" t="n"/>
      <c r="N134" s="148" t="n"/>
      <c r="O134" s="148" t="n"/>
      <c r="P134" s="148" t="n"/>
      <c r="Q134" s="148" t="n"/>
      <c r="R134" s="148" t="n"/>
      <c r="S134" s="148" t="n"/>
      <c r="T134" s="148" t="n"/>
      <c r="U134" s="148" t="n"/>
      <c r="V134" s="148" t="n"/>
      <c r="W134" s="148" t="n"/>
      <c r="X134" s="148" t="n"/>
      <c r="Y134" s="148" t="n"/>
      <c r="Z134" s="148" t="n"/>
      <c r="AA134" s="148" t="n"/>
      <c r="AB134" s="148" t="n"/>
      <c r="AC134" s="148" t="n"/>
      <c r="AD134" s="148" t="n"/>
      <c r="AE134" s="148" t="n"/>
      <c r="AF134" s="148" t="n"/>
      <c r="AG134" s="148" t="n"/>
      <c r="AH134" s="148" t="n"/>
      <c r="AI134" s="148" t="n"/>
      <c r="AJ134" s="148" t="n"/>
      <c r="AK134" s="148" t="n"/>
      <c r="AL134" s="148" t="n"/>
      <c r="AM134" s="148" t="n"/>
      <c r="AN134" s="148" t="n"/>
      <c r="AO134" s="148" t="n"/>
      <c r="AP134" s="148" t="n"/>
      <c r="AQ134" s="148" t="n"/>
      <c r="AR134" s="148" t="n"/>
      <c r="AS134" s="148" t="n"/>
      <c r="AT134" s="148" t="n"/>
      <c r="AU134" s="148" t="n"/>
      <c r="AV134" s="148" t="n"/>
      <c r="AW134" s="48" t="n"/>
    </row>
    <row r="135" ht="17.1" customFormat="1" customHeight="1" s="47">
      <c r="B135" s="147" t="inlineStr">
        <is>
          <t xml:space="preserve">14 - Documento fornecido pelo condomínio que comprove autorização de uso de área comum da edificação coletiva para instalação de central geradora de uso particular da unidade em questão. </t>
        </is>
      </c>
      <c r="AW135" s="48" t="n"/>
    </row>
    <row r="136" ht="17.1" customFormat="1" customHeight="1" s="47">
      <c r="B136" s="10" t="n"/>
      <c r="AW136" s="48" t="n"/>
    </row>
    <row r="137" ht="17.1" customFormat="1" customHeight="1" s="47">
      <c r="B137" s="147" t="inlineStr">
        <is>
          <t xml:space="preserve">15 - Documento que comprove o direito de posse pelo proprietário da central geradora em casos de aluguel, cessão ou arrendamento de áreas, telhados ou estruturas. </t>
        </is>
      </c>
      <c r="AW137" s="48" t="n"/>
    </row>
    <row r="138" ht="17.1" customFormat="1" customHeight="1" s="47">
      <c r="B138" s="10" t="n"/>
      <c r="AW138" s="48" t="n"/>
    </row>
    <row r="139" ht="6" customHeight="1">
      <c r="B139" s="10" t="n"/>
      <c r="AW139" s="8" t="n"/>
    </row>
    <row r="140" ht="17.1" customHeight="1">
      <c r="B140" s="10" t="inlineStr">
        <is>
          <t>Nota1: Os Técnicos em Eletrotécnica poderão projetar e dirigir instalações com potência até 800 kVA (Decreto nº 90.922/85)</t>
        </is>
      </c>
      <c r="AW140" s="8" t="n"/>
    </row>
    <row r="141" ht="3" customHeight="1">
      <c r="B141" s="1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2" t="n"/>
    </row>
    <row r="142" ht="3" customHeight="1"/>
    <row r="143">
      <c r="B143" s="157" t="inlineStr">
        <is>
          <t>5 – CONTATO NA DISTRIBUIDORA (preenchido pela Distribuidora)</t>
        </is>
      </c>
      <c r="C143" s="32" t="n"/>
      <c r="D143" s="32" t="n"/>
      <c r="E143" s="32" t="n"/>
      <c r="F143" s="32" t="n"/>
      <c r="G143" s="32" t="n"/>
      <c r="H143" s="32" t="n"/>
      <c r="I143" s="32" t="n"/>
      <c r="J143" s="32" t="n"/>
      <c r="K143" s="32" t="n"/>
      <c r="L143" s="32" t="n"/>
      <c r="M143" s="32" t="n"/>
      <c r="N143" s="32" t="n"/>
      <c r="O143" s="32" t="n"/>
      <c r="P143" s="32" t="n"/>
      <c r="Q143" s="32" t="n"/>
      <c r="R143" s="32" t="n"/>
      <c r="S143" s="32" t="n"/>
      <c r="T143" s="32" t="n"/>
      <c r="U143" s="32" t="n"/>
      <c r="V143" s="32" t="n"/>
      <c r="W143" s="32" t="n"/>
      <c r="X143" s="32" t="n"/>
      <c r="Y143" s="32" t="n"/>
      <c r="Z143" s="32" t="n"/>
      <c r="AA143" s="32" t="n"/>
      <c r="AB143" s="32" t="n"/>
      <c r="AC143" s="32" t="n"/>
      <c r="AD143" s="32" t="n"/>
      <c r="AE143" s="32" t="n"/>
      <c r="AF143" s="32" t="n"/>
      <c r="AG143" s="32" t="n"/>
      <c r="AH143" s="32" t="n"/>
      <c r="AI143" s="32" t="n"/>
      <c r="AJ143" s="32" t="n"/>
      <c r="AK143" s="32" t="n"/>
      <c r="AL143" s="32" t="n"/>
      <c r="AM143" s="32" t="n"/>
      <c r="AN143" s="32" t="n"/>
      <c r="AO143" s="32" t="n"/>
      <c r="AP143" s="32" t="n"/>
      <c r="AQ143" s="32" t="n"/>
      <c r="AR143" s="32" t="n"/>
      <c r="AS143" s="32" t="n"/>
      <c r="AT143" s="32" t="n"/>
      <c r="AU143" s="32" t="n"/>
      <c r="AV143" s="32" t="n"/>
      <c r="AW143" s="238" t="n"/>
    </row>
    <row r="144" ht="3.75" customHeight="1">
      <c r="B144" s="10" t="n"/>
      <c r="AW144" s="8" t="n"/>
    </row>
    <row r="145" ht="15" customHeight="1">
      <c r="B145" s="239" t="inlineStr">
        <is>
          <t xml:space="preserve">Responsável / Área: </t>
        </is>
      </c>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c r="AA145" s="15" t="n"/>
      <c r="AB145" s="13" t="inlineStr">
        <is>
          <t xml:space="preserve">Endereço: </t>
        </is>
      </c>
      <c r="AC145" s="14" t="n"/>
      <c r="AD145" s="14" t="n"/>
      <c r="AE145" s="14" t="n"/>
      <c r="AF145" s="14" t="n"/>
      <c r="AG145" s="14" t="n"/>
      <c r="AH145" s="14" t="n"/>
      <c r="AI145" s="14" t="n"/>
      <c r="AJ145" s="14" t="n"/>
      <c r="AK145" s="14" t="n"/>
      <c r="AL145" s="14" t="n"/>
      <c r="AM145" s="14" t="n"/>
      <c r="AN145" s="14" t="n"/>
      <c r="AO145" s="14" t="n"/>
      <c r="AP145" s="14" t="n"/>
      <c r="AQ145" s="14" t="n"/>
      <c r="AR145" s="14" t="n"/>
      <c r="AS145" s="14" t="n"/>
      <c r="AT145" s="14" t="n"/>
      <c r="AU145" s="14" t="n"/>
      <c r="AV145" s="14" t="n"/>
      <c r="AW145" s="15" t="n"/>
    </row>
    <row r="146" ht="20.25" customHeight="1">
      <c r="B146" s="240" t="inlineStr">
        <is>
          <t>Gerência de Processos Especiais da Expansão de Média e Baixa Tensão - EM/PE</t>
        </is>
      </c>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2" t="n"/>
      <c r="AB146" s="45" t="inlineStr">
        <is>
          <t>Av. Barbacena, 1200, Santo Agostinho, CEP 30190-131, BH - MG</t>
        </is>
      </c>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2" t="n"/>
    </row>
    <row r="147" ht="15" customHeight="1">
      <c r="B147" s="145" t="inlineStr">
        <is>
          <t>Telefone: 0800 721 0167</t>
        </is>
      </c>
      <c r="C147" s="32" t="n"/>
      <c r="D147" s="32" t="n"/>
      <c r="E147" s="32" t="n"/>
      <c r="F147" s="32" t="n"/>
      <c r="G147" s="32" t="n"/>
      <c r="H147" s="32" t="n"/>
      <c r="I147" s="32" t="n"/>
      <c r="J147" s="32" t="n"/>
      <c r="K147" s="32" t="n"/>
      <c r="L147" s="32" t="n"/>
      <c r="M147" s="32" t="n"/>
      <c r="N147" s="32" t="n"/>
      <c r="O147" s="32" t="n"/>
      <c r="P147" s="32" t="n"/>
      <c r="Q147" s="32" t="n"/>
      <c r="R147" s="32" t="n"/>
      <c r="S147" s="32" t="n"/>
      <c r="T147" s="32" t="n"/>
      <c r="U147" s="32" t="n"/>
      <c r="V147" s="32" t="n"/>
      <c r="W147" s="32" t="n"/>
      <c r="X147" s="32" t="n"/>
      <c r="Y147" s="32" t="n"/>
      <c r="Z147" s="32" t="n"/>
      <c r="AA147" s="32" t="n"/>
      <c r="AB147" s="144" t="inlineStr">
        <is>
          <t>E-mail: geracaodistribuida@cemig.com.br</t>
        </is>
      </c>
      <c r="AC147" s="32" t="n"/>
      <c r="AD147" s="32" t="n"/>
      <c r="AE147" s="32" t="n"/>
      <c r="AF147" s="32" t="n"/>
      <c r="AG147" s="32" t="n"/>
      <c r="AH147" s="32" t="n"/>
      <c r="AI147" s="32" t="n"/>
      <c r="AJ147" s="32" t="n"/>
      <c r="AK147" s="32" t="n"/>
      <c r="AL147" s="32" t="n"/>
      <c r="AM147" s="32" t="n"/>
      <c r="AN147" s="32" t="n"/>
      <c r="AO147" s="32" t="n"/>
      <c r="AP147" s="32" t="n"/>
      <c r="AQ147" s="32" t="n"/>
      <c r="AR147" s="32" t="n"/>
      <c r="AS147" s="32" t="n"/>
      <c r="AT147" s="32" t="n"/>
      <c r="AU147" s="32" t="n"/>
      <c r="AV147" s="32" t="n"/>
      <c r="AW147" s="238" t="n"/>
    </row>
    <row r="148" ht="3" customHeight="1"/>
    <row r="149">
      <c r="B149" s="157" t="inlineStr">
        <is>
          <t>6 – SOLICITANTE</t>
        </is>
      </c>
      <c r="C149" s="32" t="n"/>
      <c r="D149" s="32" t="n"/>
      <c r="E149" s="32" t="n"/>
      <c r="F149" s="32" t="n"/>
      <c r="G149" s="32" t="n"/>
      <c r="H149" s="32" t="n"/>
      <c r="I149" s="32" t="n"/>
      <c r="J149" s="32" t="n"/>
      <c r="K149" s="32" t="n"/>
      <c r="L149" s="32" t="n"/>
      <c r="M149" s="32" t="n"/>
      <c r="N149" s="32" t="n"/>
      <c r="O149" s="32" t="n"/>
      <c r="P149" s="32" t="n"/>
      <c r="Q149" s="32" t="n"/>
      <c r="R149" s="32" t="n"/>
      <c r="S149" s="32" t="n"/>
      <c r="T149" s="32" t="n"/>
      <c r="U149" s="32" t="n"/>
      <c r="V149" s="32" t="n"/>
      <c r="W149" s="32" t="n"/>
      <c r="X149" s="32" t="n"/>
      <c r="Y149" s="32" t="n"/>
      <c r="Z149" s="32" t="n"/>
      <c r="AA149" s="32" t="n"/>
      <c r="AB149" s="32" t="n"/>
      <c r="AC149" s="32" t="n"/>
      <c r="AD149" s="32" t="n"/>
      <c r="AE149" s="32" t="n"/>
      <c r="AF149" s="32" t="n"/>
      <c r="AG149" s="32" t="n"/>
      <c r="AH149" s="32" t="n"/>
      <c r="AI149" s="32" t="n"/>
      <c r="AJ149" s="32" t="n"/>
      <c r="AK149" s="32" t="n"/>
      <c r="AL149" s="32" t="n"/>
      <c r="AM149" s="32" t="n"/>
      <c r="AN149" s="32" t="n"/>
      <c r="AO149" s="32" t="n"/>
      <c r="AP149" s="32" t="n"/>
      <c r="AQ149" s="32" t="n"/>
      <c r="AR149" s="32" t="n"/>
      <c r="AS149" s="32" t="n"/>
      <c r="AT149" s="32" t="n"/>
      <c r="AU149" s="32" t="n"/>
      <c r="AV149" s="32" t="n"/>
      <c r="AW149" s="238" t="n"/>
    </row>
    <row r="150" ht="3.75" customHeight="1" thickBot="1">
      <c r="B150" s="10" t="n"/>
      <c r="AW150" s="8" t="n"/>
    </row>
    <row r="151">
      <c r="B151" s="10" t="inlineStr">
        <is>
          <t>Nome do Consumidor ou Procurador Legal*:</t>
        </is>
      </c>
      <c r="O151" s="62" t="n"/>
      <c r="P151" s="62" t="n"/>
      <c r="Q151" s="205" t="inlineStr">
        <is>
          <t>Willy Amorim Magalhães</t>
        </is>
      </c>
      <c r="R151" s="201" t="n"/>
      <c r="S151" s="201" t="n"/>
      <c r="T151" s="201" t="n"/>
      <c r="U151" s="201" t="n"/>
      <c r="V151" s="201" t="n"/>
      <c r="W151" s="201" t="n"/>
      <c r="X151" s="201" t="n"/>
      <c r="Y151" s="201" t="n"/>
      <c r="Z151" s="201" t="n"/>
      <c r="AA151" s="201" t="n"/>
      <c r="AB151" s="201" t="n"/>
      <c r="AC151" s="201" t="n"/>
      <c r="AD151" s="201" t="n"/>
      <c r="AE151" s="201" t="n"/>
      <c r="AF151" s="201" t="n"/>
      <c r="AG151" s="201" t="n"/>
      <c r="AH151" s="201" t="n"/>
      <c r="AI151" s="201" t="n"/>
      <c r="AJ151" s="201" t="n"/>
      <c r="AK151" s="201" t="n"/>
      <c r="AL151" s="201" t="n"/>
      <c r="AM151" s="201" t="n"/>
      <c r="AN151" s="201" t="n"/>
      <c r="AO151" s="201" t="n"/>
      <c r="AP151" s="201" t="n"/>
      <c r="AQ151" s="201" t="n"/>
      <c r="AR151" s="201" t="n"/>
      <c r="AS151" s="201" t="n"/>
      <c r="AT151" s="201" t="n"/>
      <c r="AU151" s="201" t="n"/>
      <c r="AV151" s="202" t="n"/>
      <c r="AW151" s="8" t="n"/>
    </row>
    <row r="152" ht="3" customHeight="1" thickBot="1">
      <c r="B152" s="10" t="n"/>
      <c r="O152" s="156" t="n"/>
      <c r="P152" s="156" t="n"/>
      <c r="Q152" s="156" t="n"/>
      <c r="R152" s="156" t="n"/>
      <c r="S152" s="156" t="n"/>
      <c r="T152" s="156" t="n"/>
      <c r="U152" s="156" t="n"/>
      <c r="V152" s="156" t="n"/>
      <c r="W152" s="156" t="n"/>
      <c r="X152" s="156" t="n"/>
      <c r="Y152" s="156" t="n"/>
      <c r="Z152" s="156" t="n"/>
      <c r="AA152" s="156" t="n"/>
      <c r="AB152" s="156" t="n"/>
      <c r="AC152" s="156" t="n"/>
      <c r="AD152" s="156" t="n"/>
      <c r="AE152" s="156" t="n"/>
      <c r="AF152" s="156" t="n"/>
      <c r="AG152" s="156" t="n"/>
      <c r="AH152" s="156" t="n"/>
      <c r="AI152" s="156" t="n"/>
      <c r="AJ152" s="156" t="n"/>
      <c r="AK152" s="156" t="n"/>
      <c r="AL152" s="156" t="n"/>
      <c r="AM152" s="156" t="n"/>
      <c r="AN152" s="156" t="n"/>
      <c r="AO152" s="156" t="n"/>
      <c r="AP152" s="156" t="n"/>
      <c r="AQ152" s="156" t="n"/>
      <c r="AR152" s="156" t="n"/>
      <c r="AS152" s="156" t="n"/>
      <c r="AT152" s="156" t="n"/>
      <c r="AU152" s="156" t="n"/>
      <c r="AV152" s="156" t="n"/>
      <c r="AW152" s="8" t="n"/>
    </row>
    <row r="153">
      <c r="B153" s="155" t="inlineStr">
        <is>
          <t>Endereço de Correspondência*:</t>
        </is>
      </c>
      <c r="O153" s="205" t="inlineStr">
        <is>
          <t>Rua Isaurino do Vale, 225, Vila Tavares, Itaúna - MG</t>
        </is>
      </c>
      <c r="P153" s="201" t="n"/>
      <c r="Q153" s="201" t="n"/>
      <c r="R153" s="201" t="n"/>
      <c r="S153" s="201" t="n"/>
      <c r="T153" s="201" t="n"/>
      <c r="U153" s="201" t="n"/>
      <c r="V153" s="201" t="n"/>
      <c r="W153" s="201" t="n"/>
      <c r="X153" s="201" t="n"/>
      <c r="Y153" s="201" t="n"/>
      <c r="Z153" s="201" t="n"/>
      <c r="AA153" s="201" t="n"/>
      <c r="AB153" s="201" t="n"/>
      <c r="AC153" s="201" t="n"/>
      <c r="AD153" s="201" t="n"/>
      <c r="AE153" s="201" t="n"/>
      <c r="AF153" s="201" t="n"/>
      <c r="AG153" s="201" t="n"/>
      <c r="AH153" s="201" t="n"/>
      <c r="AI153" s="201" t="n"/>
      <c r="AJ153" s="201" t="n"/>
      <c r="AK153" s="201" t="n"/>
      <c r="AL153" s="201" t="n"/>
      <c r="AM153" s="201" t="n"/>
      <c r="AN153" s="201" t="n"/>
      <c r="AO153" s="201" t="n"/>
      <c r="AP153" s="201" t="n"/>
      <c r="AQ153" s="201" t="n"/>
      <c r="AR153" s="201" t="n"/>
      <c r="AS153" s="201" t="n"/>
      <c r="AT153" s="201" t="n"/>
      <c r="AU153" s="201" t="n"/>
      <c r="AV153" s="202" t="n"/>
      <c r="AW153" s="8" t="n"/>
    </row>
    <row r="154" ht="3" customHeight="1" thickBot="1">
      <c r="B154" s="10" t="n"/>
      <c r="O154" s="156" t="n"/>
      <c r="P154" s="156" t="n"/>
      <c r="Q154" s="156" t="n"/>
      <c r="R154" s="156" t="n"/>
      <c r="S154" s="156" t="n"/>
      <c r="T154" s="156" t="n"/>
      <c r="U154" s="156" t="n"/>
      <c r="V154" s="156" t="n"/>
      <c r="W154" s="156" t="n"/>
      <c r="X154" s="156" t="n"/>
      <c r="Y154" s="156" t="n"/>
      <c r="Z154" s="156" t="n"/>
      <c r="AA154" s="156" t="n"/>
      <c r="AB154" s="156" t="n"/>
      <c r="AC154" s="156" t="n"/>
      <c r="AD154" s="156" t="n"/>
      <c r="AE154" s="156" t="n"/>
      <c r="AF154" s="156" t="n"/>
      <c r="AG154" s="156" t="n"/>
      <c r="AH154" s="156" t="n"/>
      <c r="AI154" s="156" t="n"/>
      <c r="AJ154" s="156" t="n"/>
      <c r="AK154" s="156" t="n"/>
      <c r="AL154" s="156" t="n"/>
      <c r="AM154" s="156" t="n"/>
      <c r="AN154" s="156" t="n"/>
      <c r="AO154" s="156" t="n"/>
      <c r="AP154" s="156" t="n"/>
      <c r="AQ154" s="156" t="n"/>
      <c r="AR154" s="156" t="n"/>
      <c r="AS154" s="156" t="n"/>
      <c r="AT154" s="156" t="n"/>
      <c r="AU154" s="156" t="n"/>
      <c r="AV154" s="156" t="n"/>
      <c r="AW154" s="8" t="n"/>
    </row>
    <row r="155">
      <c r="B155" s="10" t="n"/>
      <c r="O155" s="205" t="n"/>
      <c r="P155" s="201" t="n"/>
      <c r="Q155" s="201" t="n"/>
      <c r="R155" s="201" t="n"/>
      <c r="S155" s="201" t="n"/>
      <c r="T155" s="201" t="n"/>
      <c r="U155" s="201" t="n"/>
      <c r="V155" s="201" t="n"/>
      <c r="W155" s="201" t="n"/>
      <c r="X155" s="201" t="n"/>
      <c r="Y155" s="201" t="n"/>
      <c r="Z155" s="201" t="n"/>
      <c r="AA155" s="201" t="n"/>
      <c r="AB155" s="201" t="n"/>
      <c r="AC155" s="201" t="n"/>
      <c r="AD155" s="201" t="n"/>
      <c r="AE155" s="201" t="n"/>
      <c r="AF155" s="201" t="n"/>
      <c r="AG155" s="201" t="n"/>
      <c r="AH155" s="201" t="n"/>
      <c r="AI155" s="201" t="n"/>
      <c r="AJ155" s="201" t="n"/>
      <c r="AK155" s="201" t="n"/>
      <c r="AL155" s="201" t="n"/>
      <c r="AM155" s="201" t="n"/>
      <c r="AN155" s="201" t="n"/>
      <c r="AO155" s="201" t="n"/>
      <c r="AP155" s="201" t="n"/>
      <c r="AQ155" s="201" t="n"/>
      <c r="AR155" s="201" t="n"/>
      <c r="AS155" s="201" t="n"/>
      <c r="AT155" s="201" t="n"/>
      <c r="AU155" s="201" t="n"/>
      <c r="AV155" s="202" t="n"/>
      <c r="AW155" s="8" t="n"/>
    </row>
    <row r="156" ht="7.5" customHeight="1" thickBot="1">
      <c r="B156" s="10" t="n"/>
      <c r="AW156" s="8" t="n"/>
    </row>
    <row r="157">
      <c r="B157" s="10" t="inlineStr">
        <is>
          <t>Telefone:</t>
        </is>
      </c>
      <c r="F157" s="208" t="n">
        <v>3734021468</v>
      </c>
      <c r="G157" s="201" t="n"/>
      <c r="H157" s="201" t="n"/>
      <c r="I157" s="201" t="n"/>
      <c r="J157" s="202" t="n"/>
      <c r="L157" t="inlineStr">
        <is>
          <t>Celular*:</t>
        </is>
      </c>
      <c r="O157" s="209" t="n">
        <v>37998044360</v>
      </c>
      <c r="P157" s="201" t="n"/>
      <c r="Q157" s="201" t="n"/>
      <c r="R157" s="201" t="n"/>
      <c r="S157" s="201" t="n"/>
      <c r="T157" s="202" t="n"/>
      <c r="V157" s="110" t="inlineStr">
        <is>
          <t>E-mail*:</t>
        </is>
      </c>
      <c r="Y157" s="210" t="inlineStr">
        <is>
          <t>amorim.willy@hotmail.com</t>
        </is>
      </c>
      <c r="Z157" s="201" t="n"/>
      <c r="AA157" s="201" t="n"/>
      <c r="AB157" s="201" t="n"/>
      <c r="AC157" s="201" t="n"/>
      <c r="AD157" s="201" t="n"/>
      <c r="AE157" s="201" t="n"/>
      <c r="AF157" s="201" t="n"/>
      <c r="AG157" s="201" t="n"/>
      <c r="AH157" s="201" t="n"/>
      <c r="AI157" s="201" t="n"/>
      <c r="AJ157" s="201" t="n"/>
      <c r="AK157" s="201" t="n"/>
      <c r="AL157" s="201" t="n"/>
      <c r="AM157" s="201" t="n"/>
      <c r="AN157" s="201" t="n"/>
      <c r="AO157" s="201" t="n"/>
      <c r="AP157" s="201" t="n"/>
      <c r="AQ157" s="201" t="n"/>
      <c r="AR157" s="201" t="n"/>
      <c r="AS157" s="201" t="n"/>
      <c r="AT157" s="201" t="n"/>
      <c r="AU157" s="201" t="n"/>
      <c r="AV157" s="202" t="n"/>
      <c r="AW157" s="8" t="n"/>
    </row>
    <row r="158" ht="3" customHeight="1">
      <c r="B158" s="10" t="n"/>
      <c r="F158" s="60" t="n"/>
      <c r="G158" s="60" t="n"/>
      <c r="H158" s="60" t="n"/>
      <c r="I158" s="60" t="n"/>
      <c r="J158" s="60" t="n"/>
      <c r="O158" s="61" t="n"/>
      <c r="P158" s="61" t="n"/>
      <c r="Q158" s="61" t="n"/>
      <c r="R158" s="61" t="n"/>
      <c r="S158" s="61" t="n"/>
      <c r="T158" s="61" t="n"/>
      <c r="V158" s="110" t="n"/>
      <c r="W158" s="110" t="n"/>
      <c r="X158" s="110"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8" t="n"/>
    </row>
    <row r="159" ht="3" customHeight="1" thickBot="1">
      <c r="B159" s="10" t="n"/>
      <c r="AW159" s="8" t="n"/>
    </row>
    <row r="160" ht="15" customHeight="1">
      <c r="B160" s="10" t="inlineStr">
        <is>
          <t>Observações:</t>
        </is>
      </c>
      <c r="G160" s="204" t="n"/>
      <c r="H160" s="201" t="n"/>
      <c r="I160" s="201" t="n"/>
      <c r="J160" s="201" t="n"/>
      <c r="K160" s="201" t="n"/>
      <c r="L160" s="201" t="n"/>
      <c r="M160" s="201" t="n"/>
      <c r="N160" s="201" t="n"/>
      <c r="O160" s="201" t="n"/>
      <c r="P160" s="201" t="n"/>
      <c r="Q160" s="201" t="n"/>
      <c r="R160" s="201" t="n"/>
      <c r="S160" s="201" t="n"/>
      <c r="T160" s="201" t="n"/>
      <c r="U160" s="201" t="n"/>
      <c r="V160" s="201" t="n"/>
      <c r="W160" s="201" t="n"/>
      <c r="X160" s="201" t="n"/>
      <c r="Y160" s="201" t="n"/>
      <c r="Z160" s="201" t="n"/>
      <c r="AA160" s="201" t="n"/>
      <c r="AB160" s="201" t="n"/>
      <c r="AC160" s="201" t="n"/>
      <c r="AD160" s="201" t="n"/>
      <c r="AE160" s="201" t="n"/>
      <c r="AF160" s="201" t="n"/>
      <c r="AG160" s="201" t="n"/>
      <c r="AH160" s="201" t="n"/>
      <c r="AI160" s="201" t="n"/>
      <c r="AJ160" s="201" t="n"/>
      <c r="AK160" s="201" t="n"/>
      <c r="AL160" s="201" t="n"/>
      <c r="AM160" s="201" t="n"/>
      <c r="AN160" s="201" t="n"/>
      <c r="AO160" s="201" t="n"/>
      <c r="AP160" s="201" t="n"/>
      <c r="AQ160" s="201" t="n"/>
      <c r="AR160" s="201" t="n"/>
      <c r="AS160" s="201" t="n"/>
      <c r="AT160" s="201" t="n"/>
      <c r="AU160" s="201" t="n"/>
      <c r="AV160" s="202" t="n"/>
      <c r="AW160" s="8" t="n"/>
    </row>
    <row r="161" ht="3" customHeight="1" thickBot="1">
      <c r="B161" s="10" t="n"/>
      <c r="G161" s="72" t="n"/>
      <c r="H161" s="72" t="n"/>
      <c r="I161" s="72" t="n"/>
      <c r="J161" s="72" t="n"/>
      <c r="K161" s="72" t="n"/>
      <c r="L161" s="72" t="n"/>
      <c r="M161" s="72" t="n"/>
      <c r="N161" s="72" t="n"/>
      <c r="O161" s="72" t="n"/>
      <c r="P161" s="72" t="n"/>
      <c r="Q161" s="72" t="n"/>
      <c r="R161" s="72" t="n"/>
      <c r="S161" s="72" t="n"/>
      <c r="T161" s="72" t="n"/>
      <c r="U161" s="72" t="n"/>
      <c r="V161" s="72" t="n"/>
      <c r="W161" s="72" t="n"/>
      <c r="X161" s="72" t="n"/>
      <c r="Y161" s="72" t="n"/>
      <c r="Z161" s="72" t="n"/>
      <c r="AA161" s="72" t="n"/>
      <c r="AB161" s="72" t="n"/>
      <c r="AC161" s="72" t="n"/>
      <c r="AD161" s="72" t="n"/>
      <c r="AE161" s="72" t="n"/>
      <c r="AF161" s="72" t="n"/>
      <c r="AG161" s="72" t="n"/>
      <c r="AH161" s="72" t="n"/>
      <c r="AI161" s="72" t="n"/>
      <c r="AJ161" s="72" t="n"/>
      <c r="AK161" s="72" t="n"/>
      <c r="AL161" s="72" t="n"/>
      <c r="AM161" s="72" t="n"/>
      <c r="AN161" s="72" t="n"/>
      <c r="AO161" s="72" t="n"/>
      <c r="AP161" s="72" t="n"/>
      <c r="AQ161" s="72" t="n"/>
      <c r="AR161" s="72" t="n"/>
      <c r="AS161" s="72" t="n"/>
      <c r="AT161" s="72" t="n"/>
      <c r="AU161" s="72" t="n"/>
      <c r="AV161" s="72" t="n"/>
      <c r="AW161" s="8" t="n"/>
    </row>
    <row r="162" ht="15" customHeight="1">
      <c r="B162" s="10" t="n"/>
      <c r="G162" s="204" t="n"/>
      <c r="H162" s="201" t="n"/>
      <c r="I162" s="201" t="n"/>
      <c r="J162" s="201" t="n"/>
      <c r="K162" s="201" t="n"/>
      <c r="L162" s="201" t="n"/>
      <c r="M162" s="201" t="n"/>
      <c r="N162" s="201" t="n"/>
      <c r="O162" s="201" t="n"/>
      <c r="P162" s="201" t="n"/>
      <c r="Q162" s="201" t="n"/>
      <c r="R162" s="201" t="n"/>
      <c r="S162" s="201" t="n"/>
      <c r="T162" s="201" t="n"/>
      <c r="U162" s="201" t="n"/>
      <c r="V162" s="201" t="n"/>
      <c r="W162" s="201" t="n"/>
      <c r="X162" s="201" t="n"/>
      <c r="Y162" s="201" t="n"/>
      <c r="Z162" s="201" t="n"/>
      <c r="AA162" s="201" t="n"/>
      <c r="AB162" s="201" t="n"/>
      <c r="AC162" s="201" t="n"/>
      <c r="AD162" s="201" t="n"/>
      <c r="AE162" s="201" t="n"/>
      <c r="AF162" s="201" t="n"/>
      <c r="AG162" s="201" t="n"/>
      <c r="AH162" s="201" t="n"/>
      <c r="AI162" s="201" t="n"/>
      <c r="AJ162" s="201" t="n"/>
      <c r="AK162" s="201" t="n"/>
      <c r="AL162" s="201" t="n"/>
      <c r="AM162" s="201" t="n"/>
      <c r="AN162" s="201" t="n"/>
      <c r="AO162" s="201" t="n"/>
      <c r="AP162" s="201" t="n"/>
      <c r="AQ162" s="201" t="n"/>
      <c r="AR162" s="201" t="n"/>
      <c r="AS162" s="201" t="n"/>
      <c r="AT162" s="201" t="n"/>
      <c r="AU162" s="201" t="n"/>
      <c r="AV162" s="202" t="n"/>
      <c r="AW162" s="8" t="n"/>
    </row>
    <row r="163" ht="3" customHeight="1" thickBot="1">
      <c r="B163" s="10" t="n"/>
      <c r="AW163" s="8" t="n"/>
    </row>
    <row r="164" ht="15" customHeight="1">
      <c r="B164" s="10" t="n"/>
      <c r="G164" s="204" t="n"/>
      <c r="H164" s="201" t="n"/>
      <c r="I164" s="201" t="n"/>
      <c r="J164" s="201" t="n"/>
      <c r="K164" s="201" t="n"/>
      <c r="L164" s="201" t="n"/>
      <c r="M164" s="201" t="n"/>
      <c r="N164" s="201" t="n"/>
      <c r="O164" s="201" t="n"/>
      <c r="P164" s="201" t="n"/>
      <c r="Q164" s="201" t="n"/>
      <c r="R164" s="201" t="n"/>
      <c r="S164" s="201" t="n"/>
      <c r="T164" s="201" t="n"/>
      <c r="U164" s="201" t="n"/>
      <c r="V164" s="201" t="n"/>
      <c r="W164" s="201" t="n"/>
      <c r="X164" s="201" t="n"/>
      <c r="Y164" s="201" t="n"/>
      <c r="Z164" s="201" t="n"/>
      <c r="AA164" s="201" t="n"/>
      <c r="AB164" s="201" t="n"/>
      <c r="AC164" s="201" t="n"/>
      <c r="AD164" s="201" t="n"/>
      <c r="AE164" s="201" t="n"/>
      <c r="AF164" s="201" t="n"/>
      <c r="AG164" s="201" t="n"/>
      <c r="AH164" s="201" t="n"/>
      <c r="AI164" s="201" t="n"/>
      <c r="AJ164" s="201" t="n"/>
      <c r="AK164" s="201" t="n"/>
      <c r="AL164" s="201" t="n"/>
      <c r="AM164" s="201" t="n"/>
      <c r="AN164" s="201" t="n"/>
      <c r="AO164" s="201" t="n"/>
      <c r="AP164" s="201" t="n"/>
      <c r="AQ164" s="201" t="n"/>
      <c r="AR164" s="201" t="n"/>
      <c r="AS164" s="201" t="n"/>
      <c r="AT164" s="201" t="n"/>
      <c r="AU164" s="201" t="n"/>
      <c r="AV164" s="202" t="n"/>
      <c r="AW164" s="8" t="n"/>
    </row>
    <row r="165">
      <c r="B165" s="35" t="inlineStr">
        <is>
          <t xml:space="preserve">    Local e data*:</t>
        </is>
      </c>
      <c r="C165" s="36" t="n"/>
      <c r="D165" s="36" t="n"/>
      <c r="E165" s="36" t="n"/>
      <c r="F165" s="36" t="n"/>
      <c r="G165" s="36" t="n"/>
      <c r="H165" s="36" t="n"/>
      <c r="I165" s="36" t="n"/>
      <c r="J165" s="36" t="n"/>
      <c r="K165" s="36" t="n"/>
      <c r="L165" s="36" t="n"/>
      <c r="M165" s="36" t="n"/>
      <c r="N165" s="36" t="n"/>
      <c r="O165" s="36" t="n"/>
      <c r="P165" s="36" t="n"/>
      <c r="Q165" s="36" t="n"/>
      <c r="R165" s="36" t="n"/>
      <c r="S165" s="36" t="n"/>
      <c r="T165" s="36" t="n"/>
      <c r="V165" s="159" t="inlineStr">
        <is>
          <t>Assinatura do Consumidor/Responsável Legal:</t>
        </is>
      </c>
      <c r="W165" s="241" t="n"/>
      <c r="X165" s="241" t="n"/>
      <c r="Y165" s="241" t="n"/>
      <c r="Z165" s="241" t="n"/>
      <c r="AA165" s="241" t="n"/>
      <c r="AB165" s="241" t="n"/>
      <c r="AC165" s="241" t="n"/>
      <c r="AD165" s="241" t="n"/>
      <c r="AE165" s="241" t="n"/>
      <c r="AF165" s="241" t="n"/>
      <c r="AG165" s="241" t="n"/>
      <c r="AH165" s="241" t="n"/>
      <c r="AI165" s="241" t="n"/>
      <c r="AJ165" s="241" t="n"/>
      <c r="AK165" s="241" t="n"/>
      <c r="AL165" s="241" t="n"/>
      <c r="AM165" s="241" t="n"/>
      <c r="AN165" s="241" t="n"/>
      <c r="AO165" s="241" t="n"/>
      <c r="AP165" s="241" t="n"/>
      <c r="AQ165" s="241" t="n"/>
      <c r="AR165" s="241" t="n"/>
      <c r="AS165" s="241" t="n"/>
      <c r="AT165" s="241" t="n"/>
      <c r="AU165" s="241" t="n"/>
      <c r="AV165" s="241" t="n"/>
      <c r="AW165" s="8" t="n"/>
    </row>
    <row r="166" ht="3.75" customHeight="1" thickBot="1">
      <c r="B166" s="35" t="n"/>
      <c r="C166" s="36" t="n"/>
      <c r="D166" s="36" t="n"/>
      <c r="E166" s="36" t="n"/>
      <c r="F166" s="36" t="n"/>
      <c r="G166" s="36" t="n"/>
      <c r="H166" s="36" t="n"/>
      <c r="I166" s="36" t="n"/>
      <c r="J166" s="36" t="n"/>
      <c r="K166" s="36" t="n"/>
      <c r="L166" s="36" t="n"/>
      <c r="M166" s="36" t="n"/>
      <c r="N166" s="36" t="n"/>
      <c r="O166" s="36" t="n"/>
      <c r="P166" s="36" t="n"/>
      <c r="Q166" s="36" t="n"/>
      <c r="R166" s="36" t="n"/>
      <c r="S166" s="36" t="n"/>
      <c r="T166" s="36" t="n"/>
      <c r="V166" s="36" t="n"/>
      <c r="W166" s="36" t="n"/>
      <c r="X166" s="36" t="n"/>
      <c r="Y166" s="36" t="n"/>
      <c r="Z166" s="36" t="n"/>
      <c r="AA166" s="36" t="n"/>
      <c r="AB166" s="36" t="n"/>
      <c r="AC166" s="36" t="n"/>
      <c r="AD166" s="36" t="n"/>
      <c r="AE166" s="36" t="n"/>
      <c r="AF166" s="36" t="n"/>
      <c r="AG166" s="36" t="n"/>
      <c r="AH166" s="36" t="n"/>
      <c r="AI166" s="36" t="n"/>
      <c r="AJ166" s="36" t="n"/>
      <c r="AK166" s="36" t="n"/>
      <c r="AL166" s="36" t="n"/>
      <c r="AM166" s="36" t="n"/>
      <c r="AN166" s="36" t="n"/>
      <c r="AO166" s="36" t="n"/>
      <c r="AP166" s="36" t="n"/>
      <c r="AQ166" s="36" t="n"/>
      <c r="AR166" s="36" t="n"/>
      <c r="AS166" s="36" t="n"/>
      <c r="AT166" s="36" t="n"/>
      <c r="AU166" s="36" t="n"/>
      <c r="AV166" s="36" t="n"/>
      <c r="AW166" s="8" t="n"/>
    </row>
    <row r="167" ht="21" customHeight="1">
      <c r="B167" s="35" t="n"/>
      <c r="C167" s="203" t="inlineStr">
        <is>
          <t>PIEDADE DOS GERAIS, 15/03/2023</t>
        </is>
      </c>
      <c r="D167" s="201" t="n"/>
      <c r="E167" s="201" t="n"/>
      <c r="F167" s="201" t="n"/>
      <c r="G167" s="201" t="n"/>
      <c r="H167" s="201" t="n"/>
      <c r="I167" s="201" t="n"/>
      <c r="J167" s="201" t="n"/>
      <c r="K167" s="201" t="n"/>
      <c r="L167" s="201" t="n"/>
      <c r="M167" s="201" t="n"/>
      <c r="N167" s="201" t="n"/>
      <c r="O167" s="201" t="n"/>
      <c r="P167" s="201" t="n"/>
      <c r="Q167" s="201" t="n"/>
      <c r="R167" s="201" t="n"/>
      <c r="S167" s="201" t="n"/>
      <c r="T167" s="202" t="n"/>
      <c r="V167" s="158"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8" t="n"/>
    </row>
    <row r="168" ht="11.25" customHeight="1">
      <c r="B168" s="1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2" t="n"/>
    </row>
  </sheetData>
  <sheetProtection selectLockedCells="1" selectUnlockedCells="0" algorithmName="SHA-512" sheet="1" objects="0" insertRows="1" insertHyperlinks="1" autoFilter="1" scenarios="0" formatColumns="1" deleteColumns="1" insertColumns="1" pivotTables="1" deleteRows="1" formatCells="1" saltValue="4SiCerqCAHy4B+UZFTpv7Q==" formatRows="1" sort="1" spinCount="100000" hashValue="ZgWvMH4XvfAZL2FwZi0Jd0bwKH/pkORWE0UsXelgiAo78U9djCeehxySZVoZvBUBhbTgmupxN9qKD1LEh+A9Eg=="/>
  <mergeCells count="139">
    <mergeCell ref="Y157:AV157"/>
    <mergeCell ref="B149:AW149"/>
    <mergeCell ref="V157:X157"/>
    <mergeCell ref="L52:O52"/>
    <mergeCell ref="AO39:AT39"/>
    <mergeCell ref="P71:V71"/>
    <mergeCell ref="Y22:AV22"/>
    <mergeCell ref="AN20:AO20"/>
    <mergeCell ref="K91:R91"/>
    <mergeCell ref="AH49:AJ49"/>
    <mergeCell ref="X34:Y34"/>
    <mergeCell ref="P73:V73"/>
    <mergeCell ref="L61:AD61"/>
    <mergeCell ref="AT49:AV49"/>
    <mergeCell ref="P20:S20"/>
    <mergeCell ref="V22:X22"/>
    <mergeCell ref="B117:AV119"/>
    <mergeCell ref="R54:S54"/>
    <mergeCell ref="AK34:AL34"/>
    <mergeCell ref="E20:N20"/>
    <mergeCell ref="C67:AU67"/>
    <mergeCell ref="B146:AA146"/>
    <mergeCell ref="Y12:AF12"/>
    <mergeCell ref="G164:AV164"/>
    <mergeCell ref="B10:AV10"/>
    <mergeCell ref="T27:U27"/>
    <mergeCell ref="V165:AV165"/>
    <mergeCell ref="H45:T45"/>
    <mergeCell ref="N95:R95"/>
    <mergeCell ref="AU39:AV39"/>
    <mergeCell ref="AM41:AT41"/>
    <mergeCell ref="AQ20:AR20"/>
    <mergeCell ref="P79:AU79"/>
    <mergeCell ref="H93:R93"/>
    <mergeCell ref="B132:AV133"/>
    <mergeCell ref="AP34:AR34"/>
    <mergeCell ref="AB147:AW147"/>
    <mergeCell ref="B107:AV108"/>
    <mergeCell ref="V167:AV167"/>
    <mergeCell ref="Q151:AV151"/>
    <mergeCell ref="K16:Q16"/>
    <mergeCell ref="AP36:AR36"/>
    <mergeCell ref="B153:N155"/>
    <mergeCell ref="AS20:AV20"/>
    <mergeCell ref="I12:M12"/>
    <mergeCell ref="AE61:AR61"/>
    <mergeCell ref="B145:AA145"/>
    <mergeCell ref="B143:AW143"/>
    <mergeCell ref="B147:AA147"/>
    <mergeCell ref="AU41:AV41"/>
    <mergeCell ref="F22:J22"/>
    <mergeCell ref="P77:AU77"/>
    <mergeCell ref="B135:AV136"/>
    <mergeCell ref="Y29:AE29"/>
    <mergeCell ref="AF34:AH34"/>
    <mergeCell ref="E16:F16"/>
    <mergeCell ref="B34:F36"/>
    <mergeCell ref="AE52:AT52"/>
    <mergeCell ref="AK36:AL36"/>
    <mergeCell ref="AM36:AN36"/>
    <mergeCell ref="X27:AB27"/>
    <mergeCell ref="B64:AV64"/>
    <mergeCell ref="P75:V75"/>
    <mergeCell ref="B120:AV121"/>
    <mergeCell ref="H47:Z47"/>
    <mergeCell ref="G160:AV160"/>
    <mergeCell ref="X52:AB52"/>
    <mergeCell ref="AS36:AU36"/>
    <mergeCell ref="AK20:AM20"/>
    <mergeCell ref="G18:AD18"/>
    <mergeCell ref="U54:AV54"/>
    <mergeCell ref="AC34:AE34"/>
    <mergeCell ref="B98:AW98"/>
    <mergeCell ref="AT59:AV59"/>
    <mergeCell ref="AM34:AN34"/>
    <mergeCell ref="B25:AV25"/>
    <mergeCell ref="AL91:AS91"/>
    <mergeCell ref="B88:AW88"/>
    <mergeCell ref="S36:U36"/>
    <mergeCell ref="AG27:AK27"/>
    <mergeCell ref="AC16:AI16"/>
    <mergeCell ref="T20:AI20"/>
    <mergeCell ref="V27:W27"/>
    <mergeCell ref="N14:AV14"/>
    <mergeCell ref="AL93:AM93"/>
    <mergeCell ref="AF36:AH36"/>
    <mergeCell ref="P81:V81"/>
    <mergeCell ref="T59:Z59"/>
    <mergeCell ref="B126:AV127"/>
    <mergeCell ref="AG12:AK12"/>
    <mergeCell ref="Z34:AA34"/>
    <mergeCell ref="AL27:AN27"/>
    <mergeCell ref="T34:U34"/>
    <mergeCell ref="AS61:AV61"/>
    <mergeCell ref="L5:AV5"/>
    <mergeCell ref="X36:Y36"/>
    <mergeCell ref="Z36:AA36"/>
    <mergeCell ref="F157:J157"/>
    <mergeCell ref="P29:Q29"/>
    <mergeCell ref="AR18:AV18"/>
    <mergeCell ref="B102:AV103"/>
    <mergeCell ref="P83:AU83"/>
    <mergeCell ref="AG29:AN29"/>
    <mergeCell ref="O22:T22"/>
    <mergeCell ref="AB45:AF45"/>
    <mergeCell ref="AL18:AQ18"/>
    <mergeCell ref="C167:T167"/>
    <mergeCell ref="P85:AU85"/>
    <mergeCell ref="O153:AV153"/>
    <mergeCell ref="G162:AV162"/>
    <mergeCell ref="AB47:AF47"/>
    <mergeCell ref="Y91:AK91"/>
    <mergeCell ref="B137:AV138"/>
    <mergeCell ref="R29:U29"/>
    <mergeCell ref="AI18:AK18"/>
    <mergeCell ref="B87:AW87"/>
    <mergeCell ref="B7:AW8"/>
    <mergeCell ref="B112:AV113"/>
    <mergeCell ref="AH31:AI31"/>
    <mergeCell ref="I41:AH41"/>
    <mergeCell ref="AH45:AJ45"/>
    <mergeCell ref="AS34:AU34"/>
    <mergeCell ref="AC27:AE27"/>
    <mergeCell ref="L2:AS4"/>
    <mergeCell ref="P69:V69"/>
    <mergeCell ref="AE18:AH18"/>
    <mergeCell ref="AC36:AE36"/>
    <mergeCell ref="B129:AV130"/>
    <mergeCell ref="O155:AV155"/>
    <mergeCell ref="B123:AV124"/>
    <mergeCell ref="AH47:AJ47"/>
    <mergeCell ref="B57:AV57"/>
    <mergeCell ref="B63:AW63"/>
    <mergeCell ref="H49:Z49"/>
    <mergeCell ref="B45:G49"/>
    <mergeCell ref="L59:S59"/>
    <mergeCell ref="I39:AN39"/>
    <mergeCell ref="O157:T157"/>
    <mergeCell ref="AB49:AF49"/>
  </mergeCells>
  <conditionalFormatting sqref="AU39:AV39 AU41:AV41">
    <cfRule type="expression" priority="71" dxfId="42">
      <formula>$AO$39=""</formula>
    </cfRule>
  </conditionalFormatting>
  <conditionalFormatting sqref="R54:S54">
    <cfRule type="expression" priority="70" dxfId="26">
      <formula>OR($I$39="",$I$39="Ligação de Nova Unidade Consumidora COM Geração Distribuída")</formula>
    </cfRule>
  </conditionalFormatting>
  <conditionalFormatting sqref="T59:Z59">
    <cfRule type="expression" priority="76" dxfId="40">
      <formula>$L$59&lt;&gt;"Outra (especificar)"</formula>
    </cfRule>
  </conditionalFormatting>
  <conditionalFormatting sqref="B7:AW8">
    <cfRule type="cellIs" priority="66" operator="notEqual" dxfId="39">
      <formula>""</formula>
    </cfRule>
  </conditionalFormatting>
  <conditionalFormatting sqref="AE52:AT52">
    <cfRule type="expression" priority="61" dxfId="36">
      <formula>$AE$52=""</formula>
    </cfRule>
  </conditionalFormatting>
  <conditionalFormatting sqref="A36">
    <cfRule type="expression" priority="58" dxfId="22">
      <formula>Grupo="B"</formula>
    </cfRule>
  </conditionalFormatting>
  <conditionalFormatting sqref="C67:AU67">
    <cfRule type="expression" priority="56" dxfId="36">
      <formula>$C$67=""</formula>
    </cfRule>
  </conditionalFormatting>
  <conditionalFormatting sqref="AH47:AJ47">
    <cfRule type="expression" priority="80" dxfId="8">
      <formula>$H$47=""</formula>
    </cfRule>
  </conditionalFormatting>
  <conditionalFormatting sqref="AB49:AF49 AH49:AX49">
    <cfRule type="expression" priority="81" dxfId="8">
      <formula>$H$49=""</formula>
    </cfRule>
  </conditionalFormatting>
  <conditionalFormatting sqref="AB47:AF47">
    <cfRule type="expression" priority="4" dxfId="10">
      <formula>$H$47=""</formula>
    </cfRule>
  </conditionalFormatting>
  <conditionalFormatting sqref="AO76:AU76">
    <cfRule type="expression" priority="46" dxfId="31">
      <formula>TipoFonte = "Eólica"</formula>
    </cfRule>
    <cfRule type="expression" priority="47" dxfId="31">
      <formula>TipoFonte="Biomassa"</formula>
    </cfRule>
  </conditionalFormatting>
  <conditionalFormatting sqref="X34:AU36">
    <cfRule type="expression" priority="9" dxfId="10">
      <formula>$S$36=""</formula>
    </cfRule>
    <cfRule type="expression" priority="27" dxfId="10">
      <formula>OR($T$34="Nº 1",$T$34="Nº 5",$T$34="Nº 8")</formula>
    </cfRule>
  </conditionalFormatting>
  <conditionalFormatting sqref="X34:AH34">
    <cfRule type="expression" priority="14" dxfId="10">
      <formula>AND(OR($T$34="Nº 2",$T$34="Nº 4"),$S$36=1)</formula>
    </cfRule>
  </conditionalFormatting>
  <conditionalFormatting sqref="AK34:AU34">
    <cfRule type="expression" priority="12" dxfId="10">
      <formula>AND(OR($T$34="Nº 2",$T$34="Nº 4"),$S$36&lt;=2)</formula>
    </cfRule>
  </conditionalFormatting>
  <conditionalFormatting sqref="AK36:AU36">
    <cfRule type="expression" priority="10" dxfId="26">
      <formula>AND(OR($T$34="Nº 2",$T$34="Nº 4"),$S$36&lt;=3)</formula>
    </cfRule>
  </conditionalFormatting>
  <conditionalFormatting sqref="B34:AV36">
    <cfRule type="expression" priority="6" dxfId="25">
      <formula>$E$16="B"</formula>
    </cfRule>
  </conditionalFormatting>
  <conditionalFormatting sqref="A34:A36">
    <cfRule type="expression" priority="26" dxfId="22">
      <formula>$E$16="B"</formula>
    </cfRule>
  </conditionalFormatting>
  <conditionalFormatting sqref="B67:AU86">
    <cfRule type="expression" priority="1" dxfId="10">
      <formula>$L$59=""</formula>
    </cfRule>
  </conditionalFormatting>
  <conditionalFormatting sqref="A67:A79 A82 A84:A86">
    <cfRule type="expression" priority="24" dxfId="22">
      <formula>$L$59=""</formula>
    </cfRule>
  </conditionalFormatting>
  <conditionalFormatting sqref="AH49:AV49">
    <cfRule type="expression" priority="20" dxfId="10">
      <formula>$AB$49="Sem Disj. Geral"</formula>
    </cfRule>
  </conditionalFormatting>
  <conditionalFormatting sqref="AH47:AK47">
    <cfRule type="expression" priority="19" dxfId="10">
      <formula>OR($AB$47="Sem Disj. Geral",$AB$47="Sem Alter. Carga",)</formula>
    </cfRule>
  </conditionalFormatting>
  <conditionalFormatting sqref="U54:AV54">
    <cfRule type="expression" priority="18" dxfId="0">
      <formula>$U$54="&lt;-- Para SE Nº 1 não pode haver mudança de local do Padrão de Entrada. Altere..."</formula>
    </cfRule>
  </conditionalFormatting>
  <conditionalFormatting sqref="AB45:AK45">
    <cfRule type="expression" priority="17" dxfId="10">
      <formula>$H$45=" Relé de Proteção Secundária"</formula>
    </cfRule>
  </conditionalFormatting>
  <conditionalFormatting sqref="P29:Q29">
    <cfRule type="expression" priority="16" dxfId="17">
      <formula>$E$16="A"</formula>
    </cfRule>
  </conditionalFormatting>
  <conditionalFormatting sqref="R29:U29">
    <cfRule type="expression" priority="15" dxfId="16">
      <formula>OR($E$16="B",$E$16="")</formula>
    </cfRule>
  </conditionalFormatting>
  <conditionalFormatting sqref="AJ74:AU74">
    <cfRule type="expression" priority="39" dxfId="10">
      <formula>TipoFonte="Cogeração Qualificada"</formula>
    </cfRule>
    <cfRule type="expression" priority="42" dxfId="10">
      <formula>TipoFonte = "Eólica"</formula>
    </cfRule>
    <cfRule type="expression" priority="43" dxfId="10">
      <formula>TipoFonte = "Biomassa"</formula>
    </cfRule>
    <cfRule type="expression" priority="44" dxfId="8">
      <formula>TipoFonte = "Hidráulica"</formula>
    </cfRule>
  </conditionalFormatting>
  <conditionalFormatting sqref="P81:AU85">
    <cfRule type="expression" priority="2" dxfId="10">
      <formula>$L$59="Hidráulica"</formula>
    </cfRule>
  </conditionalFormatting>
  <conditionalFormatting sqref="P83:AU85">
    <cfRule type="expression" priority="25" dxfId="10">
      <formula>OR($L$59="Biomassa",$L$59="Cogeração Qualificada",$L$59="Eólica")</formula>
    </cfRule>
  </conditionalFormatting>
  <dataValidations count="36">
    <dataValidation sqref="I42" showDropDown="0" showInputMessage="1" showErrorMessage="1" allowBlank="0" type="list">
      <formula1>"Edificação Individual,Edificação Coletiva ou Agrupamento"</formula1>
    </dataValidation>
    <dataValidation sqref="X53" showDropDown="0" showInputMessage="1" showErrorMessage="1" allowBlank="0" type="list">
      <formula1>"Aéreo,Subterrâneo"</formula1>
    </dataValidation>
    <dataValidation sqref="L61" showDropDown="0" showInputMessage="1" showErrorMessage="1" allowBlank="0" type="list">
      <formula1>"Consumo Local,Autoconsumo Remoto,Geração Compartilhada,Empreendimento de Múltiplas Unidades Consumidoras"</formula1>
    </dataValidation>
    <dataValidation sqref="AC16:AI17" showDropDown="0" showInputMessage="1" showErrorMessage="1" allowBlank="0" prompt="Apenas números" type="whole" operator="greaterThan">
      <formula1>0</formula1>
    </dataValidation>
    <dataValidation sqref="I12" showDropDown="0" showInputMessage="1" showErrorMessage="1" allowBlank="0" errorTitle="Valor não permitido" error="O número deve estar entre 7000000000 e 7999999999" promptTitle="Número do Cliente" prompt="Número de identificação do consumidor na distribuidora. É iniciado, sempre, pelo dígito 7" type="whole">
      <formula1>7000000000</formula1>
      <formula2>7999999999</formula2>
    </dataValidation>
    <dataValidation sqref="AG12" showDropDown="0" showInputMessage="1" showErrorMessage="1" allowBlank="0" promptTitle="Número de instalação" prompt="Número de identificação da unidade consumidora na distribuidora. É iniciado, sempre, pelo dígito 3._x000a__x000a_Se ligação nova, não preencher este campo." type="whole">
      <formula1>3000000000</formula1>
      <formula2>3999999999</formula2>
    </dataValidation>
    <dataValidation sqref="AN20:AO20" showDropDown="0" showInputMessage="1" showErrorMessage="1" allowBlank="0" type="list">
      <formula1>"MG"</formula1>
    </dataValidation>
    <dataValidation sqref="K16" showDropDown="0" showInputMessage="1" showErrorMessage="1" allowBlank="0" type="list">
      <formula1>"Residencial,Industrial,Comercial,Rural,Poder Público,Iluminação Pública,Serviço Público"</formula1>
    </dataValidation>
    <dataValidation sqref="E16:F16" showDropDown="0" showInputMessage="1" showErrorMessage="1" allowBlank="0" promptTitle="Grupo de Tensão" prompt="A - Clientes Atendidos em Média e Alta Tensão_x000a_B - Clientes Atendidos em Baixa Tensão e Iluminação Pública" type="list">
      <formula1>"A,B"</formula1>
    </dataValidation>
    <dataValidation sqref="V27:W27 AH28:AI28" showDropDown="0" showInputMessage="1" showErrorMessage="1" allowBlank="0" type="list">
      <formula1>"22,23,24"</formula1>
    </dataValidation>
    <dataValidation sqref="T34:U34" showDropDown="0" showInputMessage="1" showErrorMessage="1" allowBlank="0" type="list">
      <formula1>"Nº 1,Nº 2,Nº 4,Nº 5,Nº 8"</formula1>
    </dataValidation>
    <dataValidation sqref="K91:R91" showDropDown="0" showInputMessage="1" showErrorMessage="1" allowBlank="0" prompt="GGG.FF.UF.999999-9.VV"/>
    <dataValidation sqref="AS61:AV61" showDropDown="0" showInputMessage="1" showErrorMessage="1" allowBlank="0" prompt="Instalação geradora + Instalações recebedoras"/>
    <dataValidation sqref="AS20:AV20" showDropDown="0" showInputMessage="1" showErrorMessage="1" allowBlank="0" prompt="Apenas números" type="whole">
      <formula1>0</formula1>
      <formula2>99999999</formula2>
    </dataValidation>
    <dataValidation sqref="F22:J22 F157:J158" showDropDown="0" showInputMessage="1" showErrorMessage="1" allowBlank="0" errorTitle="Informar telefone" error="Informe o telefone com 10 dígitos" promptTitle="Telefone" prompt="Informe apenas os números de seu telefone com o DDD" type="whole" errorStyle="warning">
      <formula1>1000000000</formula1>
      <formula2>9999999999</formula2>
    </dataValidation>
    <dataValidation sqref="O22:T22 O157:T158" showDropDown="0" showInputMessage="1" showErrorMessage="1" allowBlank="0" promptTitle="Celular" prompt="Informe apenas os números de seu celular com o DDD" type="whole">
      <formula1>10000000000</formula1>
      <formula2>99999999999</formula2>
    </dataValidation>
    <dataValidation sqref="I41:AH41" showDropDown="0" showInputMessage="1" showErrorMessage="1" allowBlank="0" type="list">
      <formula1>Tipos_Edificações</formula1>
    </dataValidation>
    <dataValidation sqref="I39:AN39" showDropDown="0" showInputMessage="1" showErrorMessage="1" allowBlank="0" type="list">
      <formula1>Tipos_Solicitação</formula1>
    </dataValidation>
    <dataValidation sqref="P29:Q29" showDropDown="0" showInputMessage="1" showErrorMessage="1" allowBlank="0" promptTitle="Carga Instalada" prompt="Campo com preenchimento automático."/>
    <dataValidation sqref="L52:O52" showDropDown="0" showInputMessage="1" showErrorMessage="1" allowBlank="0" type="list">
      <formula1>TensãoGrupo</formula1>
    </dataValidation>
    <dataValidation sqref="AT59:AV59" showDropDown="0" showInputMessage="1" showErrorMessage="1" allowBlank="0" promptTitle="Atenção" prompt="Campo com preenchimento automático." type="decimal">
      <formula1>0</formula1>
      <formula2>75</formula2>
    </dataValidation>
    <dataValidation sqref="X52:AB52" showDropDown="0" showInputMessage="1" showErrorMessage="1" allowBlank="0" type="list">
      <formula1>TipoRamal</formula1>
    </dataValidation>
    <dataValidation sqref="AB49:AF49" showDropDown="0" showInputMessage="1" showErrorMessage="1" allowBlank="0" type="list">
      <formula1>Fases_Disjuntor_2</formula1>
    </dataValidation>
    <dataValidation sqref="AH45:AJ45" showDropDown="0" showInputMessage="1" showErrorMessage="1" allowBlank="0" type="list">
      <formula1>IF(Grupo="B",IF(Cod_Solicitação=4,TblDisj_2,TblDisj),TblDisj)</formula1>
    </dataValidation>
    <dataValidation sqref="AH47:AJ47" showDropDown="0" showInputMessage="1" showErrorMessage="1" allowBlank="0" type="list">
      <formula1>TblDisj_2</formula1>
    </dataValidation>
    <dataValidation sqref="AH49:AJ49" showDropDown="0" showInputMessage="1" showErrorMessage="1" allowBlank="0" type="list">
      <formula1>TblDisj_3</formula1>
    </dataValidation>
    <dataValidation sqref="AC27:AE27" showDropDown="0" showInputMessage="1" showErrorMessage="1" allowBlank="0" type="whole">
      <formula1>E_Mínimo</formula1>
      <formula2>E_Máximo</formula2>
    </dataValidation>
    <dataValidation sqref="AL27:AN27" showDropDown="0" showInputMessage="1" showErrorMessage="1" allowBlank="0" type="whole">
      <formula1>N_Mínimo</formula1>
      <formula2>N_Máximo</formula2>
    </dataValidation>
    <dataValidation sqref="S36:U36" showDropDown="0" showInputMessage="1" showErrorMessage="1" allowBlank="0"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type="list">
      <formula1>TrafosPorSE</formula1>
    </dataValidation>
    <dataValidation sqref="L59:S59" showDropDown="0" showInputMessage="1" showErrorMessage="1" allowBlank="0" type="list">
      <formula1>"Solar,Hidráulica,Biomassa,Cogeração Qualificada,Eólica"</formula1>
    </dataValidation>
    <dataValidation sqref="AT49:AV49" showDropDown="0" showInputMessage="1" showErrorMessage="1" allowBlank="0" promptTitle="Qte disjuntor geral" prompt="Informe aqui a quantidade de disjuntor geral."/>
    <dataValidation sqref="R54:S54" showDropDown="0" showInputMessage="1" showErrorMessage="1" allowBlank="0" type="list">
      <formula1>MudançaLocal</formula1>
    </dataValidation>
    <dataValidation sqref="AB47:AF47" showDropDown="0" showInputMessage="1" showErrorMessage="1" allowBlank="0" type="list">
      <formula1>Fases_Disjuntores</formula1>
    </dataValidation>
    <dataValidation sqref="AB45:AF45" showDropDown="0" showInputMessage="1" showErrorMessage="1" allowBlank="0" type="list">
      <formula1>Fases_Disjuntores_3</formula1>
    </dataValidation>
    <dataValidation sqref="V167:AV167" showDropDown="0" showInputMessage="1" showErrorMessage="1" allowBlank="0" promptTitle="Assin. do Consumidor/Responsável" prompt="Neste campo deve conter uma assinatura de próprio punho ou uma assinatura digital com certificação válida."/>
    <dataValidation sqref="R29:U29" showDropDown="0" showInputMessage="1" showErrorMessage="1" allowBlank="0" prompt="Para os consumidores do grupo A, informe a carga demandada ou  a soma das cargas instaladas (consumo próprio)."/>
  </dataValidations>
  <printOptions horizontalCentered="1"/>
  <pageMargins left="0.7086614173228347" right="0.7086614173228347" top="0.7480314960629921" bottom="0.3543307086614174" header="0.3149606299212598" footer="0.3149606299212598"/>
  <pageSetup orientation="portrait" paperSize="9" scale="66" fitToHeight="0"/>
  <headerFooter>
    <oddHeader/>
    <oddFooter>&amp;R&amp;"Calibri"&amp;10 &amp;K000000_x000d_# Classificação: Público</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Planilha1">
    <tabColor rgb="FFFFFF00"/>
    <outlinePr summaryBelow="1" summaryRight="1"/>
    <pageSetUpPr/>
  </sheetPr>
  <dimension ref="B2:AH174"/>
  <sheetViews>
    <sheetView showGridLines="0" showRowColHeaders="0" zoomScaleNormal="100" workbookViewId="0">
      <selection activeCell="A1" sqref="A1"/>
    </sheetView>
  </sheetViews>
  <sheetFormatPr baseColWidth="8" defaultRowHeight="15"/>
  <cols>
    <col width="4.140625" customWidth="1" min="1" max="1"/>
    <col width="3.42578125" customWidth="1" min="2" max="25"/>
    <col width="4" customWidth="1" min="26" max="29"/>
    <col width="4.140625" customWidth="1" min="30" max="34"/>
  </cols>
  <sheetData>
    <row r="2">
      <c r="B2" s="55" t="inlineStr">
        <is>
          <t>Notas Explicativas:</t>
        </is>
      </c>
    </row>
    <row r="3" ht="3" customHeight="1"/>
    <row r="4">
      <c r="B4" s="190" t="inlineStr">
        <is>
          <t>As informações contidas neste Formulário de Solicitação de Acesso devem estar em conformidade com o Diagrama Unifilar Básico e o Memorial Descritivo enviados à Cemig.</t>
        </is>
      </c>
    </row>
    <row r="5" ht="3" customHeight="1"/>
    <row r="6" ht="15" customHeight="1"/>
    <row r="7" ht="3" customHeight="1"/>
    <row r="8" ht="15" customHeight="1">
      <c r="B8" s="190" t="inlineStr">
        <is>
          <t>1 - Número da Instalação: O número da unidade consumidora na qual será instalada a geração distribuída. Caso tratar-se de ligação nova, não preencher.</t>
        </is>
      </c>
    </row>
    <row r="9" ht="15" customHeight="1"/>
    <row r="10" ht="3" customHeight="1"/>
    <row r="11">
      <c r="B11" s="190" t="inlineStr">
        <is>
          <t>2 - Grupo e Subgrupo: Informe o código de subgrupo aplicável conforme o nível de tensão para o grupo A ou finalidade para o grupo B.</t>
        </is>
      </c>
    </row>
    <row r="12" ht="14.25" customHeight="1"/>
    <row r="13" ht="3" customHeight="1"/>
    <row r="14">
      <c r="B14" t="inlineStr">
        <is>
          <t>Grupo A - grupamento composto de unidades consumidoras com fornecimento em tensão igual ou superior a 2,3 kV</t>
        </is>
      </c>
    </row>
    <row r="16">
      <c r="F16" s="194" t="inlineStr">
        <is>
          <t>Subgrupo</t>
        </is>
      </c>
      <c r="G16" s="32" t="n"/>
      <c r="H16" s="32" t="n"/>
      <c r="I16" s="32" t="n"/>
      <c r="J16" s="194" t="inlineStr">
        <is>
          <t>Nível de Tensão</t>
        </is>
      </c>
      <c r="K16" s="32" t="n"/>
      <c r="L16" s="32" t="n"/>
      <c r="M16" s="32" t="n"/>
      <c r="N16" s="32" t="n"/>
      <c r="O16" s="32" t="n"/>
      <c r="P16" s="32" t="n"/>
      <c r="Q16" s="32" t="n"/>
      <c r="R16" s="195" t="inlineStr">
        <is>
          <t>Subgrupo</t>
        </is>
      </c>
      <c r="S16" s="32" t="n"/>
      <c r="T16" s="32" t="n"/>
      <c r="U16" s="32" t="n"/>
      <c r="V16" s="194" t="inlineStr">
        <is>
          <t>Finalidade</t>
        </is>
      </c>
      <c r="W16" s="32" t="n"/>
      <c r="X16" s="32" t="n"/>
      <c r="Y16" s="32" t="n"/>
      <c r="Z16" s="32" t="n"/>
      <c r="AA16" s="32" t="n"/>
    </row>
    <row r="17">
      <c r="F17" s="192" t="inlineStr">
        <is>
          <t>A1</t>
        </is>
      </c>
      <c r="G17" s="32" t="n"/>
      <c r="H17" s="32" t="n"/>
      <c r="I17" s="32" t="n"/>
      <c r="J17" s="143" t="inlineStr">
        <is>
          <t>Igual ou superior a 230 kV</t>
        </is>
      </c>
      <c r="K17" s="32" t="n"/>
      <c r="L17" s="32" t="n"/>
      <c r="M17" s="32" t="n"/>
      <c r="N17" s="32" t="n"/>
      <c r="O17" s="32" t="n"/>
      <c r="P17" s="32" t="n"/>
      <c r="Q17" s="32" t="n"/>
      <c r="R17" s="193" t="inlineStr">
        <is>
          <t>B1</t>
        </is>
      </c>
      <c r="S17" s="32" t="n"/>
      <c r="T17" s="32" t="n"/>
      <c r="U17" s="32" t="n"/>
      <c r="V17" s="143" t="inlineStr">
        <is>
          <t>Residencial</t>
        </is>
      </c>
      <c r="W17" s="32" t="n"/>
      <c r="X17" s="32" t="n"/>
      <c r="Y17" s="32" t="n"/>
      <c r="Z17" s="32" t="n"/>
      <c r="AA17" s="32" t="n"/>
    </row>
    <row r="18">
      <c r="F18" s="192" t="inlineStr">
        <is>
          <t>A2</t>
        </is>
      </c>
      <c r="G18" s="32" t="n"/>
      <c r="H18" s="32" t="n"/>
      <c r="I18" s="32" t="n"/>
      <c r="J18" s="143" t="inlineStr">
        <is>
          <t>88 kV a 138 kV</t>
        </is>
      </c>
      <c r="K18" s="32" t="n"/>
      <c r="L18" s="32" t="n"/>
      <c r="M18" s="32" t="n"/>
      <c r="N18" s="32" t="n"/>
      <c r="O18" s="32" t="n"/>
      <c r="P18" s="32" t="n"/>
      <c r="Q18" s="32" t="n"/>
      <c r="R18" s="193" t="inlineStr">
        <is>
          <t>B2</t>
        </is>
      </c>
      <c r="S18" s="32" t="n"/>
      <c r="T18" s="32" t="n"/>
      <c r="U18" s="32" t="n"/>
      <c r="V18" s="143" t="inlineStr">
        <is>
          <t>Rural</t>
        </is>
      </c>
      <c r="W18" s="32" t="n"/>
      <c r="X18" s="32" t="n"/>
      <c r="Y18" s="32" t="n"/>
      <c r="Z18" s="32" t="n"/>
      <c r="AA18" s="32" t="n"/>
    </row>
    <row r="19">
      <c r="F19" s="192" t="inlineStr">
        <is>
          <t>A3</t>
        </is>
      </c>
      <c r="G19" s="32" t="n"/>
      <c r="H19" s="32" t="n"/>
      <c r="I19" s="32" t="n"/>
      <c r="J19" s="143" t="inlineStr">
        <is>
          <t>69 kV</t>
        </is>
      </c>
      <c r="K19" s="32" t="n"/>
      <c r="L19" s="32" t="n"/>
      <c r="M19" s="32" t="n"/>
      <c r="N19" s="32" t="n"/>
      <c r="O19" s="32" t="n"/>
      <c r="P19" s="32" t="n"/>
      <c r="Q19" s="32" t="n"/>
      <c r="R19" s="193" t="inlineStr">
        <is>
          <t>B3</t>
        </is>
      </c>
      <c r="S19" s="32" t="n"/>
      <c r="T19" s="32" t="n"/>
      <c r="U19" s="32" t="n"/>
      <c r="V19" s="143" t="inlineStr">
        <is>
          <t>Industrial</t>
        </is>
      </c>
      <c r="W19" s="32" t="n"/>
      <c r="X19" s="32" t="n"/>
      <c r="Y19" s="32" t="n"/>
      <c r="Z19" s="32" t="n"/>
      <c r="AA19" s="32" t="n"/>
    </row>
    <row r="20">
      <c r="F20" s="192" t="inlineStr">
        <is>
          <t>A3a</t>
        </is>
      </c>
      <c r="G20" s="32" t="n"/>
      <c r="H20" s="32" t="n"/>
      <c r="I20" s="32" t="n"/>
      <c r="J20" s="143" t="inlineStr">
        <is>
          <t>30 kV a 44 kV</t>
        </is>
      </c>
      <c r="K20" s="32" t="n"/>
      <c r="L20" s="32" t="n"/>
      <c r="M20" s="32" t="n"/>
      <c r="N20" s="32" t="n"/>
      <c r="O20" s="32" t="n"/>
      <c r="P20" s="32" t="n"/>
      <c r="Q20" s="32" t="n"/>
      <c r="R20" s="193" t="inlineStr">
        <is>
          <t>B3</t>
        </is>
      </c>
      <c r="S20" s="32" t="n"/>
      <c r="T20" s="32" t="n"/>
      <c r="U20" s="32" t="n"/>
      <c r="V20" s="143" t="inlineStr">
        <is>
          <t>Demais Classes</t>
        </is>
      </c>
      <c r="W20" s="32" t="n"/>
      <c r="X20" s="32" t="n"/>
      <c r="Y20" s="32" t="n"/>
      <c r="Z20" s="32" t="n"/>
      <c r="AA20" s="32" t="n"/>
    </row>
    <row r="21">
      <c r="F21" s="192" t="inlineStr">
        <is>
          <t>A4</t>
        </is>
      </c>
      <c r="G21" s="32" t="n"/>
      <c r="H21" s="32" t="n"/>
      <c r="I21" s="32" t="n"/>
      <c r="J21" s="143" t="inlineStr">
        <is>
          <t>2,3 kV a 25 kV</t>
        </is>
      </c>
      <c r="K21" s="32" t="n"/>
      <c r="L21" s="32" t="n"/>
      <c r="M21" s="32" t="n"/>
      <c r="N21" s="32" t="n"/>
      <c r="O21" s="32" t="n"/>
      <c r="P21" s="32" t="n"/>
      <c r="Q21" s="32" t="n"/>
      <c r="R21" s="193" t="inlineStr">
        <is>
          <t>B4</t>
        </is>
      </c>
      <c r="S21" s="32" t="n"/>
      <c r="T21" s="32" t="n"/>
      <c r="U21" s="32" t="n"/>
      <c r="V21" s="143" t="inlineStr">
        <is>
          <t>Iluminação Pública</t>
        </is>
      </c>
      <c r="W21" s="32" t="n"/>
      <c r="X21" s="32" t="n"/>
      <c r="Y21" s="32" t="n"/>
      <c r="Z21" s="32" t="n"/>
      <c r="AA21" s="32" t="n"/>
    </row>
    <row r="23">
      <c r="B23" s="190" t="inlineStr">
        <is>
          <t>3 - Classe: Informe a classificação da unidade consumidora em Residencial, Industrial, Comercial, Rural, Poder Público, Iluminação Pública ou Serviço Público.</t>
        </is>
      </c>
    </row>
    <row r="24"/>
    <row r="25" ht="3" customHeight="1"/>
    <row r="26" ht="15" customHeight="1">
      <c r="B26" s="190" t="inlineStr">
        <is>
          <t>4 - Localização em Coordenadas: Informe as coordenadas da localização do ponto de entrega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is>
      </c>
    </row>
    <row r="27"/>
    <row r="28"/>
    <row r="29">
      <c r="B29" t="inlineStr">
        <is>
          <t>Site para conversão de coordenadas geográficas: http://www.dpi.inpe.br/calcula/. Selecione o Datum: SIRGAS2000.</t>
        </is>
      </c>
    </row>
    <row r="30" ht="3" customHeight="1"/>
    <row r="31" ht="15" customHeight="1">
      <c r="B31" s="190" t="inlineStr">
        <is>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is>
      </c>
    </row>
    <row r="32"/>
    <row r="33"/>
    <row r="34" ht="3" customHeight="1">
      <c r="B34" s="191" t="n"/>
      <c r="C34" s="191" t="n"/>
      <c r="D34" s="191" t="n"/>
      <c r="E34" s="191" t="n"/>
      <c r="F34" s="191" t="n"/>
      <c r="G34" s="191" t="n"/>
      <c r="H34" s="191" t="n"/>
      <c r="I34" s="191" t="n"/>
      <c r="J34" s="191" t="n"/>
      <c r="K34" s="191" t="n"/>
      <c r="L34" s="191" t="n"/>
      <c r="M34" s="191" t="n"/>
      <c r="N34" s="191" t="n"/>
      <c r="O34" s="191" t="n"/>
      <c r="P34" s="191" t="n"/>
      <c r="Q34" s="191" t="n"/>
      <c r="R34" s="191" t="n"/>
      <c r="S34" s="191" t="n"/>
      <c r="T34" s="191" t="n"/>
      <c r="U34" s="191" t="n"/>
      <c r="V34" s="191" t="n"/>
      <c r="W34" s="191" t="n"/>
      <c r="X34" s="191" t="n"/>
      <c r="Y34" s="191" t="n"/>
      <c r="Z34" s="191" t="n"/>
      <c r="AA34" s="191" t="n"/>
      <c r="AB34" s="191" t="n"/>
      <c r="AC34" s="191" t="n"/>
      <c r="AD34" s="191" t="n"/>
      <c r="AE34" s="191" t="n"/>
      <c r="AF34" s="191" t="n"/>
      <c r="AG34" s="191" t="n"/>
    </row>
    <row r="35" ht="15" customHeight="1">
      <c r="B35" s="190" t="inlineStr">
        <is>
          <t>6 - Demanda Máxima de Carga - Consumo Próprio (kVA): Valor máximo de demanda de carga consumida na Unidade Consumidora. Para os casos que não houver Demanda de Carga, conforme Ofício Circular nº 0010/2017 da ANEEL, a solução de conexão informada no Parecer de Acesso considera exclusivamente a atividade de geração, sendo o consumo da unidade no ponto de conexão nulo. Assim, deve ser solicitada nova análise de aumento de carga quando necessário.</t>
        </is>
      </c>
    </row>
    <row r="36"/>
    <row r="37"/>
    <row r="38"/>
    <row r="39" ht="3" customHeight="1"/>
    <row r="40">
      <c r="B40" s="190" t="inlineStr">
        <is>
          <t>7 -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is>
      </c>
    </row>
    <row r="41"/>
    <row r="42"/>
    <row r="43" ht="6" customHeight="1"/>
    <row r="44">
      <c r="B44" s="190" t="inlineStr">
        <is>
          <t>8 - Transformador particular (kVA): Informe a potência instalada de transformação da subestação de entrada ou o arranjo de transformadores utilizados.</t>
        </is>
      </c>
    </row>
    <row r="45"/>
    <row r="46" ht="3" customHeight="1"/>
    <row r="47">
      <c r="B47" s="190" t="inlineStr">
        <is>
          <t>9 -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is>
      </c>
    </row>
    <row r="48"/>
    <row r="49"/>
    <row r="50">
      <c r="B50" s="190" t="inlineStr">
        <is>
          <t>As subestações tipo Nº 5 e Nº 8 somente são aplicáveis para potências de transformação até 300 kVA e não podem ser de uso compartilhado.</t>
        </is>
      </c>
    </row>
    <row r="51"/>
    <row r="52">
      <c r="B52" s="190" t="inlineStr">
        <is>
          <t>O uso da subestação tipo Nº 1 foi descontinuado das normas Cemig, portanto NÃO é permitida para ligação de novas Unidades Consumidoras usando esse padrão de construção</t>
        </is>
      </c>
    </row>
    <row r="53"/>
    <row r="54" ht="3.95" customHeight="1"/>
    <row r="55" ht="15" customHeight="1">
      <c r="B55" s="190" t="inlineStr">
        <is>
          <t>10 -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is>
      </c>
    </row>
    <row r="56"/>
    <row r="57"/>
    <row r="58"/>
    <row r="59" ht="6" customHeight="1"/>
    <row r="60">
      <c r="B60" s="190" t="inlineStr">
        <is>
          <t>11 - Disjuntor Solicitado para Alteração de Carga: Informe a capacidade do novo disjuntor, caso haja necessidade de alteração de carga. Vale destacar que deverá ser anexado também o formulário de alteração de carga com informações específicas.</t>
        </is>
      </c>
    </row>
    <row r="61"/>
    <row r="62" ht="6" customHeight="1">
      <c r="B62" t="inlineStr">
        <is>
          <t xml:space="preserve">  </t>
        </is>
      </c>
    </row>
    <row r="63">
      <c r="B63" t="inlineStr">
        <is>
          <t>12 - Tensão de Atendimento (V): Tensão nominal do ponto de conexão com a rede da concessionária.</t>
        </is>
      </c>
    </row>
    <row r="64" ht="6" customHeight="1"/>
    <row r="65">
      <c r="B65" t="inlineStr">
        <is>
          <t>13 - Tipo de Ramal: Assinalar o tipo de ramal de ligação, se aéreo ou subterrâneo, no qual a unidade consumidora será atendida.</t>
        </is>
      </c>
    </row>
    <row r="66" ht="6" customHeight="1"/>
    <row r="67">
      <c r="B67" t="inlineStr">
        <is>
          <t>14 - Localização dos Módulos Solares:</t>
        </is>
      </c>
    </row>
    <row r="68">
      <c r="B68" t="inlineStr">
        <is>
          <t>De acordo com as definições contidas nas ND’s 5.1 e 5.2:</t>
        </is>
      </c>
    </row>
    <row r="69">
      <c r="B69" t="inlineStr">
        <is>
          <t>Edificação Individual: É toda e qualquer construção, reconhecida pelos poderes públicos, contendo uma única unidade consumidora.</t>
        </is>
      </c>
    </row>
    <row r="70" ht="6" customHeight="1"/>
    <row r="71">
      <c r="B71" s="190" t="inlineStr">
        <is>
          <t>Edificações de Uso Coletivo: É toda e qualquer construção, reconhecida pelos poderes públicos, constituída por duas ou mais unidades consumidoras, cujas áreas comuns, com consumo de energia, sejam juridicamente de responsabilidade do condomínio.</t>
        </is>
      </c>
    </row>
    <row r="72"/>
    <row r="73" ht="6" customHeight="1">
      <c r="B73" s="190" t="n"/>
    </row>
    <row r="74" ht="15" customHeight="1">
      <c r="B74" s="190" t="inlineStr">
        <is>
          <t>Edificações Agrupadas ou Agrupamentos: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is>
      </c>
    </row>
    <row r="75"/>
    <row r="76"/>
    <row r="77" ht="6" customHeight="1"/>
    <row r="78" ht="15" customHeight="1">
      <c r="B78" s="190" t="inlineStr">
        <is>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is>
      </c>
    </row>
    <row r="79"/>
    <row r="80"/>
    <row r="81"/>
    <row r="82"/>
    <row r="83"/>
    <row r="84"/>
    <row r="85">
      <c r="B85" s="190" t="n"/>
      <c r="C85" s="190" t="n"/>
      <c r="D85" s="190" t="n"/>
      <c r="E85" s="190" t="n"/>
      <c r="F85" s="190" t="n"/>
      <c r="G85" s="190" t="n"/>
      <c r="H85" s="190" t="n"/>
      <c r="I85" s="190" t="n"/>
      <c r="J85" s="190" t="n"/>
      <c r="K85" s="190" t="n"/>
      <c r="L85" s="190" t="n"/>
      <c r="M85" s="190" t="n"/>
      <c r="N85" s="190" t="n"/>
      <c r="O85" s="190" t="n"/>
      <c r="P85" s="190" t="n"/>
      <c r="Q85" s="190" t="n"/>
      <c r="R85" s="190" t="n"/>
      <c r="S85" s="190" t="n"/>
      <c r="T85" s="190" t="n"/>
      <c r="U85" s="190" t="n"/>
      <c r="V85" s="190" t="n"/>
      <c r="W85" s="190" t="n"/>
      <c r="X85" s="190" t="n"/>
      <c r="Y85" s="190" t="n"/>
      <c r="Z85" s="190" t="n"/>
      <c r="AA85" s="190" t="n"/>
      <c r="AB85" s="190" t="n"/>
      <c r="AC85" s="190" t="n"/>
      <c r="AD85" s="190" t="n"/>
      <c r="AE85" s="190" t="n"/>
      <c r="AF85" s="190" t="n"/>
      <c r="AG85" s="190" t="n"/>
    </row>
    <row r="86" ht="6" customHeight="1"/>
    <row r="87">
      <c r="B87" s="190" t="inlineStr">
        <is>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is>
      </c>
    </row>
    <row r="88"/>
    <row r="89"/>
    <row r="90"/>
    <row r="91" ht="3" customHeight="1"/>
    <row r="92">
      <c r="B92" t="inlineStr">
        <is>
          <t>Diante do exposto acima, será necessário apresentar documentação específica nos seguintes casos:</t>
        </is>
      </c>
    </row>
    <row r="93" ht="3" customHeight="1"/>
    <row r="94">
      <c r="C94" s="190" t="inlineStr">
        <is>
          <t>• Edificações de uso coletivo (telhado coletivo ou em área comum do condomínio): Comprovação de posse do proprietário do imóvel e autorização do condomínio.</t>
        </is>
      </c>
    </row>
    <row r="95"/>
    <row r="96" ht="3" customHeight="1"/>
    <row r="97">
      <c r="C97" t="inlineStr">
        <is>
          <t>• Edificações de uso coletivo (telhado independente e privativo): Comprovação de posse do proprietário do imóvel.</t>
        </is>
      </c>
    </row>
    <row r="98" ht="3" customHeight="1"/>
    <row r="99">
      <c r="C99" t="inlineStr">
        <is>
          <t>• Agrupamentos: Comprovação de posse do proprietário do imóvel.</t>
        </is>
      </c>
    </row>
    <row r="100" ht="3" customHeight="1"/>
    <row r="101" ht="15" customHeight="1">
      <c r="C101" s="190" t="inlineStr">
        <is>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is>
      </c>
    </row>
    <row r="102"/>
    <row r="103"/>
    <row r="104"/>
    <row r="105"/>
    <row r="106" ht="3" customHeight="1"/>
    <row r="107">
      <c r="B107" t="inlineStr">
        <is>
          <t>15 - Tipo de Solicitação:</t>
        </is>
      </c>
    </row>
    <row r="108" ht="3" customHeight="1"/>
    <row r="109">
      <c r="C109" s="190" t="inlineStr">
        <is>
          <t>Ligação de Nova Unidade Consumidora COM Geração Distribuída: as ligações de novas unidades consumidoras são as que podem ser caracterizadas por pontos de conexão ainda não atendidos pela concessionária. Para novas unidades consumidoras do grupo B deverá também ser anexado, no APR Web, o Formulário de Ligação Nova.</t>
        </is>
      </c>
    </row>
    <row r="110"/>
    <row r="111"/>
    <row r="112" ht="3" customHeight="1"/>
    <row r="113">
      <c r="C113" s="190" t="inlineStr">
        <is>
          <t>Conexão de GD em Unidade Consumidora Existente SEM Alteração de Potência Disponibilizada: trata-se de conexão de GD em unidade consumidora do grupo B (que não precisará alterar o disjuntor existente) ou do grupo A (que não precisará alterar o contrato de demanda - CUSD).</t>
        </is>
      </c>
    </row>
    <row r="114"/>
    <row r="115"/>
    <row r="116" ht="3" customHeight="1"/>
    <row r="117" ht="15" customHeight="1">
      <c r="C117" s="190" t="inlineStr">
        <is>
          <t>Conexão de GD em Unidade Consumidora Existente COM Alteração de Potência Disponibilizada: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is>
      </c>
    </row>
    <row r="118"/>
    <row r="119"/>
    <row r="120"/>
    <row r="121"/>
    <row r="122" ht="3" customHeight="1"/>
    <row r="123">
      <c r="C123" s="190" t="inlineStr">
        <is>
          <t>GD Existente COM Alteração de Potência Ativa Instalada Total: trata-se de unidade consumidora existe na qual já possui geração distribuída e o acessante deseja alterar a potência de injeção da central geradora.</t>
        </is>
      </c>
    </row>
    <row r="124"/>
    <row r="125" ht="3" customHeight="1"/>
    <row r="126" ht="15" customHeight="1">
      <c r="C126" s="190" t="inlineStr">
        <is>
          <t>ATENÇÃO: Por potência disponibilizada (Seção 1.1, Módulo 1, da Resolução Normativa nº 956/2021), considera-se a potência que o sistema elétrico da distribuidora deve dispor para atender aos equipamentos elétricos e instalações do usuário, calculada da seguinte forma:</t>
        </is>
      </c>
    </row>
    <row r="127"/>
    <row r="128"/>
    <row r="129" ht="3" customHeight="1"/>
    <row r="130" ht="15" customHeight="1">
      <c r="C130" s="190" t="inlineStr">
        <is>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is>
      </c>
    </row>
    <row r="131"/>
    <row r="132"/>
    <row r="133"/>
    <row r="134" ht="3" customHeight="1"/>
    <row r="135">
      <c r="B135" t="inlineStr">
        <is>
          <t>16 - Caracterização: Modalidade de alocação de créditos utilizada no sistema de compensação de energia elétrica.</t>
        </is>
      </c>
    </row>
    <row r="136" ht="3" customHeight="1"/>
    <row r="137">
      <c r="B137" s="190" t="inlineStr">
        <is>
          <t>17 - Potência Ativa Instalada Total de Geração (kW): Corresponde à máxima potência ativa gerada pela central geradora, em kW. Para centrais geradoras fotovoltaicas, trata-se do menor valor entre a Potência Total dos Inversores (kW) e a Potência Total dos Módulos (kWp).</t>
        </is>
      </c>
    </row>
    <row r="138"/>
    <row r="139"/>
    <row r="140" ht="3" customHeight="1"/>
    <row r="141">
      <c r="B141" s="191" t="inlineStr">
        <is>
          <t>Esse é o valor de referência considerado na Resolução Normativa nº 482/2012 da ANEEL e que é utilizado para enquadramento no limite de unidade consumidora caracterizada como microgeração (até 75kW).</t>
        </is>
      </c>
    </row>
    <row r="142"/>
    <row r="143" ht="3" customHeight="1"/>
    <row r="144">
      <c r="B144" t="inlineStr">
        <is>
          <t>ATENÇÃO: O usuário deve atentar-se ao disposto no Art. 353 da Resolução Normativa ANEEL nº 1000/2021:</t>
        </is>
      </c>
    </row>
    <row r="145" ht="3" customHeight="1"/>
    <row r="146">
      <c r="B146" s="190" t="inlineStr">
        <is>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is>
      </c>
    </row>
    <row r="147"/>
    <row r="148"/>
    <row r="149" ht="3" customHeight="1"/>
    <row r="150">
      <c r="B150" t="inlineStr">
        <is>
          <t>§ 1º Enquadram-se no caput:</t>
        </is>
      </c>
    </row>
    <row r="151" ht="3" customHeight="1"/>
    <row r="152">
      <c r="B152" t="inlineStr">
        <is>
          <t>(...)</t>
        </is>
      </c>
    </row>
    <row r="153" ht="3" customHeight="1"/>
    <row r="154">
      <c r="B154" t="inlineStr">
        <is>
          <t>II - o aumento da geração instalada sem consulta à distribuidora, em qualquer hipótese</t>
        </is>
      </c>
    </row>
    <row r="155" ht="3" customHeight="1"/>
    <row r="156">
      <c r="B156" s="190" t="inlineStr">
        <is>
          <t>18 - Tipo de fonte renovável de energia elétrica ou cogeração qualificada (conforme Resolução Normativa nº 235/2006) utilizada pela central geradora.</t>
        </is>
      </c>
    </row>
    <row r="157"/>
    <row r="158" ht="3" customHeight="1"/>
    <row r="159">
      <c r="B159" t="inlineStr">
        <is>
          <t>19 - Dados para Sistema de Registro de Geração Distribuída – SISGD de Outorga ou Registro.</t>
        </is>
      </c>
    </row>
    <row r="160" ht="3" customHeight="1"/>
    <row r="161">
      <c r="B161" t="inlineStr">
        <is>
          <t>20 - Dados para Sistema de Registro de Geração Distribuída – SISGD - Central Geradora Fotovoltaica.</t>
        </is>
      </c>
    </row>
    <row r="162" ht="3" customHeight="1"/>
    <row r="163">
      <c r="C163" s="191" t="inlineStr">
        <is>
          <t>Potência Total Módulos (kWp): Informe a potência elétrica total, em kWp, obtida a partir do efeito fotovoltaico, somando todos os módulos agrupados em arranjos.</t>
        </is>
      </c>
    </row>
    <row r="164"/>
    <row r="165" ht="3" customHeight="1"/>
    <row r="166" ht="15" customHeight="1">
      <c r="C166" s="190" t="inlineStr">
        <is>
          <t>Potência Total Inversores (kW): Informe a potência nominal elétrica total, em kW, somando todas as saídas dos inversores, respeitadas limitações de potência decorrentes dos módulos, do controle de potência do inversor ou de outras restrições técnicas.</t>
        </is>
      </c>
    </row>
    <row r="167"/>
    <row r="168"/>
    <row r="169" ht="3" customHeight="1"/>
    <row r="170">
      <c r="B170" t="inlineStr">
        <is>
          <t>21 - Dados para Sistema de Registro de Geração Distribuída – SISGD Central Geradora Hidrelétrica - CGH.</t>
        </is>
      </c>
    </row>
    <row r="171" ht="3" customHeight="1"/>
    <row r="172">
      <c r="B172" t="inlineStr">
        <is>
          <t>22 - Dados para Sistema de Registro de Geração Distribuída – SISGD de Central Geradora Térmica - UTE.</t>
        </is>
      </c>
    </row>
    <row r="173" ht="3" customHeight="1"/>
    <row r="174">
      <c r="B174" t="inlineStr">
        <is>
          <t>23 - Dados para Sistema de Registro de Geração Distribuída – SISGD de Central Geradora Eólica - EOL.</t>
        </is>
      </c>
    </row>
  </sheetData>
  <sheetProtection selectLockedCells="0" selectUnlockedCells="0" algorithmName="SHA-512" sheet="1" objects="1" insertRows="1" insertHyperlinks="1" autoFilter="1" scenarios="1" formatColumns="1" deleteColumns="1" insertColumns="1" pivotTables="1" deleteRows="1" formatCells="1" saltValue="HygDNMBJBHwdeNRno4vqgg==" formatRows="1" sort="1" spinCount="100000" hashValue="AMtz/m1+npLOEhnXXrHD4Qp/i/uB6rpfSJDlqGqZFHYWbP3pjZRrbYzMb9Fm8Kz8XLKOva2klPvM/KPhm6lVBQ=="/>
  <mergeCells count="57">
    <mergeCell ref="R17:U17"/>
    <mergeCell ref="V19:AA19"/>
    <mergeCell ref="B8:AG9"/>
    <mergeCell ref="B74:AG76"/>
    <mergeCell ref="C117:AG121"/>
    <mergeCell ref="B23:AG24"/>
    <mergeCell ref="J17:Q17"/>
    <mergeCell ref="J19:Q19"/>
    <mergeCell ref="B4:AG6"/>
    <mergeCell ref="B26:AG28"/>
    <mergeCell ref="B60:AG61"/>
    <mergeCell ref="R18:U18"/>
    <mergeCell ref="B47:AG49"/>
    <mergeCell ref="B44:AG45"/>
    <mergeCell ref="B31:AG33"/>
    <mergeCell ref="C101:AH105"/>
    <mergeCell ref="F16:I16"/>
    <mergeCell ref="B87:AG90"/>
    <mergeCell ref="F19:I19"/>
    <mergeCell ref="V16:AA16"/>
    <mergeCell ref="C123:AG124"/>
    <mergeCell ref="R19:U19"/>
    <mergeCell ref="J20:Q20"/>
    <mergeCell ref="R16:U16"/>
    <mergeCell ref="V18:AA18"/>
    <mergeCell ref="B73:AG73"/>
    <mergeCell ref="J16:Q16"/>
    <mergeCell ref="F21:I21"/>
    <mergeCell ref="B55:AG58"/>
    <mergeCell ref="B141:AG142"/>
    <mergeCell ref="C126:AG128"/>
    <mergeCell ref="C163:AG164"/>
    <mergeCell ref="F20:I20"/>
    <mergeCell ref="V21:AA21"/>
    <mergeCell ref="V17:AA17"/>
    <mergeCell ref="F18:I18"/>
    <mergeCell ref="C166:AG168"/>
    <mergeCell ref="B50:AG51"/>
    <mergeCell ref="C130:AG133"/>
    <mergeCell ref="V20:AA20"/>
    <mergeCell ref="F17:I17"/>
    <mergeCell ref="B35:AG38"/>
    <mergeCell ref="B137:AG139"/>
    <mergeCell ref="C113:AG115"/>
    <mergeCell ref="J21:Q21"/>
    <mergeCell ref="B146:AG148"/>
    <mergeCell ref="R21:U21"/>
    <mergeCell ref="B40:AG42"/>
    <mergeCell ref="B71:AG72"/>
    <mergeCell ref="B156:AG157"/>
    <mergeCell ref="R20:U20"/>
    <mergeCell ref="B52:AG53"/>
    <mergeCell ref="J18:Q18"/>
    <mergeCell ref="B78:AG84"/>
    <mergeCell ref="C109:AG111"/>
    <mergeCell ref="B11:AG12"/>
    <mergeCell ref="C94:AH95"/>
  </mergeCells>
  <pageMargins left="0.7086614173228346" right="0.7086614173228346" top="0.7480314960629921" bottom="0.3543307086614173" header="0.3149606299212598" footer="0.3149606299212598"/>
  <pageSetup orientation="landscape" paperSize="9"/>
  <headerFooter>
    <oddHeader>&amp;C </oddHeader>
    <oddFooter>&amp;R&amp;"Calibri"&amp;10 &amp;K000000_x000d_# Classificação: Público</oddFooter>
    <evenHeader/>
    <evenFooter/>
    <firstHeader/>
    <firstFooter/>
  </headerFooter>
</worksheet>
</file>

<file path=xl/worksheets/sheet3.xml><?xml version="1.0" encoding="utf-8"?>
<worksheet xmlns="http://schemas.openxmlformats.org/spreadsheetml/2006/main">
  <sheetPr codeName="Planilha2">
    <outlinePr summaryBelow="1" summaryRight="1"/>
    <pageSetUpPr/>
  </sheetPr>
  <dimension ref="B2:V45"/>
  <sheetViews>
    <sheetView workbookViewId="0">
      <selection activeCell="E18" sqref="E17:E18"/>
    </sheetView>
  </sheetViews>
  <sheetFormatPr baseColWidth="8" defaultRowHeight="15"/>
  <cols>
    <col width="87.42578125" bestFit="1" customWidth="1" min="2" max="2"/>
    <col width="12.42578125" bestFit="1" customWidth="1" min="3" max="3"/>
    <col width="15.28515625" customWidth="1" min="6" max="6"/>
    <col width="14.140625" bestFit="1" customWidth="1" min="8" max="8"/>
    <col width="15.28515625" bestFit="1" customWidth="1" min="9" max="9"/>
    <col width="15.5703125" bestFit="1" customWidth="1" min="10" max="10"/>
    <col width="17" bestFit="1" customWidth="1" min="11" max="11"/>
    <col width="17.42578125" bestFit="1" customWidth="1" min="12" max="12"/>
    <col width="9.140625" customWidth="1" style="72" min="15" max="15"/>
    <col width="22.5703125" bestFit="1" customWidth="1" style="72" min="16" max="16"/>
    <col width="7" customWidth="1" style="72" min="17" max="17"/>
    <col width="12.85546875" customWidth="1" style="72" min="18" max="18"/>
    <col width="24.140625" bestFit="1" customWidth="1" min="20" max="20"/>
  </cols>
  <sheetData>
    <row r="2">
      <c r="V2" t="inlineStr">
        <is>
          <t>Sinaliza tipo de SE</t>
        </is>
      </c>
    </row>
    <row r="3">
      <c r="B3" s="27" t="inlineStr">
        <is>
          <t>Tipos Solicitações</t>
        </is>
      </c>
      <c r="D3" t="inlineStr">
        <is>
          <t>Cod_Solicitação</t>
        </is>
      </c>
      <c r="H3" t="inlineStr">
        <is>
          <t>Fuso</t>
        </is>
      </c>
      <c r="I3" t="inlineStr">
        <is>
          <t>E (Abscissa) Min</t>
        </is>
      </c>
      <c r="J3" t="inlineStr">
        <is>
          <t>E (Abscissa) Max</t>
        </is>
      </c>
      <c r="K3" t="inlineStr">
        <is>
          <t>N (Ordenada) Min</t>
        </is>
      </c>
      <c r="L3" t="inlineStr">
        <is>
          <t>N (Ordenada) Max</t>
        </is>
      </c>
      <c r="O3" s="72" t="inlineStr">
        <is>
          <t>SE</t>
        </is>
      </c>
      <c r="P3" s="72" t="inlineStr">
        <is>
          <t>Potência Transformador</t>
        </is>
      </c>
      <c r="R3" s="72" t="inlineStr">
        <is>
          <t>Qte Potências</t>
        </is>
      </c>
      <c r="T3" t="inlineStr">
        <is>
          <t>Outros Trafos Particulares</t>
        </is>
      </c>
      <c r="V3">
        <f>IF(TipoSE="Nº 1",1,0)</f>
        <v/>
      </c>
    </row>
    <row r="4">
      <c r="B4" t="inlineStr">
        <is>
          <t>Conexão de GD em Unidade Consumidora Existente COM Alteração de Potência Disponibilizada</t>
        </is>
      </c>
      <c r="C4">
        <f>B4=Formulário!$I$39</f>
        <v/>
      </c>
      <c r="D4">
        <f>IF(Formulário!$I$39=Dados!B4,1,0)</f>
        <v/>
      </c>
      <c r="H4" t="n">
        <v>22</v>
      </c>
      <c r="I4" t="n">
        <v>487307</v>
      </c>
      <c r="J4" t="n">
        <v>833012</v>
      </c>
      <c r="K4" t="n">
        <v>7733378</v>
      </c>
      <c r="L4" t="n">
        <v>7981566</v>
      </c>
      <c r="O4" s="72" t="inlineStr">
        <is>
          <t>Nº 1</t>
        </is>
      </c>
      <c r="P4" s="72" t="n">
        <v>75</v>
      </c>
      <c r="R4" s="72" t="n">
        <v>1</v>
      </c>
      <c r="T4" s="72" t="n">
        <v>100</v>
      </c>
    </row>
    <row r="5">
      <c r="B5" t="inlineStr">
        <is>
          <t>Conexão de GD em Unidade Consumidora Existente SEM Alteração de Potência Disponibilizada</t>
        </is>
      </c>
      <c r="C5">
        <f>B5=Formulário!$I$39</f>
        <v/>
      </c>
      <c r="D5">
        <f>IF(Formulário!$I$39=Dados!B5,2,0)</f>
        <v/>
      </c>
      <c r="H5" t="n">
        <v>23</v>
      </c>
      <c r="I5" t="n">
        <v>161564</v>
      </c>
      <c r="J5" t="n">
        <v>840139</v>
      </c>
      <c r="K5" t="n">
        <v>7460145</v>
      </c>
      <c r="L5" t="n">
        <v>8435094</v>
      </c>
      <c r="O5" s="72" t="inlineStr">
        <is>
          <t>Nº 1</t>
        </is>
      </c>
      <c r="P5" s="72" t="n">
        <v>112.5</v>
      </c>
      <c r="R5" s="72" t="n">
        <v>2</v>
      </c>
      <c r="T5" s="72" t="n">
        <v>200</v>
      </c>
      <c r="V5" t="inlineStr">
        <is>
          <t>Sim</t>
        </is>
      </c>
    </row>
    <row r="6">
      <c r="B6" t="inlineStr">
        <is>
          <t>GD Existente COM Alteração de Potência Ativa Instalada Total</t>
        </is>
      </c>
      <c r="C6">
        <f>B6=Formulário!$I$39</f>
        <v/>
      </c>
      <c r="D6">
        <f>IF(Formulário!$I$39=Dados!B6,3,0)</f>
        <v/>
      </c>
      <c r="H6" t="n">
        <v>24</v>
      </c>
      <c r="I6" t="n">
        <v>164869</v>
      </c>
      <c r="J6" t="n">
        <v>417150</v>
      </c>
      <c r="K6" t="n">
        <v>7673180</v>
      </c>
      <c r="L6" t="n">
        <v>8336360</v>
      </c>
      <c r="O6" s="72" t="inlineStr">
        <is>
          <t>Nº 1</t>
        </is>
      </c>
      <c r="P6" s="72" t="n">
        <v>150</v>
      </c>
      <c r="R6" s="72" t="n">
        <v>3</v>
      </c>
      <c r="T6" s="72" t="n">
        <v>300</v>
      </c>
      <c r="V6" t="inlineStr">
        <is>
          <t>Não</t>
        </is>
      </c>
    </row>
    <row r="7">
      <c r="B7" t="inlineStr">
        <is>
          <t>Ligação de Nova Unidade Consumidora COM Geração Distribuída</t>
        </is>
      </c>
      <c r="C7">
        <f>B7=Formulário!$I$39</f>
        <v/>
      </c>
      <c r="D7">
        <f>IF(Formulário!$I$39=Dados!B7,4,0)</f>
        <v/>
      </c>
      <c r="O7" s="72" t="inlineStr">
        <is>
          <t>Nº 1</t>
        </is>
      </c>
      <c r="P7" s="72" t="n">
        <v>225</v>
      </c>
      <c r="R7" s="72" t="n">
        <v>4</v>
      </c>
      <c r="T7" s="72" t="n">
        <v>500</v>
      </c>
    </row>
    <row r="8">
      <c r="O8" s="72" t="inlineStr">
        <is>
          <t>Nº 1</t>
        </is>
      </c>
      <c r="P8" s="72" t="n">
        <v>300</v>
      </c>
      <c r="T8" s="72" t="n">
        <v>700</v>
      </c>
    </row>
    <row r="9">
      <c r="H9" t="inlineStr">
        <is>
          <t>Fuso_Escolhido</t>
        </is>
      </c>
      <c r="I9" t="inlineStr">
        <is>
          <t>E_Mínimo</t>
        </is>
      </c>
      <c r="J9" t="inlineStr">
        <is>
          <t>E_Máximo</t>
        </is>
      </c>
      <c r="K9" t="inlineStr">
        <is>
          <t>N_Mínimo</t>
        </is>
      </c>
      <c r="L9" t="inlineStr">
        <is>
          <t>N_Máximo</t>
        </is>
      </c>
      <c r="O9" s="72" t="inlineStr">
        <is>
          <t>Nº 5</t>
        </is>
      </c>
      <c r="P9" s="72" t="n">
        <v>75</v>
      </c>
    </row>
    <row r="10">
      <c r="H10">
        <f>Formulário!V27</f>
        <v/>
      </c>
      <c r="I10">
        <f>VLOOKUP($H$10,$H$4:$L$6,COLUMN()-7,FALSE)</f>
        <v/>
      </c>
      <c r="J10">
        <f>VLOOKUP($H$10,$H$4:$L$6,COLUMN()-7,FALSE)</f>
        <v/>
      </c>
      <c r="K10">
        <f>VLOOKUP($H$10,$H$4:$L$6,COLUMN()-7,FALSE)</f>
        <v/>
      </c>
      <c r="L10">
        <f>VLOOKUP($H$10,$H$4:$L$6,COLUMN()-7,FALSE)</f>
        <v/>
      </c>
      <c r="O10" s="72" t="inlineStr">
        <is>
          <t>Nº 5</t>
        </is>
      </c>
      <c r="P10" s="72" t="n">
        <v>112.5</v>
      </c>
    </row>
    <row r="11">
      <c r="O11" s="72" t="inlineStr">
        <is>
          <t>Nº 5</t>
        </is>
      </c>
      <c r="P11" s="72" t="n">
        <v>150</v>
      </c>
    </row>
    <row r="12">
      <c r="B12" t="inlineStr">
        <is>
          <t>Tipos Edificações</t>
        </is>
      </c>
      <c r="D12" t="inlineStr">
        <is>
          <t>Cod_Edificação</t>
        </is>
      </c>
      <c r="O12" s="72" t="inlineStr">
        <is>
          <t>Nº 5</t>
        </is>
      </c>
      <c r="P12" s="72" t="n">
        <v>225</v>
      </c>
    </row>
    <row r="13">
      <c r="B13" s="27" t="inlineStr">
        <is>
          <t xml:space="preserve">Edificação Individual </t>
        </is>
      </c>
      <c r="D13">
        <f>IF(Formulário!$I$41=Dados!B13,1,0)</f>
        <v/>
      </c>
      <c r="O13" s="72" t="inlineStr">
        <is>
          <t>Nº 5</t>
        </is>
      </c>
      <c r="P13" s="72" t="n">
        <v>300</v>
      </c>
    </row>
    <row r="14">
      <c r="B14" s="27" t="inlineStr">
        <is>
          <t xml:space="preserve">Edificação de Uso Coletivo (telhado coletivo ou em área comum do condomínio)      </t>
        </is>
      </c>
      <c r="D14">
        <f>IF(Formulário!$I$41=Dados!B14,2,0)</f>
        <v/>
      </c>
      <c r="O14" s="72" t="inlineStr">
        <is>
          <t>Nº 8</t>
        </is>
      </c>
      <c r="P14" s="72" t="n">
        <v>75</v>
      </c>
    </row>
    <row r="15">
      <c r="B15" s="27" t="inlineStr">
        <is>
          <t xml:space="preserve">Edificação de Uso Coletivo (telhado independente e privativo)   </t>
        </is>
      </c>
      <c r="D15">
        <f>IF(Formulário!$I$41=Dados!B15,3,0)</f>
        <v/>
      </c>
      <c r="O15" s="72" t="inlineStr">
        <is>
          <t>Nº 8</t>
        </is>
      </c>
      <c r="P15" s="72" t="n">
        <v>112.5</v>
      </c>
    </row>
    <row r="16">
      <c r="B16" s="27" t="inlineStr">
        <is>
          <t>Agrupamento</t>
        </is>
      </c>
      <c r="D16">
        <f>IF(Formulário!$I$41=Dados!B16,4,0)</f>
        <v/>
      </c>
      <c r="O16" s="72" t="inlineStr">
        <is>
          <t>Nº 8</t>
        </is>
      </c>
      <c r="P16" s="72" t="n">
        <v>150</v>
      </c>
    </row>
    <row r="17">
      <c r="O17" s="72" t="inlineStr">
        <is>
          <t>Nº 8</t>
        </is>
      </c>
      <c r="P17" s="72" t="n">
        <v>225</v>
      </c>
    </row>
    <row r="18">
      <c r="C18" s="72">
        <f>Grupo</f>
        <v/>
      </c>
      <c r="I18">
        <f t="array" ref="I18">IF(OR(TipoSE="Nº 1",TipoSE="Nº 5",TipoSE="Nº 8"),Dados!$P$4:$P$8,"---")</f>
        <v/>
      </c>
      <c r="O18" s="72" t="inlineStr">
        <is>
          <t>Nº 8</t>
        </is>
      </c>
      <c r="P18" s="72" t="n">
        <v>300</v>
      </c>
    </row>
    <row r="19">
      <c r="B19" s="72" t="inlineStr">
        <is>
          <t>Tensão Grupo A</t>
        </is>
      </c>
      <c r="C19" s="72" t="inlineStr">
        <is>
          <t>Tensão Grupo</t>
        </is>
      </c>
    </row>
    <row r="20">
      <c r="B20" s="72" t="n">
        <v>13800</v>
      </c>
      <c r="C20" s="72">
        <f>IF(Grupo="A",B20,IF(Grupo="B",B26,""))</f>
        <v/>
      </c>
    </row>
    <row r="21">
      <c r="B21" s="72" t="n">
        <v>22000</v>
      </c>
      <c r="C21" s="72">
        <f>IF(Grupo="A",B21,IF(Grupo="B",B27,""))</f>
        <v/>
      </c>
    </row>
    <row r="22">
      <c r="B22" s="72" t="n">
        <v>34500</v>
      </c>
      <c r="C22" s="72">
        <f>IF(Grupo="A",B22,IF(Grupo="B","",""))</f>
        <v/>
      </c>
    </row>
    <row r="23">
      <c r="C23" s="72" t="n"/>
    </row>
    <row r="24">
      <c r="C24" s="72" t="n"/>
    </row>
    <row r="25">
      <c r="B25" s="72" t="inlineStr">
        <is>
          <t>Tensão Grupo B</t>
        </is>
      </c>
      <c r="C25" s="72" t="n"/>
    </row>
    <row r="26">
      <c r="B26" s="72" t="inlineStr">
        <is>
          <t>127/220</t>
        </is>
      </c>
      <c r="C26" s="72" t="n"/>
    </row>
    <row r="27">
      <c r="B27" s="72" t="inlineStr">
        <is>
          <t>120/240</t>
        </is>
      </c>
    </row>
    <row r="28">
      <c r="B28" s="72" t="n"/>
      <c r="C28">
        <f>IF(OR(Formulário!$AH$45&gt;=300,Formulário!$AH$47&gt;=300),"1Tipo","2Tipos")</f>
        <v/>
      </c>
    </row>
    <row r="29">
      <c r="B29" s="72" t="inlineStr">
        <is>
          <t>Tipo de Ramal</t>
        </is>
      </c>
      <c r="C29" t="inlineStr">
        <is>
          <t>TipoRamal</t>
        </is>
      </c>
    </row>
    <row r="30">
      <c r="B30" s="72" t="inlineStr">
        <is>
          <t>Aéreo</t>
        </is>
      </c>
      <c r="C30">
        <f>IF($C$28="2Tipos",B30,B31)</f>
        <v/>
      </c>
    </row>
    <row r="31">
      <c r="B31" s="72" t="inlineStr">
        <is>
          <t>Subterrâneo</t>
        </is>
      </c>
      <c r="C31">
        <f>IF($C$28="2Tipos",B31,B32)</f>
        <v/>
      </c>
    </row>
    <row r="34">
      <c r="B34" s="72" t="inlineStr">
        <is>
          <t>TiposDisjuntores_Fases</t>
        </is>
      </c>
    </row>
    <row r="35">
      <c r="B35" s="72" t="inlineStr">
        <is>
          <t>Monopolar</t>
        </is>
      </c>
    </row>
    <row r="36">
      <c r="B36" s="72" t="inlineStr">
        <is>
          <t>Bipolar</t>
        </is>
      </c>
    </row>
    <row r="37">
      <c r="B37" s="72" t="inlineStr">
        <is>
          <t>Tripolar</t>
        </is>
      </c>
    </row>
    <row r="38">
      <c r="B38" s="72" t="inlineStr">
        <is>
          <t>Sem Disj. Geral</t>
        </is>
      </c>
    </row>
    <row r="40">
      <c r="B40" s="72" t="n"/>
    </row>
    <row r="41">
      <c r="B41" s="72" t="inlineStr">
        <is>
          <t>TiposDisjuntores_Fases</t>
        </is>
      </c>
    </row>
    <row r="42">
      <c r="B42" s="72" t="inlineStr">
        <is>
          <t>Monopolar</t>
        </is>
      </c>
    </row>
    <row r="43">
      <c r="B43" s="72" t="inlineStr">
        <is>
          <t>Bipolar</t>
        </is>
      </c>
    </row>
    <row r="44">
      <c r="B44" s="72" t="inlineStr">
        <is>
          <t>Tripolar</t>
        </is>
      </c>
    </row>
    <row r="45">
      <c r="B45" s="72" t="inlineStr">
        <is>
          <t>Sem Alter. Carga</t>
        </is>
      </c>
    </row>
  </sheetData>
  <sheetProtection selectLockedCells="0" selectUnlockedCells="0" algorithmName="SHA-512" sheet="1" objects="1" insertRows="1" insertHyperlinks="1" autoFilter="1" scenarios="1" formatColumns="1" deleteColumns="1" insertColumns="1" pivotTables="1" deleteRows="1" formatCells="1" saltValue="36SJmOPcUVyGebQFiptIsw==" formatRows="1" sort="1" spinCount="100000" hashValue="cLmONQlopoWWyTHGrD+awFSfGd9HQAUBAOOpNt+04fcHYi831Z0b3r6LLhqHjYtm/jOnoBKxLh11BVPQVgMlRg=="/>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4.xml><?xml version="1.0" encoding="utf-8"?>
<worksheet xmlns="http://schemas.openxmlformats.org/spreadsheetml/2006/main">
  <sheetPr codeName="Planilha3">
    <outlinePr summaryBelow="1" summaryRight="1"/>
    <pageSetUpPr/>
  </sheetPr>
  <dimension ref="A1:L148"/>
  <sheetViews>
    <sheetView topLeftCell="A66" workbookViewId="0">
      <selection activeCell="B133" sqref="B133:B148"/>
    </sheetView>
  </sheetViews>
  <sheetFormatPr baseColWidth="8" defaultRowHeight="15"/>
  <cols>
    <col width="35.85546875" customWidth="1" min="1" max="1"/>
    <col width="13.140625" bestFit="1" customWidth="1" min="2" max="2"/>
    <col width="33.28515625" bestFit="1" customWidth="1" min="3" max="3"/>
    <col width="15.5703125" bestFit="1" customWidth="1" min="4" max="4"/>
    <col width="17" bestFit="1" customWidth="1" min="5" max="5"/>
    <col width="17.42578125" bestFit="1" customWidth="1" min="6" max="6"/>
    <col width="3" bestFit="1" customWidth="1" min="8" max="8"/>
    <col width="11.5703125" bestFit="1" customWidth="1" min="9" max="9"/>
  </cols>
  <sheetData>
    <row r="1">
      <c r="A1" s="10" t="inlineStr">
        <is>
          <t>Tipo de Solicitação</t>
        </is>
      </c>
      <c r="B1" t="inlineStr">
        <is>
          <t>Fuso</t>
        </is>
      </c>
      <c r="C1" t="inlineStr">
        <is>
          <t>E (Abscissa) Min</t>
        </is>
      </c>
      <c r="D1" t="inlineStr">
        <is>
          <t>E (Abscissa) Max</t>
        </is>
      </c>
      <c r="E1" t="inlineStr">
        <is>
          <t>N (Ordenada) Min</t>
        </is>
      </c>
      <c r="F1" t="inlineStr">
        <is>
          <t>N (Ordenada) Max</t>
        </is>
      </c>
    </row>
    <row r="2">
      <c r="A2" t="inlineStr">
        <is>
          <t>Ligação de Nova Unidade Consumidora COM Geração Distribuída</t>
        </is>
      </c>
      <c r="B2" t="n">
        <v>22</v>
      </c>
      <c r="C2" t="n">
        <v>487307</v>
      </c>
      <c r="D2" t="n">
        <v>833012</v>
      </c>
      <c r="E2" t="n">
        <v>7733378</v>
      </c>
      <c r="F2" t="n">
        <v>7981566</v>
      </c>
      <c r="H2">
        <f>Formulário!V27</f>
        <v/>
      </c>
      <c r="I2">
        <f>Formulário!AC27</f>
        <v/>
      </c>
      <c r="K2">
        <f>Formulário!AL27</f>
        <v/>
      </c>
    </row>
    <row r="3">
      <c r="A3" t="inlineStr">
        <is>
          <t>Conexão de GD em Unidade Consumidora Existente SEM Alteração de Potência Disponibilizada</t>
        </is>
      </c>
      <c r="B3" t="n">
        <v>23</v>
      </c>
      <c r="C3" t="n">
        <v>161564</v>
      </c>
      <c r="D3" t="n">
        <v>840139</v>
      </c>
      <c r="E3" t="n">
        <v>7460145</v>
      </c>
      <c r="F3" t="n">
        <v>8435094</v>
      </c>
      <c r="H3">
        <f>H2</f>
        <v/>
      </c>
      <c r="I3">
        <f>IFERROR(VLOOKUP($H$2,$B$2:$F$4,2,FALSE),"")</f>
        <v/>
      </c>
      <c r="J3">
        <f>IFERROR(VLOOKUP($H$2,$B$2:$F$4,3,FALSE),"")</f>
        <v/>
      </c>
      <c r="K3">
        <f>IFERROR(VLOOKUP($H$2,$B$2:$F$4,4,FALSE),"")</f>
        <v/>
      </c>
      <c r="L3">
        <f>IFERROR(VLOOKUP($H$2,$B$2:$F$4,5,FALSE),"")</f>
        <v/>
      </c>
    </row>
    <row r="4">
      <c r="A4" t="inlineStr">
        <is>
          <t>Conexão de GD em Unidade Consumidora Existente COM Alteração de Potência Disponibilizada</t>
        </is>
      </c>
      <c r="B4" t="n">
        <v>24</v>
      </c>
      <c r="C4" t="n">
        <v>164869</v>
      </c>
      <c r="D4" t="n">
        <v>417150</v>
      </c>
      <c r="E4" t="n">
        <v>7673180</v>
      </c>
      <c r="F4" t="n">
        <v>8336360</v>
      </c>
      <c r="I4">
        <f>IFERROR(IF(AND(I2&gt;=I3,I2&lt;=J3),"Ok","Erro"),"")</f>
        <v/>
      </c>
      <c r="K4">
        <f>IF(AND(K2&gt;=K3,K2&lt;=L3),"Ok","Erro")</f>
        <v/>
      </c>
    </row>
    <row r="5">
      <c r="A5" t="inlineStr">
        <is>
          <t>GD Existente COM Alteração de Potência Ativa Instalada Total</t>
        </is>
      </c>
    </row>
    <row r="9" ht="18.75" customHeight="1">
      <c r="A9" s="26" t="inlineStr">
        <is>
          <t>Tabela Disjuntores Revisada 06/10/2022</t>
        </is>
      </c>
    </row>
    <row r="10" ht="15.75" customHeight="1">
      <c r="A10" s="196" t="inlineStr">
        <is>
          <t>Disjuntor</t>
        </is>
      </c>
      <c r="B10" s="238" t="n"/>
      <c r="C10" s="197" t="inlineStr">
        <is>
          <t>Limite máximo para injeção(kW)</t>
        </is>
      </c>
    </row>
    <row r="11" ht="15.75" customHeight="1">
      <c r="A11" s="196" t="inlineStr">
        <is>
          <t>Tipo</t>
        </is>
      </c>
      <c r="B11" s="196" t="inlineStr">
        <is>
          <t>Corrente (A)</t>
        </is>
      </c>
      <c r="C11" s="242" t="n"/>
    </row>
    <row r="12" ht="15.75" customHeight="1">
      <c r="A12" s="24" t="inlineStr">
        <is>
          <t>Monopolar</t>
        </is>
      </c>
      <c r="B12" s="24" t="n">
        <v>40</v>
      </c>
      <c r="C12" s="30" t="n">
        <v>5</v>
      </c>
      <c r="D12" t="inlineStr">
        <is>
          <t>Monopolar40</t>
        </is>
      </c>
      <c r="E12" s="30" t="n">
        <v>5</v>
      </c>
    </row>
    <row r="13" ht="15.75" customHeight="1">
      <c r="A13" s="24" t="inlineStr">
        <is>
          <t>Monopolar</t>
        </is>
      </c>
      <c r="B13" s="24" t="n">
        <v>50</v>
      </c>
      <c r="C13" s="24" t="n">
        <v>6.5</v>
      </c>
      <c r="D13" t="inlineStr">
        <is>
          <t>Monopolar50</t>
        </is>
      </c>
      <c r="E13" s="24" t="n">
        <v>6.5</v>
      </c>
    </row>
    <row r="14" ht="15.75" customHeight="1">
      <c r="A14" s="24" t="inlineStr">
        <is>
          <t>Monopolar</t>
        </is>
      </c>
      <c r="B14" s="24" t="n">
        <v>63</v>
      </c>
      <c r="C14" s="24" t="n">
        <v>8</v>
      </c>
      <c r="D14" t="inlineStr">
        <is>
          <t>Monopolar63</t>
        </is>
      </c>
      <c r="E14" s="24" t="n">
        <v>8</v>
      </c>
    </row>
    <row r="15" ht="15.75" customHeight="1">
      <c r="A15" s="24" t="inlineStr">
        <is>
          <t>Monopolar</t>
        </is>
      </c>
      <c r="B15" s="24" t="n">
        <v>70</v>
      </c>
      <c r="C15" s="24" t="n">
        <v>10</v>
      </c>
      <c r="D15" t="inlineStr">
        <is>
          <t>Monopolar70</t>
        </is>
      </c>
      <c r="E15" s="24" t="n">
        <v>10</v>
      </c>
    </row>
    <row r="16" ht="15.75" customHeight="1">
      <c r="A16" s="24" t="inlineStr">
        <is>
          <t>Bipolar</t>
        </is>
      </c>
      <c r="B16" s="24" t="n">
        <v>40</v>
      </c>
      <c r="C16" s="24" t="n">
        <v>10</v>
      </c>
      <c r="D16" t="inlineStr">
        <is>
          <t>Bipolar40</t>
        </is>
      </c>
      <c r="E16" s="24" t="n">
        <v>10</v>
      </c>
    </row>
    <row r="17" ht="15.75" customHeight="1">
      <c r="A17" s="24" t="inlineStr">
        <is>
          <t>Bipolar</t>
        </is>
      </c>
      <c r="B17" s="24" t="n">
        <v>50</v>
      </c>
      <c r="C17" s="24" t="n">
        <v>12</v>
      </c>
      <c r="D17" t="inlineStr">
        <is>
          <t>Bipolar50</t>
        </is>
      </c>
      <c r="E17" s="24" t="n">
        <v>12</v>
      </c>
    </row>
    <row r="18" ht="15.75" customHeight="1">
      <c r="A18" s="24" t="inlineStr">
        <is>
          <t>Bipolar</t>
        </is>
      </c>
      <c r="B18" s="24" t="n">
        <v>60</v>
      </c>
      <c r="C18" s="24" t="n">
        <v>15</v>
      </c>
      <c r="D18" t="inlineStr">
        <is>
          <t>Bipolar60</t>
        </is>
      </c>
      <c r="E18" s="24" t="n">
        <v>15</v>
      </c>
    </row>
    <row r="19" ht="15.75" customHeight="1">
      <c r="A19" s="24" t="inlineStr">
        <is>
          <t>Bipolar</t>
        </is>
      </c>
      <c r="B19" s="24" t="n">
        <v>63</v>
      </c>
      <c r="C19" s="24" t="n">
        <v>15.1</v>
      </c>
      <c r="D19" t="inlineStr">
        <is>
          <t>Bipolar63</t>
        </is>
      </c>
      <c r="E19" s="24" t="n">
        <v>15.1</v>
      </c>
    </row>
    <row r="20" ht="15.75" customHeight="1">
      <c r="A20" s="24" t="inlineStr">
        <is>
          <t>Bipolar</t>
        </is>
      </c>
      <c r="B20" s="24" t="n">
        <v>70</v>
      </c>
      <c r="C20" s="24" t="n">
        <v>16.8</v>
      </c>
      <c r="D20" t="inlineStr">
        <is>
          <t>Bipolar70</t>
        </is>
      </c>
      <c r="E20" s="24" t="n">
        <v>16.8</v>
      </c>
    </row>
    <row r="21" ht="15.75" customHeight="1">
      <c r="A21" s="24" t="inlineStr">
        <is>
          <t>Bipolar</t>
        </is>
      </c>
      <c r="B21" s="24" t="n">
        <v>80</v>
      </c>
      <c r="C21" s="24" t="n">
        <v>20</v>
      </c>
      <c r="D21" t="inlineStr">
        <is>
          <t>Bipolar80</t>
        </is>
      </c>
      <c r="E21" s="24" t="n">
        <v>20</v>
      </c>
    </row>
    <row r="22" ht="15.75" customHeight="1">
      <c r="A22" s="24" t="inlineStr">
        <is>
          <t>Bipolar</t>
        </is>
      </c>
      <c r="B22" s="25" t="n">
        <v>90</v>
      </c>
      <c r="C22" s="24" t="n">
        <v>20</v>
      </c>
      <c r="D22" t="inlineStr">
        <is>
          <t>Bipolar90</t>
        </is>
      </c>
      <c r="E22" s="24" t="n">
        <v>20</v>
      </c>
    </row>
    <row r="23" ht="15.75" customHeight="1">
      <c r="A23" s="24" t="inlineStr">
        <is>
          <t>Bipolar</t>
        </is>
      </c>
      <c r="B23" s="25" t="n">
        <v>100</v>
      </c>
      <c r="C23" s="24" t="n">
        <v>24</v>
      </c>
      <c r="D23" t="inlineStr">
        <is>
          <t>Bipolar100</t>
        </is>
      </c>
      <c r="E23" s="24" t="n">
        <v>24</v>
      </c>
    </row>
    <row r="24" ht="15.75" customHeight="1">
      <c r="A24" s="24" t="inlineStr">
        <is>
          <t>Bipolar</t>
        </is>
      </c>
      <c r="B24" s="25" t="n">
        <v>120</v>
      </c>
      <c r="C24" s="24" t="n">
        <v>30</v>
      </c>
      <c r="D24" t="inlineStr">
        <is>
          <t>Bipolar120</t>
        </is>
      </c>
      <c r="E24" s="24" t="n">
        <v>30</v>
      </c>
    </row>
    <row r="25" ht="15.75" customHeight="1">
      <c r="A25" s="24" t="inlineStr">
        <is>
          <t>Bipolar</t>
        </is>
      </c>
      <c r="B25" s="25" t="n">
        <v>125</v>
      </c>
      <c r="C25" s="24" t="n">
        <v>30</v>
      </c>
      <c r="D25" t="inlineStr">
        <is>
          <t>Bipolar125</t>
        </is>
      </c>
      <c r="E25" s="24" t="n">
        <v>30</v>
      </c>
    </row>
    <row r="26" ht="15.75" customHeight="1">
      <c r="A26" s="24" t="inlineStr">
        <is>
          <t>Bipolar</t>
        </is>
      </c>
      <c r="B26" s="25" t="n">
        <v>150</v>
      </c>
      <c r="C26" s="24" t="n">
        <v>36</v>
      </c>
      <c r="D26" t="inlineStr">
        <is>
          <t>Bipolar150</t>
        </is>
      </c>
      <c r="E26" s="24" t="n">
        <v>36</v>
      </c>
    </row>
    <row r="27" ht="15.75" customHeight="1">
      <c r="A27" s="24" t="inlineStr">
        <is>
          <t>Bipolar</t>
        </is>
      </c>
      <c r="B27" s="24" t="n">
        <v>200</v>
      </c>
      <c r="C27" s="24" t="n">
        <v>50</v>
      </c>
      <c r="D27" t="inlineStr">
        <is>
          <t>Bipolar200</t>
        </is>
      </c>
      <c r="E27" s="24" t="n">
        <v>50</v>
      </c>
    </row>
    <row r="28" ht="15.75" customHeight="1">
      <c r="A28" s="24" t="inlineStr">
        <is>
          <t>Tripolar</t>
        </is>
      </c>
      <c r="B28" s="24" t="n">
        <v>40</v>
      </c>
      <c r="C28" s="24" t="n">
        <v>15</v>
      </c>
      <c r="D28" t="inlineStr">
        <is>
          <t>Tripolar40</t>
        </is>
      </c>
      <c r="E28" s="24" t="n">
        <v>15</v>
      </c>
    </row>
    <row r="29" ht="15.75" customHeight="1">
      <c r="A29" s="24" t="inlineStr">
        <is>
          <t>Tripolar</t>
        </is>
      </c>
      <c r="B29" s="24" t="n">
        <v>60</v>
      </c>
      <c r="C29" s="24" t="n">
        <v>23</v>
      </c>
      <c r="D29" t="inlineStr">
        <is>
          <t>Tripolar60</t>
        </is>
      </c>
      <c r="E29" s="24" t="n">
        <v>23</v>
      </c>
    </row>
    <row r="30" ht="15.75" customHeight="1">
      <c r="A30" s="24" t="inlineStr">
        <is>
          <t>Tripolar</t>
        </is>
      </c>
      <c r="B30" s="24" t="n">
        <v>63</v>
      </c>
      <c r="C30" s="24" t="n">
        <v>24</v>
      </c>
      <c r="D30" t="inlineStr">
        <is>
          <t>Tripolar63</t>
        </is>
      </c>
      <c r="E30" s="24" t="n">
        <v>24</v>
      </c>
    </row>
    <row r="31" ht="15.75" customHeight="1">
      <c r="A31" s="24" t="inlineStr">
        <is>
          <t>Tripolar</t>
        </is>
      </c>
      <c r="B31" s="24" t="n">
        <v>70</v>
      </c>
      <c r="C31" s="24" t="n">
        <v>27</v>
      </c>
      <c r="D31" t="inlineStr">
        <is>
          <t>Tripolar70</t>
        </is>
      </c>
      <c r="E31" s="24" t="n">
        <v>27</v>
      </c>
    </row>
    <row r="32" ht="15.75" customHeight="1">
      <c r="A32" s="24" t="inlineStr">
        <is>
          <t>Tripolar</t>
        </is>
      </c>
      <c r="B32" s="24" t="n">
        <v>80</v>
      </c>
      <c r="C32" s="24" t="n">
        <v>30.5</v>
      </c>
      <c r="D32" t="inlineStr">
        <is>
          <t>Tripolar80</t>
        </is>
      </c>
      <c r="E32" s="24" t="n">
        <v>30.5</v>
      </c>
    </row>
    <row r="33" ht="15.75" customHeight="1">
      <c r="A33" s="24" t="inlineStr">
        <is>
          <t>Tripolar</t>
        </is>
      </c>
      <c r="B33" s="24" t="n">
        <v>100</v>
      </c>
      <c r="C33" s="24" t="n">
        <v>38.1</v>
      </c>
      <c r="D33" t="inlineStr">
        <is>
          <t>Tripolar100</t>
        </is>
      </c>
      <c r="E33" s="24" t="n">
        <v>38.1</v>
      </c>
    </row>
    <row r="34" ht="15.75" customHeight="1">
      <c r="A34" s="24" t="inlineStr">
        <is>
          <t>Tripolar</t>
        </is>
      </c>
      <c r="B34" s="24" t="n">
        <v>120</v>
      </c>
      <c r="C34" s="24" t="n">
        <v>47</v>
      </c>
      <c r="D34" t="inlineStr">
        <is>
          <t>Tripolar120</t>
        </is>
      </c>
      <c r="E34" s="24" t="n">
        <v>47</v>
      </c>
    </row>
    <row r="35" ht="15.75" customHeight="1">
      <c r="A35" s="24" t="inlineStr">
        <is>
          <t>Tripolar</t>
        </is>
      </c>
      <c r="B35" s="24" t="n">
        <v>125</v>
      </c>
      <c r="C35" s="24" t="n">
        <v>47.6</v>
      </c>
      <c r="D35" t="inlineStr">
        <is>
          <t>Tripolar125</t>
        </is>
      </c>
      <c r="E35" s="24" t="n">
        <v>47.6</v>
      </c>
    </row>
    <row r="36" ht="15.75" customHeight="1">
      <c r="A36" s="24" t="inlineStr">
        <is>
          <t>Tripolar</t>
        </is>
      </c>
      <c r="B36" s="24" t="n">
        <v>150</v>
      </c>
      <c r="C36" s="24" t="n">
        <v>57.1</v>
      </c>
      <c r="D36" t="inlineStr">
        <is>
          <t>Tripolar150</t>
        </is>
      </c>
      <c r="E36" s="24" t="n">
        <v>57.1</v>
      </c>
    </row>
    <row r="37" ht="15.75" customHeight="1">
      <c r="A37" s="24" t="inlineStr">
        <is>
          <t>Tripolar</t>
        </is>
      </c>
      <c r="B37" s="24" t="n">
        <v>175</v>
      </c>
      <c r="C37" s="24" t="n">
        <v>66</v>
      </c>
      <c r="D37" t="inlineStr">
        <is>
          <t>Tripolar175</t>
        </is>
      </c>
      <c r="E37" s="24" t="n">
        <v>66</v>
      </c>
    </row>
    <row r="38" ht="15.75" customHeight="1">
      <c r="A38" s="24" t="inlineStr">
        <is>
          <t>Tripolar</t>
        </is>
      </c>
      <c r="B38" s="24" t="n">
        <v>200</v>
      </c>
      <c r="C38" s="24" t="n">
        <v>75</v>
      </c>
      <c r="D38" t="inlineStr">
        <is>
          <t>Tripolar200</t>
        </is>
      </c>
      <c r="E38" s="24" t="n">
        <v>75</v>
      </c>
    </row>
    <row r="39" ht="15.75" customHeight="1">
      <c r="A39" s="24" t="inlineStr">
        <is>
          <t>Tripolar</t>
        </is>
      </c>
      <c r="B39" s="24" t="n">
        <v>225</v>
      </c>
      <c r="C39" s="24" t="n">
        <v>86</v>
      </c>
      <c r="D39" t="inlineStr">
        <is>
          <t>Tripolar225</t>
        </is>
      </c>
      <c r="E39" s="24" t="n">
        <v>86</v>
      </c>
    </row>
    <row r="40" ht="15.75" customHeight="1">
      <c r="A40" s="24" t="inlineStr">
        <is>
          <t>Tripolar</t>
        </is>
      </c>
      <c r="B40" s="24" t="n">
        <v>250</v>
      </c>
      <c r="C40" s="24" t="n">
        <v>95</v>
      </c>
      <c r="D40" t="inlineStr">
        <is>
          <t>Tripolar250</t>
        </is>
      </c>
      <c r="E40" s="24" t="n">
        <v>95</v>
      </c>
    </row>
    <row r="41" ht="15.75" customHeight="1">
      <c r="A41" s="24" t="inlineStr">
        <is>
          <t>Tripolar</t>
        </is>
      </c>
      <c r="B41" s="24" t="n">
        <v>300</v>
      </c>
      <c r="C41" s="24" t="n">
        <v>114</v>
      </c>
      <c r="D41" t="inlineStr">
        <is>
          <t>Tripolar300</t>
        </is>
      </c>
      <c r="E41" s="24" t="n">
        <v>114</v>
      </c>
    </row>
    <row r="42" ht="15.75" customHeight="1">
      <c r="A42" s="24" t="inlineStr">
        <is>
          <t>Tripolar</t>
        </is>
      </c>
      <c r="B42" s="24" t="n">
        <v>315</v>
      </c>
      <c r="C42" s="24" t="n">
        <v>114</v>
      </c>
      <c r="D42" t="inlineStr">
        <is>
          <t>Tripolar315</t>
        </is>
      </c>
      <c r="E42" s="24" t="n">
        <v>114</v>
      </c>
    </row>
    <row r="43" ht="15.75" customHeight="1">
      <c r="A43" s="24" t="inlineStr">
        <is>
          <t>Tripolar</t>
        </is>
      </c>
      <c r="B43" s="24" t="n">
        <v>320</v>
      </c>
      <c r="C43" s="24" t="n">
        <v>114</v>
      </c>
      <c r="D43" t="inlineStr">
        <is>
          <t>Tripolar320</t>
        </is>
      </c>
      <c r="E43" s="24" t="n">
        <v>114</v>
      </c>
    </row>
    <row r="44" ht="15.75" customHeight="1">
      <c r="A44" s="24" t="inlineStr">
        <is>
          <t>Tripolar</t>
        </is>
      </c>
      <c r="B44" s="24" t="n">
        <v>400</v>
      </c>
      <c r="C44" s="24" t="n">
        <v>152</v>
      </c>
      <c r="D44" t="inlineStr">
        <is>
          <t>Tripolar400</t>
        </is>
      </c>
      <c r="E44" s="24" t="n">
        <v>152</v>
      </c>
    </row>
    <row r="45" ht="15.75" customHeight="1">
      <c r="A45" s="24" t="inlineStr">
        <is>
          <t>Tripolar</t>
        </is>
      </c>
      <c r="B45" s="24" t="n">
        <v>450</v>
      </c>
      <c r="C45" s="24" t="n">
        <v>171</v>
      </c>
      <c r="D45" t="inlineStr">
        <is>
          <t>Tripolar450</t>
        </is>
      </c>
      <c r="E45" s="24" t="n">
        <v>171</v>
      </c>
    </row>
    <row r="46" ht="15.75" customHeight="1">
      <c r="A46" s="24" t="inlineStr">
        <is>
          <t>Tripolar</t>
        </is>
      </c>
      <c r="B46" s="24" t="n">
        <v>500</v>
      </c>
      <c r="C46" s="24" t="n">
        <v>188</v>
      </c>
      <c r="D46" t="inlineStr">
        <is>
          <t>Tripolar500</t>
        </is>
      </c>
      <c r="E46" s="24" t="n">
        <v>188</v>
      </c>
    </row>
    <row r="47" ht="15.75" customHeight="1">
      <c r="A47" s="24" t="inlineStr">
        <is>
          <t>Tripolar</t>
        </is>
      </c>
      <c r="B47" s="24" t="n">
        <v>600</v>
      </c>
      <c r="C47" s="24" t="n">
        <v>228</v>
      </c>
      <c r="D47" t="inlineStr">
        <is>
          <t>Tripolar600</t>
        </is>
      </c>
      <c r="E47" s="24" t="n">
        <v>228</v>
      </c>
    </row>
    <row r="48" ht="15.75" customHeight="1">
      <c r="A48" s="24" t="inlineStr">
        <is>
          <t>Tripolar</t>
        </is>
      </c>
      <c r="B48" s="24" t="n">
        <v>630</v>
      </c>
      <c r="C48" s="24" t="n">
        <v>228</v>
      </c>
      <c r="D48" t="inlineStr">
        <is>
          <t>Tripolar630</t>
        </is>
      </c>
      <c r="E48" s="24" t="n">
        <v>228</v>
      </c>
    </row>
    <row r="49" ht="15.75" customHeight="1">
      <c r="A49" s="24" t="inlineStr">
        <is>
          <t>Tripolar</t>
        </is>
      </c>
      <c r="B49" s="24" t="n">
        <v>700</v>
      </c>
      <c r="C49" s="24" t="n">
        <v>266</v>
      </c>
      <c r="D49" t="inlineStr">
        <is>
          <t>Tripolar700</t>
        </is>
      </c>
      <c r="E49" s="24" t="n">
        <v>266</v>
      </c>
    </row>
    <row r="50" ht="15.75" customHeight="1">
      <c r="A50" s="24" t="inlineStr">
        <is>
          <t>Tripolar</t>
        </is>
      </c>
      <c r="B50" s="24" t="n">
        <v>800</v>
      </c>
      <c r="C50" s="24" t="n">
        <v>304</v>
      </c>
      <c r="D50" t="inlineStr">
        <is>
          <t>Tripolar800</t>
        </is>
      </c>
      <c r="E50" s="24" t="n">
        <v>304</v>
      </c>
    </row>
    <row r="53" ht="18.75" customHeight="1">
      <c r="A53" s="26" t="inlineStr">
        <is>
          <t>Tabela Disjuntores Padronizados na ND 5.1</t>
        </is>
      </c>
    </row>
    <row r="54" ht="15.75" customHeight="1">
      <c r="A54" s="196" t="inlineStr">
        <is>
          <t>Disjuntor</t>
        </is>
      </c>
      <c r="B54" s="238" t="n"/>
      <c r="C54" s="197" t="inlineStr">
        <is>
          <t>Limite máximo para injeção(kW)</t>
        </is>
      </c>
    </row>
    <row r="55" ht="15.75" customHeight="1">
      <c r="A55" s="196" t="inlineStr">
        <is>
          <t>Tipo</t>
        </is>
      </c>
      <c r="B55" s="196" t="inlineStr">
        <is>
          <t>Corrente (A)</t>
        </is>
      </c>
      <c r="C55" s="242" t="n"/>
    </row>
    <row r="56" ht="15.75" customHeight="1">
      <c r="A56" s="24" t="inlineStr">
        <is>
          <t>Monopolar</t>
        </is>
      </c>
      <c r="B56" s="24" t="n">
        <v>40</v>
      </c>
      <c r="C56" s="30" t="n">
        <v>5</v>
      </c>
      <c r="D56" t="inlineStr">
        <is>
          <t>Monopolar40</t>
        </is>
      </c>
      <c r="E56" s="30" t="n">
        <v>5</v>
      </c>
    </row>
    <row r="57" ht="15.75" customHeight="1">
      <c r="A57" s="24" t="inlineStr">
        <is>
          <t>Monopolar</t>
        </is>
      </c>
      <c r="B57" s="24" t="n">
        <v>50</v>
      </c>
      <c r="C57" s="24" t="n">
        <v>6.5</v>
      </c>
      <c r="D57" t="inlineStr">
        <is>
          <t>Monopolar50</t>
        </is>
      </c>
      <c r="E57" s="24" t="n">
        <v>6.5</v>
      </c>
    </row>
    <row r="58" ht="15.75" customHeight="1">
      <c r="A58" s="24" t="inlineStr">
        <is>
          <t>Monopolar</t>
        </is>
      </c>
      <c r="B58" s="24" t="n">
        <v>63</v>
      </c>
      <c r="C58" s="24" t="n">
        <v>8</v>
      </c>
      <c r="D58" t="inlineStr">
        <is>
          <t>Monopolar63</t>
        </is>
      </c>
      <c r="E58" s="24" t="n">
        <v>8</v>
      </c>
    </row>
    <row r="59" ht="15.75" customHeight="1">
      <c r="A59" s="24" t="inlineStr">
        <is>
          <t>Bipolar</t>
        </is>
      </c>
      <c r="B59" s="24" t="n">
        <v>40</v>
      </c>
      <c r="C59" s="24" t="n">
        <v>10</v>
      </c>
      <c r="D59" t="inlineStr">
        <is>
          <t>Bipolar40</t>
        </is>
      </c>
      <c r="E59" s="24" t="n">
        <v>10</v>
      </c>
    </row>
    <row r="60" ht="15.75" customHeight="1">
      <c r="A60" s="24" t="inlineStr">
        <is>
          <t>Bipolar</t>
        </is>
      </c>
      <c r="B60" s="24" t="n">
        <v>63</v>
      </c>
      <c r="C60" s="24" t="n">
        <v>15.1</v>
      </c>
      <c r="D60" t="inlineStr">
        <is>
          <t>Bipolar63</t>
        </is>
      </c>
      <c r="E60" s="24" t="n">
        <v>15.1</v>
      </c>
    </row>
    <row r="61" ht="15.75" customHeight="1">
      <c r="A61" s="24" t="inlineStr">
        <is>
          <t>Bipolar</t>
        </is>
      </c>
      <c r="B61" s="24" t="n">
        <v>80</v>
      </c>
      <c r="C61" s="24" t="n">
        <v>20</v>
      </c>
      <c r="D61" t="inlineStr">
        <is>
          <t>Bipolar80</t>
        </is>
      </c>
      <c r="E61" s="24" t="n">
        <v>20</v>
      </c>
    </row>
    <row r="62" ht="15.75" customHeight="1">
      <c r="A62" s="24" t="inlineStr">
        <is>
          <t>Bipolar</t>
        </is>
      </c>
      <c r="B62" s="25" t="n">
        <v>100</v>
      </c>
      <c r="C62" s="24" t="n">
        <v>24</v>
      </c>
      <c r="D62" t="inlineStr">
        <is>
          <t>Bipolar100</t>
        </is>
      </c>
      <c r="E62" s="24" t="n">
        <v>24</v>
      </c>
    </row>
    <row r="63" ht="15.75" customHeight="1">
      <c r="A63" s="24" t="inlineStr">
        <is>
          <t>Bipolar</t>
        </is>
      </c>
      <c r="B63" s="25" t="n">
        <v>125</v>
      </c>
      <c r="C63" s="24" t="n">
        <v>30</v>
      </c>
      <c r="D63" t="inlineStr">
        <is>
          <t>Bipolar125</t>
        </is>
      </c>
      <c r="E63" s="24" t="n">
        <v>30</v>
      </c>
    </row>
    <row r="64" ht="15.75" customHeight="1">
      <c r="A64" s="24" t="inlineStr">
        <is>
          <t>Bipolar</t>
        </is>
      </c>
      <c r="B64" s="25" t="n">
        <v>150</v>
      </c>
      <c r="C64" s="24" t="n">
        <v>36</v>
      </c>
      <c r="D64" t="inlineStr">
        <is>
          <t>Bipolar150</t>
        </is>
      </c>
      <c r="E64" s="24" t="n">
        <v>36</v>
      </c>
    </row>
    <row r="65" ht="15.75" customHeight="1">
      <c r="A65" s="24" t="inlineStr">
        <is>
          <t>Bipolar</t>
        </is>
      </c>
      <c r="B65" s="24" t="n">
        <v>200</v>
      </c>
      <c r="C65" s="24" t="n">
        <v>50</v>
      </c>
      <c r="D65" t="inlineStr">
        <is>
          <t>Bipolar200</t>
        </is>
      </c>
      <c r="E65" s="24" t="n">
        <v>50</v>
      </c>
    </row>
    <row r="66" ht="15.75" customHeight="1">
      <c r="A66" s="24" t="inlineStr">
        <is>
          <t>Tripolar</t>
        </is>
      </c>
      <c r="B66" s="24" t="n">
        <v>40</v>
      </c>
      <c r="C66" s="24" t="n">
        <v>15</v>
      </c>
      <c r="D66" t="inlineStr">
        <is>
          <t>Tripolar40</t>
        </is>
      </c>
      <c r="E66" s="24" t="n">
        <v>15</v>
      </c>
    </row>
    <row r="67" ht="15.75" customHeight="1">
      <c r="A67" s="24" t="inlineStr">
        <is>
          <t>Tripolar</t>
        </is>
      </c>
      <c r="B67" s="24" t="n">
        <v>63</v>
      </c>
      <c r="C67" s="24" t="n">
        <v>24</v>
      </c>
      <c r="D67" t="inlineStr">
        <is>
          <t>Tripolar63</t>
        </is>
      </c>
      <c r="E67" s="24" t="n">
        <v>24</v>
      </c>
    </row>
    <row r="68" ht="15.75" customHeight="1">
      <c r="A68" s="24" t="inlineStr">
        <is>
          <t>Tripolar</t>
        </is>
      </c>
      <c r="B68" s="24" t="n">
        <v>80</v>
      </c>
      <c r="C68" s="24" t="n">
        <v>30.5</v>
      </c>
      <c r="D68" t="inlineStr">
        <is>
          <t>Tripolar80</t>
        </is>
      </c>
      <c r="E68" s="24" t="n">
        <v>30.5</v>
      </c>
    </row>
    <row r="69" ht="15.75" customHeight="1">
      <c r="A69" s="24" t="inlineStr">
        <is>
          <t>Tripolar</t>
        </is>
      </c>
      <c r="B69" s="24" t="n">
        <v>100</v>
      </c>
      <c r="C69" s="24" t="n">
        <v>38.1</v>
      </c>
      <c r="D69" t="inlineStr">
        <is>
          <t>Tripolar100</t>
        </is>
      </c>
      <c r="E69" s="24" t="n">
        <v>38.1</v>
      </c>
    </row>
    <row r="70" ht="15.75" customHeight="1">
      <c r="A70" s="24" t="inlineStr">
        <is>
          <t>Tripolar</t>
        </is>
      </c>
      <c r="B70" s="24" t="n">
        <v>125</v>
      </c>
      <c r="C70" s="24" t="n">
        <v>47.6</v>
      </c>
      <c r="D70" t="inlineStr">
        <is>
          <t>Tripolar125</t>
        </is>
      </c>
      <c r="E70" s="24" t="n">
        <v>47.6</v>
      </c>
    </row>
    <row r="71" ht="15.75" customHeight="1">
      <c r="A71" s="24" t="inlineStr">
        <is>
          <t>Tripolar</t>
        </is>
      </c>
      <c r="B71" s="24" t="n">
        <v>150</v>
      </c>
      <c r="C71" s="24" t="n">
        <v>57.1</v>
      </c>
      <c r="D71" t="inlineStr">
        <is>
          <t>Tripolar150</t>
        </is>
      </c>
      <c r="E71" s="24" t="n">
        <v>57.1</v>
      </c>
    </row>
    <row r="72" ht="15.75" customHeight="1">
      <c r="A72" s="24" t="inlineStr">
        <is>
          <t>Tripolar</t>
        </is>
      </c>
      <c r="B72" s="24" t="n">
        <v>175</v>
      </c>
      <c r="C72" s="24" t="n">
        <v>66</v>
      </c>
      <c r="D72" t="inlineStr">
        <is>
          <t>Tripolar175</t>
        </is>
      </c>
      <c r="E72" s="24" t="n">
        <v>66</v>
      </c>
    </row>
    <row r="73" ht="15.75" customHeight="1">
      <c r="A73" s="24" t="inlineStr">
        <is>
          <t>Tripolar</t>
        </is>
      </c>
      <c r="B73" s="24" t="n">
        <v>200</v>
      </c>
      <c r="C73" s="24" t="n">
        <v>75</v>
      </c>
      <c r="D73" t="inlineStr">
        <is>
          <t>Tripolar200</t>
        </is>
      </c>
      <c r="E73" s="24" t="n">
        <v>75</v>
      </c>
    </row>
    <row r="74" ht="15.75" customHeight="1">
      <c r="A74" s="24" t="inlineStr">
        <is>
          <t>Tripolar</t>
        </is>
      </c>
      <c r="B74" s="24" t="n">
        <v>225</v>
      </c>
      <c r="C74" s="24" t="n">
        <v>86</v>
      </c>
      <c r="D74" t="inlineStr">
        <is>
          <t>Tripolar225</t>
        </is>
      </c>
      <c r="E74" s="24" t="n">
        <v>86</v>
      </c>
    </row>
    <row r="75" ht="15.75" customHeight="1">
      <c r="A75" s="24" t="inlineStr">
        <is>
          <t>Tripolar</t>
        </is>
      </c>
      <c r="B75" s="24" t="n">
        <v>250</v>
      </c>
      <c r="C75" s="24" t="n">
        <v>95</v>
      </c>
      <c r="D75" t="inlineStr">
        <is>
          <t>Tripolar250</t>
        </is>
      </c>
      <c r="E75" s="24" t="n">
        <v>95</v>
      </c>
    </row>
    <row r="76" ht="15.75" customHeight="1">
      <c r="A76" s="24" t="inlineStr">
        <is>
          <t>Tripolar</t>
        </is>
      </c>
      <c r="B76" s="24" t="n">
        <v>300</v>
      </c>
      <c r="C76" s="24" t="n">
        <v>114</v>
      </c>
      <c r="D76" t="inlineStr">
        <is>
          <t>Tripolar300</t>
        </is>
      </c>
      <c r="E76" s="24" t="n">
        <v>114</v>
      </c>
    </row>
    <row r="77" ht="15.75" customHeight="1">
      <c r="A77" s="24" t="inlineStr">
        <is>
          <t>Tripolar</t>
        </is>
      </c>
      <c r="B77" s="24" t="n">
        <v>315</v>
      </c>
      <c r="C77" s="24" t="n">
        <v>114</v>
      </c>
      <c r="D77" t="inlineStr">
        <is>
          <t>Tripolar315</t>
        </is>
      </c>
      <c r="E77" s="24" t="n">
        <v>114</v>
      </c>
    </row>
    <row r="78" ht="15.75" customHeight="1">
      <c r="A78" s="24" t="inlineStr">
        <is>
          <t>Tripolar</t>
        </is>
      </c>
      <c r="B78" s="24" t="n">
        <v>320</v>
      </c>
      <c r="C78" s="24" t="n">
        <v>114</v>
      </c>
      <c r="D78" t="inlineStr">
        <is>
          <t>Tripolar320</t>
        </is>
      </c>
      <c r="E78" s="24" t="n">
        <v>114</v>
      </c>
    </row>
    <row r="79" ht="15.75" customHeight="1">
      <c r="A79" s="24" t="inlineStr">
        <is>
          <t>Tripolar</t>
        </is>
      </c>
      <c r="B79" s="24" t="n">
        <v>400</v>
      </c>
      <c r="C79" s="24" t="n">
        <v>152</v>
      </c>
      <c r="D79" t="inlineStr">
        <is>
          <t>Tripolar400</t>
        </is>
      </c>
      <c r="E79" s="24" t="n">
        <v>152</v>
      </c>
    </row>
    <row r="80" ht="15.75" customHeight="1">
      <c r="A80" s="24" t="inlineStr">
        <is>
          <t>Tripolar</t>
        </is>
      </c>
      <c r="B80" s="24" t="n">
        <v>450</v>
      </c>
      <c r="C80" s="24" t="n">
        <v>171</v>
      </c>
      <c r="D80" t="inlineStr">
        <is>
          <t>Tripolar450</t>
        </is>
      </c>
      <c r="E80" s="24" t="n">
        <v>171</v>
      </c>
    </row>
    <row r="81" ht="15.75" customHeight="1">
      <c r="A81" s="24" t="inlineStr">
        <is>
          <t>Tripolar</t>
        </is>
      </c>
      <c r="B81" s="24" t="n">
        <v>500</v>
      </c>
      <c r="C81" s="24" t="n">
        <v>188</v>
      </c>
      <c r="D81" t="inlineStr">
        <is>
          <t>Tripolar500</t>
        </is>
      </c>
      <c r="E81" s="24" t="n">
        <v>188</v>
      </c>
    </row>
    <row r="82" ht="15.75" customHeight="1">
      <c r="A82" s="24" t="inlineStr">
        <is>
          <t>Tripolar</t>
        </is>
      </c>
      <c r="B82" s="24" t="n">
        <v>600</v>
      </c>
      <c r="C82" s="24" t="n">
        <v>228</v>
      </c>
      <c r="D82" t="inlineStr">
        <is>
          <t>Tripolar600</t>
        </is>
      </c>
      <c r="E82" s="24" t="n">
        <v>228</v>
      </c>
    </row>
    <row r="83" ht="15.75" customHeight="1">
      <c r="A83" s="24" t="inlineStr">
        <is>
          <t>Tripolar</t>
        </is>
      </c>
      <c r="B83" s="24" t="n">
        <v>630</v>
      </c>
      <c r="C83" s="24" t="n">
        <v>228</v>
      </c>
      <c r="D83" t="inlineStr">
        <is>
          <t>Tripolar630</t>
        </is>
      </c>
      <c r="E83" s="24" t="n">
        <v>228</v>
      </c>
    </row>
    <row r="84" ht="15.75" customHeight="1">
      <c r="A84" s="24" t="inlineStr">
        <is>
          <t>Tripolar</t>
        </is>
      </c>
      <c r="B84" s="24" t="n">
        <v>700</v>
      </c>
      <c r="C84" s="24" t="n">
        <v>266</v>
      </c>
      <c r="D84" t="inlineStr">
        <is>
          <t>Tripolar700</t>
        </is>
      </c>
      <c r="E84" s="24" t="n">
        <v>266</v>
      </c>
    </row>
    <row r="85" ht="15.75" customHeight="1">
      <c r="A85" s="24" t="inlineStr">
        <is>
          <t>Tripolar</t>
        </is>
      </c>
      <c r="B85" s="24" t="n">
        <v>800</v>
      </c>
      <c r="C85" s="24" t="n">
        <v>304</v>
      </c>
      <c r="D85" t="inlineStr">
        <is>
          <t>Tripolar800</t>
        </is>
      </c>
      <c r="E85" s="24" t="n">
        <v>304</v>
      </c>
    </row>
    <row r="89" ht="18.75" customHeight="1">
      <c r="A89" s="198" t="inlineStr">
        <is>
          <t>Tabela Disjuntores Geral</t>
        </is>
      </c>
      <c r="B89" s="238" t="n"/>
    </row>
    <row r="90" ht="15.75" customHeight="1">
      <c r="A90" s="196" t="inlineStr">
        <is>
          <t>Disjuntor</t>
        </is>
      </c>
      <c r="B90" s="238" t="n"/>
    </row>
    <row r="91" ht="15.75" customHeight="1">
      <c r="A91" s="196" t="inlineStr">
        <is>
          <t>Tipo</t>
        </is>
      </c>
      <c r="B91" s="196" t="inlineStr">
        <is>
          <t>Corrente (A)</t>
        </is>
      </c>
    </row>
    <row r="92" ht="15.75" customHeight="1">
      <c r="A92" s="57" t="inlineStr">
        <is>
          <t>Bipolar</t>
        </is>
      </c>
      <c r="B92" s="57" t="n">
        <v>60</v>
      </c>
    </row>
    <row r="93" ht="15.75" customHeight="1">
      <c r="A93" s="57" t="inlineStr">
        <is>
          <t>Bipolar</t>
        </is>
      </c>
      <c r="B93" s="57" t="n">
        <v>63</v>
      </c>
    </row>
    <row r="94" ht="15.75" customHeight="1">
      <c r="A94" s="57" t="inlineStr">
        <is>
          <t>Bipolar</t>
        </is>
      </c>
      <c r="B94" s="57" t="n">
        <v>90</v>
      </c>
    </row>
    <row r="95" ht="15.75" customHeight="1">
      <c r="A95" s="57" t="inlineStr">
        <is>
          <t>Bipolar</t>
        </is>
      </c>
      <c r="B95" s="57" t="n">
        <v>100</v>
      </c>
    </row>
    <row r="96" ht="15.75" customHeight="1">
      <c r="A96" s="57" t="inlineStr">
        <is>
          <t>Bipolar</t>
        </is>
      </c>
      <c r="B96" s="58" t="n">
        <v>120</v>
      </c>
    </row>
    <row r="97" ht="15.75" customHeight="1">
      <c r="A97" s="57" t="inlineStr">
        <is>
          <t>Bipolar</t>
        </is>
      </c>
      <c r="B97" s="58" t="n">
        <v>125</v>
      </c>
    </row>
    <row r="98" ht="15.75" customHeight="1">
      <c r="A98" s="57" t="inlineStr">
        <is>
          <t>Bipolar</t>
        </is>
      </c>
      <c r="B98" s="58" t="n">
        <v>150</v>
      </c>
    </row>
    <row r="99" ht="15.75" customHeight="1">
      <c r="A99" s="57" t="inlineStr">
        <is>
          <t>Bipolar</t>
        </is>
      </c>
      <c r="B99" s="58" t="n">
        <v>200</v>
      </c>
    </row>
    <row r="100" ht="15.75" customHeight="1">
      <c r="A100" s="24" t="inlineStr">
        <is>
          <t>Tripolar</t>
        </is>
      </c>
      <c r="B100" s="24" t="n">
        <v>60</v>
      </c>
    </row>
    <row r="101" ht="15.75" customHeight="1">
      <c r="A101" s="24" t="inlineStr">
        <is>
          <t>Tripolar</t>
        </is>
      </c>
      <c r="B101" s="24" t="n">
        <v>63</v>
      </c>
    </row>
    <row r="102" ht="15.75" customHeight="1">
      <c r="A102" s="24" t="inlineStr">
        <is>
          <t>Tripolar</t>
        </is>
      </c>
      <c r="B102" s="24" t="n">
        <v>70</v>
      </c>
    </row>
    <row r="103" ht="15.75" customHeight="1">
      <c r="A103" s="24" t="inlineStr">
        <is>
          <t>Tripolar</t>
        </is>
      </c>
      <c r="B103" s="24" t="n">
        <v>80</v>
      </c>
    </row>
    <row r="104" ht="15.75" customHeight="1">
      <c r="A104" s="24" t="inlineStr">
        <is>
          <t>Tripolar</t>
        </is>
      </c>
      <c r="B104" s="24" t="n">
        <v>100</v>
      </c>
    </row>
    <row r="105" ht="15.75" customHeight="1">
      <c r="A105" s="24" t="inlineStr">
        <is>
          <t>Tripolar</t>
        </is>
      </c>
      <c r="B105" s="24" t="n">
        <v>120</v>
      </c>
    </row>
    <row r="106" ht="15.75" customHeight="1">
      <c r="A106" s="24" t="inlineStr">
        <is>
          <t>Tripolar</t>
        </is>
      </c>
      <c r="B106" s="24" t="n">
        <v>125</v>
      </c>
    </row>
    <row r="107" ht="15.75" customHeight="1">
      <c r="A107" s="24" t="inlineStr">
        <is>
          <t>Tripolar</t>
        </is>
      </c>
      <c r="B107" s="24" t="n">
        <v>150</v>
      </c>
    </row>
    <row r="108" ht="15.75" customHeight="1">
      <c r="A108" s="24" t="inlineStr">
        <is>
          <t>Tripolar</t>
        </is>
      </c>
      <c r="B108" s="24" t="n">
        <v>175</v>
      </c>
    </row>
    <row r="109" ht="15.75" customHeight="1">
      <c r="A109" s="24" t="inlineStr">
        <is>
          <t>Tripolar</t>
        </is>
      </c>
      <c r="B109" s="24" t="n">
        <v>200</v>
      </c>
    </row>
    <row r="110" ht="15.75" customHeight="1">
      <c r="A110" s="24" t="inlineStr">
        <is>
          <t>Tripolar</t>
        </is>
      </c>
      <c r="B110" s="24" t="n">
        <v>225</v>
      </c>
    </row>
    <row r="111" ht="15.75" customHeight="1">
      <c r="A111" s="24" t="inlineStr">
        <is>
          <t>Tripolar</t>
        </is>
      </c>
      <c r="B111" s="24" t="n">
        <v>250</v>
      </c>
    </row>
    <row r="112" ht="15.75" customHeight="1">
      <c r="A112" s="24" t="inlineStr">
        <is>
          <t>Tripolar</t>
        </is>
      </c>
      <c r="B112" s="24" t="n">
        <v>300</v>
      </c>
    </row>
    <row r="113" ht="15.75" customHeight="1">
      <c r="A113" s="24" t="inlineStr">
        <is>
          <t>Tripolar</t>
        </is>
      </c>
      <c r="B113" s="24" t="n">
        <v>315</v>
      </c>
    </row>
    <row r="114" ht="15.75" customHeight="1">
      <c r="A114" s="24" t="inlineStr">
        <is>
          <t>Tripolar</t>
        </is>
      </c>
      <c r="B114" s="24" t="n">
        <v>320</v>
      </c>
    </row>
    <row r="115" ht="15.75" customHeight="1">
      <c r="A115" s="24" t="inlineStr">
        <is>
          <t>Tripolar</t>
        </is>
      </c>
      <c r="B115" s="24" t="n">
        <v>400</v>
      </c>
    </row>
    <row r="116" ht="15.75" customHeight="1">
      <c r="A116" s="24" t="inlineStr">
        <is>
          <t>Tripolar</t>
        </is>
      </c>
      <c r="B116" s="24" t="n">
        <v>450</v>
      </c>
    </row>
    <row r="117" ht="15.75" customHeight="1">
      <c r="A117" s="24" t="inlineStr">
        <is>
          <t>Tripolar</t>
        </is>
      </c>
      <c r="B117" s="24" t="n">
        <v>500</v>
      </c>
    </row>
    <row r="118" ht="15.75" customHeight="1">
      <c r="A118" s="24" t="inlineStr">
        <is>
          <t>Tripolar</t>
        </is>
      </c>
      <c r="B118" s="24" t="n">
        <v>600</v>
      </c>
    </row>
    <row r="119" ht="15.75" customHeight="1">
      <c r="A119" s="24" t="inlineStr">
        <is>
          <t>Tripolar</t>
        </is>
      </c>
      <c r="B119" s="24" t="n">
        <v>630</v>
      </c>
    </row>
    <row r="120" ht="15.75" customHeight="1">
      <c r="A120" s="24" t="inlineStr">
        <is>
          <t>Tripolar</t>
        </is>
      </c>
      <c r="B120" s="24" t="n">
        <v>700</v>
      </c>
    </row>
    <row r="121" ht="15.75" customHeight="1">
      <c r="A121" s="24" t="inlineStr">
        <is>
          <t>Tripolar</t>
        </is>
      </c>
      <c r="B121" s="24" t="n">
        <v>800</v>
      </c>
    </row>
    <row r="122" ht="15.75" customHeight="1">
      <c r="A122" s="24" t="inlineStr">
        <is>
          <t>Tripolar</t>
        </is>
      </c>
      <c r="B122" s="24" t="n">
        <v>1000</v>
      </c>
    </row>
    <row r="123" ht="15.75" customHeight="1">
      <c r="A123" s="24" t="inlineStr">
        <is>
          <t>Tripolar</t>
        </is>
      </c>
      <c r="B123" s="24" t="n">
        <v>1200</v>
      </c>
    </row>
    <row r="124" ht="15.75" customHeight="1">
      <c r="A124" s="24" t="inlineStr">
        <is>
          <t>Tripolar</t>
        </is>
      </c>
      <c r="B124" s="24" t="n">
        <v>1500</v>
      </c>
    </row>
    <row r="125" ht="15.75" customHeight="1">
      <c r="A125" s="24" t="inlineStr">
        <is>
          <t>Tripolar</t>
        </is>
      </c>
      <c r="B125" s="24" t="n">
        <v>1800</v>
      </c>
    </row>
    <row r="126" ht="15.75" customHeight="1">
      <c r="A126" s="24" t="inlineStr">
        <is>
          <t>Tripolar</t>
        </is>
      </c>
      <c r="B126" s="24" t="n">
        <v>2100</v>
      </c>
    </row>
    <row r="130">
      <c r="A130" t="inlineStr">
        <is>
          <t>Disjuntores das SE 1, 5 e 8</t>
        </is>
      </c>
    </row>
    <row r="132" ht="15.75" customHeight="1">
      <c r="A132" s="24" t="inlineStr">
        <is>
          <t>Tipo</t>
        </is>
      </c>
      <c r="B132" s="24" t="inlineStr">
        <is>
          <t>Corrente (A)</t>
        </is>
      </c>
    </row>
    <row r="133" ht="15.75" customHeight="1">
      <c r="A133" s="24" t="inlineStr">
        <is>
          <t>Tripolar</t>
        </is>
      </c>
      <c r="B133" s="24" t="n">
        <v>100</v>
      </c>
    </row>
    <row r="134" ht="15.75" customHeight="1">
      <c r="A134" s="24" t="inlineStr">
        <is>
          <t>Tripolar</t>
        </is>
      </c>
      <c r="B134" s="24" t="n">
        <v>120</v>
      </c>
    </row>
    <row r="135" ht="15.75" customHeight="1">
      <c r="A135" s="24" t="inlineStr">
        <is>
          <t>Tripolar</t>
        </is>
      </c>
      <c r="B135" s="24" t="n">
        <v>125</v>
      </c>
    </row>
    <row r="136" ht="15.75" customHeight="1">
      <c r="A136" s="24" t="inlineStr">
        <is>
          <t>Tripolar</t>
        </is>
      </c>
      <c r="B136" s="24" t="n">
        <v>150</v>
      </c>
    </row>
    <row r="137" ht="15.75" customHeight="1">
      <c r="A137" s="24" t="inlineStr">
        <is>
          <t>Tripolar</t>
        </is>
      </c>
      <c r="B137" s="24" t="n">
        <v>175</v>
      </c>
    </row>
    <row r="138" ht="15.75" customHeight="1">
      <c r="A138" s="24" t="inlineStr">
        <is>
          <t>Tripolar</t>
        </is>
      </c>
      <c r="B138" s="24" t="n">
        <v>200</v>
      </c>
    </row>
    <row r="139" ht="15.75" customHeight="1">
      <c r="A139" s="24" t="inlineStr">
        <is>
          <t>Tripolar</t>
        </is>
      </c>
      <c r="B139" s="24" t="n">
        <v>250</v>
      </c>
    </row>
    <row r="140" ht="15.75" customHeight="1">
      <c r="A140" s="24" t="inlineStr">
        <is>
          <t>Tripolar</t>
        </is>
      </c>
      <c r="B140" s="24" t="n">
        <v>300</v>
      </c>
    </row>
    <row r="141" ht="15.75" customHeight="1">
      <c r="A141" s="24" t="inlineStr">
        <is>
          <t>Tripolar</t>
        </is>
      </c>
      <c r="B141" s="24" t="n">
        <v>315</v>
      </c>
    </row>
    <row r="142" ht="15.75" customHeight="1">
      <c r="A142" s="24" t="inlineStr">
        <is>
          <t>Tripolar</t>
        </is>
      </c>
      <c r="B142" s="24" t="n">
        <v>320</v>
      </c>
    </row>
    <row r="143" ht="15.75" customHeight="1">
      <c r="A143" s="24" t="inlineStr">
        <is>
          <t>Tripolar</t>
        </is>
      </c>
      <c r="B143" s="24" t="n">
        <v>350</v>
      </c>
    </row>
    <row r="144" ht="15.75" customHeight="1">
      <c r="A144" s="24" t="inlineStr">
        <is>
          <t>Tripolar</t>
        </is>
      </c>
      <c r="B144" s="24" t="n">
        <v>400</v>
      </c>
    </row>
    <row r="145" ht="15.75" customHeight="1">
      <c r="A145" s="24" t="inlineStr">
        <is>
          <t>Tripolar</t>
        </is>
      </c>
      <c r="B145" s="24" t="n">
        <v>500</v>
      </c>
    </row>
    <row r="146" ht="15.75" customHeight="1">
      <c r="A146" s="24" t="inlineStr">
        <is>
          <t>Tripolar</t>
        </is>
      </c>
      <c r="B146" s="24" t="n">
        <v>600</v>
      </c>
    </row>
    <row r="147" ht="15.75" customHeight="1">
      <c r="A147" s="24" t="inlineStr">
        <is>
          <t>Tripolar</t>
        </is>
      </c>
      <c r="B147" s="24" t="n">
        <v>630</v>
      </c>
    </row>
    <row r="148" ht="15.75" customHeight="1">
      <c r="A148" s="24" t="inlineStr">
        <is>
          <t>Tripolar</t>
        </is>
      </c>
      <c r="B148" s="24" t="n">
        <v>800</v>
      </c>
    </row>
  </sheetData>
  <sheetProtection selectLockedCells="0" selectUnlockedCells="0" algorithmName="SHA-512" sheet="1" objects="1" insertRows="1" insertHyperlinks="1" autoFilter="1" scenarios="1" formatColumns="1" deleteColumns="1" insertColumns="1" pivotTables="1" deleteRows="1" formatCells="1" saltValue="8J/DCdI1Bu4KZ2ZGYMocaQ==" formatRows="1" sort="1" spinCount="100000" hashValue="bPNIdfJKeGpjQv1IxNBKSVsvgH57iMgBbde8CKgTNEUO0hzlBHUaagAA/4cIzVIoUNZV6IAcDpDljCYmWcZEFw=="/>
  <mergeCells count="6">
    <mergeCell ref="A54:B54"/>
    <mergeCell ref="A90:B90"/>
    <mergeCell ref="A10:B10"/>
    <mergeCell ref="A89:B89"/>
    <mergeCell ref="C10:C11"/>
    <mergeCell ref="C54:C55"/>
  </mergeCells>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5.xml><?xml version="1.0" encoding="utf-8"?>
<worksheet xmlns="http://schemas.openxmlformats.org/spreadsheetml/2006/main">
  <sheetPr codeName="Planilha4">
    <outlinePr summaryBelow="1" summaryRight="1"/>
    <pageSetUpPr/>
  </sheetPr>
  <dimension ref="A1:E54"/>
  <sheetViews>
    <sheetView workbookViewId="0">
      <selection activeCell="D21" sqref="D21"/>
    </sheetView>
  </sheetViews>
  <sheetFormatPr baseColWidth="8" defaultRowHeight="15"/>
  <cols>
    <col width="116.140625" bestFit="1" customWidth="1" min="1" max="1"/>
    <col width="9.140625" customWidth="1" style="72" min="2" max="2"/>
    <col width="9.140625" customWidth="1" style="72" min="4" max="4"/>
  </cols>
  <sheetData>
    <row r="1">
      <c r="A1" s="10" t="inlineStr">
        <is>
          <t>Número do Cliente</t>
        </is>
      </c>
      <c r="B1" s="43">
        <f>COUNTA(Formulário!I12)</f>
        <v/>
      </c>
    </row>
    <row r="2">
      <c r="A2" t="inlineStr">
        <is>
          <t>Número da Instalação</t>
        </is>
      </c>
      <c r="B2" s="43">
        <f>IF(Dados!D7=4,1,COUNTA(Formulário!AG12))</f>
        <v/>
      </c>
      <c r="D2" s="63">
        <f>IF(D5=1,E5,IF(D6=1,E6,IF(D7=1,E7,IF(D8=1,E8,IF(D9=1,E9,IF(D10=1,E10,""))))))</f>
        <v/>
      </c>
    </row>
    <row r="3">
      <c r="A3" t="inlineStr">
        <is>
          <t>Titular da Unidade Consumidora</t>
        </is>
      </c>
      <c r="B3" s="43">
        <f>COUNTA(Formulário!N14)</f>
        <v/>
      </c>
    </row>
    <row r="4">
      <c r="A4" t="inlineStr">
        <is>
          <t>Grupo</t>
        </is>
      </c>
      <c r="B4" s="43">
        <f>COUNTA(Formulário!E16)</f>
        <v/>
      </c>
    </row>
    <row r="5">
      <c r="A5" t="inlineStr">
        <is>
          <t>Classe</t>
        </is>
      </c>
      <c r="B5" s="43">
        <f>COUNTA(Formulário!K16)</f>
        <v/>
      </c>
      <c r="D5" s="25">
        <f>IF(E5&lt;&gt;"",1,0)</f>
        <v/>
      </c>
      <c r="E5">
        <f>IF(COUNTIF(Conferencia!B:B,"0")&gt;0,"O campo """&amp;INDEX(Conferencia!A:A,MATCH(0,Conferencia!B:B,0))&amp;""" deve ser preenchido.","")</f>
        <v/>
      </c>
    </row>
    <row r="6">
      <c r="A6" t="inlineStr">
        <is>
          <t>CPF/CNPJ</t>
        </is>
      </c>
      <c r="B6" s="43">
        <f>COUNTA(Formulário!AC16)</f>
        <v/>
      </c>
      <c r="D6" s="25">
        <f>IF(E6&lt;&gt;"",1,0)</f>
        <v/>
      </c>
      <c r="E6">
        <f>IF(AND(Dados!D7=4,Formulário!AG12&lt;&gt;"")," Em caso de Ligação de Nova Unidade Consumidora não pode ser preenchido o Nº da Instalação","")</f>
        <v/>
      </c>
    </row>
    <row r="7">
      <c r="A7" t="inlineStr">
        <is>
          <t>Logradouro</t>
        </is>
      </c>
      <c r="B7" s="43">
        <f>COUNTA(Formulário!G18)</f>
        <v/>
      </c>
      <c r="D7" s="25">
        <f>IF(E7&lt;&gt;"",1,0)</f>
        <v/>
      </c>
      <c r="E7">
        <f>IF(Pot_Ativa_Instalada&gt;CargaInstalada,"A Potência Ativa Instalada Total da Usina não pode ser maior que a Carga Instalada","")</f>
        <v/>
      </c>
    </row>
    <row r="8">
      <c r="A8" t="inlineStr">
        <is>
          <t>Número</t>
        </is>
      </c>
      <c r="B8" s="43">
        <f>COUNTA(Formulário!AI18)</f>
        <v/>
      </c>
      <c r="D8" s="25">
        <f>IF(E8&lt;&gt;"",1,0)</f>
        <v/>
      </c>
      <c r="E8">
        <f>IF(D19=0,"O uso da SE Nº1 foi descontinuado das normas Cemig, portanto NÃO é permitida para ligação de novas UC usando esse padrão de construção","")</f>
        <v/>
      </c>
    </row>
    <row r="9">
      <c r="A9" t="inlineStr">
        <is>
          <t>Bairro</t>
        </is>
      </c>
      <c r="B9" s="43">
        <f>COUNTA(Formulário!E20)</f>
        <v/>
      </c>
      <c r="D9" s="25">
        <f>IF(E9&lt;&gt;"",1,0)</f>
        <v/>
      </c>
      <c r="E9">
        <f>IF(Pot_Ativa_Instalada&gt;75,"Este formulário é para as solicitações de MICROGERAÇÃO. Para potência superior a 75 kW utilize o formulário de MINIGERAÇÃO","")</f>
        <v/>
      </c>
    </row>
    <row r="10">
      <c r="A10" t="inlineStr">
        <is>
          <t>Municipio</t>
        </is>
      </c>
      <c r="B10" s="43">
        <f>COUNTA(Formulário!T20)</f>
        <v/>
      </c>
      <c r="D10" s="25">
        <f>IF(E10&lt;&gt;"",1,0)</f>
        <v/>
      </c>
      <c r="E10">
        <f>IF($D$21=1,"O somatório das potências dos transformadores não pode ser menor que a Potência Ativa Instalada Total de Geração da Usina.","")</f>
        <v/>
      </c>
    </row>
    <row r="11">
      <c r="A11" t="inlineStr">
        <is>
          <t>Estado</t>
        </is>
      </c>
      <c r="B11" s="43">
        <f>COUNTA(Formulário!AN20)</f>
        <v/>
      </c>
    </row>
    <row r="12">
      <c r="A12" t="inlineStr">
        <is>
          <t>CEP</t>
        </is>
      </c>
      <c r="B12" s="43">
        <f>COUNTA(Formulário!AS20)</f>
        <v/>
      </c>
    </row>
    <row r="13">
      <c r="A13" t="inlineStr">
        <is>
          <t>Celular</t>
        </is>
      </c>
      <c r="B13" s="43">
        <f>COUNTA(Formulário!O22)</f>
        <v/>
      </c>
    </row>
    <row r="14">
      <c r="A14" t="inlineStr">
        <is>
          <t>e-mail</t>
        </is>
      </c>
      <c r="B14" s="43">
        <f>COUNTA(Formulário!Y22)</f>
        <v/>
      </c>
    </row>
    <row r="15">
      <c r="A15" t="inlineStr">
        <is>
          <t>Fuso</t>
        </is>
      </c>
      <c r="B15" s="43">
        <f>COUNTA(Formulário!V27)</f>
        <v/>
      </c>
    </row>
    <row r="16">
      <c r="A16" t="inlineStr">
        <is>
          <t>E (Abscissa)</t>
        </is>
      </c>
      <c r="B16" s="43">
        <f>COUNTA(Formulário!AC27)</f>
        <v/>
      </c>
    </row>
    <row r="17">
      <c r="A17" t="inlineStr">
        <is>
          <t>N (Ordenada)</t>
        </is>
      </c>
      <c r="B17" s="43">
        <f>COUNTA(Formulário!AL27)</f>
        <v/>
      </c>
    </row>
    <row r="18">
      <c r="A18" s="10" t="inlineStr">
        <is>
          <t>Carga Instalada (consumo próprio) (kW)</t>
        </is>
      </c>
      <c r="B18" s="43">
        <f>IF(Grupo="A",COUNTA(Formulário!R29),1)</f>
        <v/>
      </c>
    </row>
    <row r="19">
      <c r="A19" t="inlineStr">
        <is>
          <t>Tipo de Subestação (Conforme ND 5.3)</t>
        </is>
      </c>
      <c r="B19" s="43">
        <f>IF(Formulário!E16&lt;&gt;"A",1,COUNTA(Formulário!T34))</f>
        <v/>
      </c>
      <c r="D19" s="43">
        <f>IF(AND(Dados!D7=4,TipoSE="Nº 1"),0,1)</f>
        <v/>
      </c>
      <c r="E19" t="inlineStr">
        <is>
          <t>Valida o tipo de SE Nº 1 em ligação nova</t>
        </is>
      </c>
    </row>
    <row r="20">
      <c r="A20" s="10">
        <f>IF($D$22=1,"Qte trafo de potência distinta","Transformador particular (kVA)")</f>
        <v/>
      </c>
      <c r="B20" s="43">
        <f>IF(Grupo="B",1,IF(AND($D$22=1,Formulário!$S$36&gt;4),0,COUNTA(Formulário!$S$36)))</f>
        <v/>
      </c>
    </row>
    <row r="21">
      <c r="A21" t="inlineStr">
        <is>
          <t>Qte e potência do(s) transformador(es)</t>
        </is>
      </c>
      <c r="B21" s="43">
        <f>IF(Grupo="B",1,IF(OR(TipoSE="Nº 1",TipoSE="Nº 5",TipoSE="Nº 8"),1,IF(AND($D$22=1,Formulário!$S$36=1,OR(Formulário!$Z$36="",Formulário!$AF$36="")),0,COUNTA(Formulário!$S$36)*COUNTA(Formulário!$Z$36)*COUNTA(Formulário!$AF$36))))</f>
        <v/>
      </c>
      <c r="D21" s="72">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
      </c>
      <c r="E21" t="inlineStr">
        <is>
          <t>Valida o somatório das potências dos trafos em relação à Potência Ativa Instalada</t>
        </is>
      </c>
    </row>
    <row r="22">
      <c r="A22" t="inlineStr">
        <is>
          <t>Qte e potência do(s) transformador(es)</t>
        </is>
      </c>
      <c r="B22" s="43">
        <f>IF(Grupo="B",1,IF(OR(TipoSE="Nº 1",TipoSE="Nº 5",TipoSE="Nº 8"),1,IF(AND($D$22=1,Formulário!$S$36=1),1,IF(OR(Formulário!$Z$36="",Formulário!$AF$36="",Formulário!$Z$34="",Formulário!$AF$34=""),0,COUNTA(Formulário!$S$36)*COUNTA(Formulário!$Z$36)*COUNTA(Formulário!$AF$36)*COUNTA(Formulário!$Z$34)*COUNTA(Formulário!$AF$34)))))</f>
        <v/>
      </c>
      <c r="D22" s="43">
        <f>IF(OR(TipoSE="Nº 2",TipoSE="Nº 4"),1,0)</f>
        <v/>
      </c>
      <c r="E22" t="inlineStr">
        <is>
          <t>Identifica SE tipos Nº 2 ou Nº 4</t>
        </is>
      </c>
    </row>
    <row r="23">
      <c r="A23" t="inlineStr">
        <is>
          <t>Qte e potência do(s) transformador(es)</t>
        </is>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
      </c>
      <c r="D23" s="43">
        <f>IF(OR(TipoSE="Nº 1",TipoSE="Nº 5",TipoSE="Nº 8"),1,0)</f>
        <v/>
      </c>
      <c r="E23" t="inlineStr">
        <is>
          <t>Identifica SE tipos Nº 1 ou Nº 5 ou Nº 8</t>
        </is>
      </c>
    </row>
    <row r="24">
      <c r="A24" t="inlineStr">
        <is>
          <t>Qte e potência do(s) transformador(es)</t>
        </is>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
      </c>
      <c r="D24" s="43">
        <f>IF(TipoSE="Nº 1",1,0)</f>
        <v/>
      </c>
      <c r="E24" t="inlineStr">
        <is>
          <t>Indentifica SE tipo Nº 1</t>
        </is>
      </c>
    </row>
    <row r="25">
      <c r="A25" s="10" t="inlineStr">
        <is>
          <t>Tipo de Solicitação</t>
        </is>
      </c>
      <c r="B25" s="43">
        <f>COUNTA(Formulário!I39)</f>
        <v/>
      </c>
    </row>
    <row r="26">
      <c r="A26" s="10" t="inlineStr">
        <is>
          <t>Pot. Atual (kW)</t>
        </is>
      </c>
      <c r="B26" s="43">
        <f>IF(Dados!D6=3,COUNTA(Formulário!AU39),1)</f>
        <v/>
      </c>
    </row>
    <row r="27">
      <c r="A27" s="10" t="inlineStr">
        <is>
          <t>Tipo de edificação</t>
        </is>
      </c>
      <c r="B27" s="43">
        <f>COUNTA(Formulário!I41)</f>
        <v/>
      </c>
    </row>
    <row r="28">
      <c r="A28" t="inlineStr">
        <is>
          <t>Disjuntor de Baixa Tensão</t>
        </is>
      </c>
      <c r="B28" s="43">
        <f>IF(Grupo="B",1,IF(OR(TipoSE="Nº 1",TipoSE="Nº 5",TipoSE="Nº 8"),COUNTA(Formulário!AB45)*COUNTA(Formulário!AH45),1))</f>
        <v/>
      </c>
    </row>
    <row r="29">
      <c r="A29" s="10" t="inlineStr">
        <is>
          <t>Disjuntor Individual Atual</t>
        </is>
      </c>
      <c r="B29" s="43">
        <f>IF(Grupo="A",1,COUNTA(Formulário!AH45)*COUNTA(Formulário!AB45))</f>
        <v/>
      </c>
    </row>
    <row r="30">
      <c r="A30" s="21" t="inlineStr">
        <is>
          <t>Disjuntor Individual Solicitado para Alteração de Carga</t>
        </is>
      </c>
      <c r="B30" s="43">
        <f>IF(Grupo="A",1,IF(OR(Formulário!I39=Apoio!A2,Formulário!I39=Apoio!A3),1,IF(AND(Formulário!I39=Apoio!A5,Formulário!AB47="Sem Alter. Carga"),1,COUNTA(Formulário!AB47)*COUNTA(Formulário!AH47))))</f>
        <v/>
      </c>
    </row>
    <row r="31">
      <c r="A31" s="21" t="inlineStr">
        <is>
          <t>Disjuntor Geral do Padrão (Conforme ND 5.2)</t>
        </is>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
      </c>
    </row>
    <row r="32">
      <c r="A32" s="21" t="inlineStr">
        <is>
          <t>Disjuntor Geral do Padrão (Conforme ND 5.2)</t>
        </is>
      </c>
      <c r="B32" s="43">
        <f>IF(Grupo="A",1,IF(Formulário!$H$49="",1,IF(AND(Formulário!$H$49=" Disjuntor Geral do Padrão (Conforme ND 5.2):",Formulário!$AB$49="Sem Disj. Geral"),1,IF(AND(Formulário!$H$49=" Disjuntor Geral do Padrão (Conforme ND 5.2):",Formulário!AB48&lt;&gt;"Sem Disj. Geral"),COUNTA(Formulário!$AB$49)*COUNTA(Formulário!$AH$49)))))</f>
        <v/>
      </c>
    </row>
    <row r="33">
      <c r="A33" s="21" t="inlineStr">
        <is>
          <t>Qte Disjuntor Geral</t>
        </is>
      </c>
      <c r="B33" s="43">
        <f>IF(Grupo="A",1,IF(Formulário!I42="Edificação Individual",1,IF(OR(Formulário!$H$49="",Formulário!$AB$49="Sem Disj. Geral"),1,COUNTA(Formulário!AT49))))</f>
        <v/>
      </c>
    </row>
    <row r="34">
      <c r="A34" s="10" t="inlineStr">
        <is>
          <t>Tensão de Atendimento (V)</t>
        </is>
      </c>
      <c r="B34" s="43">
        <f>COUNTA(Formulário!L52)</f>
        <v/>
      </c>
    </row>
    <row r="35">
      <c r="A35" t="inlineStr">
        <is>
          <t>Tipo de Ramal</t>
        </is>
      </c>
      <c r="B35" s="43">
        <f>IF(Formulário!AE52=" &lt;-- Atenção! Altere o tipo de ramal",0,COUNTA(Formulário!X52))</f>
        <v/>
      </c>
    </row>
    <row r="36">
      <c r="A36" s="21" t="inlineStr">
        <is>
          <t>Haverá Mudança de Local do Padrão de Entrada</t>
        </is>
      </c>
      <c r="B36" s="43">
        <f>IF(Formulário!I39=Apoio!A2,1,IF(Formulário!U54="&lt;-- Para SE Nº 1 não pode haver mudança de local do Padrão de Entrada. Altere...",0,COUNTA(Formulário!R54)))</f>
        <v/>
      </c>
    </row>
    <row r="37">
      <c r="A37" s="10" t="inlineStr">
        <is>
          <t>Tipo de Fonte de Geração</t>
        </is>
      </c>
      <c r="B37" s="43">
        <f>COUNTA(TipoFonte)</f>
        <v/>
      </c>
    </row>
    <row r="38">
      <c r="A38" s="10" t="inlineStr">
        <is>
          <t>Modalidade de compensação</t>
        </is>
      </c>
      <c r="B38" s="43">
        <f>COUNTA(Formulário!L61)</f>
        <v/>
      </c>
    </row>
    <row r="39">
      <c r="A39" t="inlineStr">
        <is>
          <t>Potência Ativa Instalada Total de Geração da Usina (kW)</t>
        </is>
      </c>
      <c r="B39" s="43" t="n">
        <v>1</v>
      </c>
    </row>
    <row r="40">
      <c r="A40" t="inlineStr">
        <is>
          <t>Qtde. de Instalações a receber o crédito</t>
        </is>
      </c>
      <c r="B40" s="43">
        <f>COUNTA(Formulário!AS61)</f>
        <v/>
      </c>
    </row>
    <row r="41">
      <c r="A41" s="59">
        <f>IF(TipoFonte="Solar","Potência Total Módulos (kW)",IF(OR(TipoFonte="Hidráulica",TipoFonte="Biomassa",TipoFonte="Cogeração Qualificada"),"Potência Aparente (kVA)",IF(TipoFonte="Eólica","Quantidade de Aerogeradores","")))</f>
        <v/>
      </c>
      <c r="B41" s="43">
        <f>COUNTA(Formulário!P69)</f>
        <v/>
      </c>
    </row>
    <row r="42">
      <c r="A42" s="59">
        <f>IF(TipoFonte="Solar","Potência Total Inversores (kW)",IF(OR(TipoFonte="Hidráulica",TipoFonte="Biomassa",TipoFonte="Eólica",TipoFonte="Cogeração Qualificada"),"Potência Instalada (kW)",""))</f>
        <v/>
      </c>
      <c r="B42" s="43">
        <f>COUNTA(Formulário!P71)</f>
        <v/>
      </c>
    </row>
    <row r="43">
      <c r="A43" s="59">
        <f>IF(TipoFonte="Solar","Área dos Arranjos (m²)",IF(OR(TipoFonte="Hidráulica",TipoFonte="Biomassa",TipoFonte="Eólica",TipoFonte="Cogeração Qualificada"),"Fator de Potência",""))</f>
        <v/>
      </c>
      <c r="B43" s="43">
        <f>COUNTA(Formulário!P73)</f>
        <v/>
      </c>
    </row>
    <row r="44">
      <c r="A44" s="59">
        <f>IF(TipoFonte="Solar","Quantidade de Módulos",IF(TipoFonte="Hidráulica","Tensão (kV)",IF(OR(TipoFonte="Cogeração Qualificada",TipoFonte="Biomassa"),"Combustível",IF(TipoFonte="Eólica","Fabricante dos Aerogeradores",""))))</f>
        <v/>
      </c>
      <c r="B44" s="43">
        <f>COUNTA(Formulário!P75)</f>
        <v/>
      </c>
    </row>
    <row r="45">
      <c r="A45" s="59">
        <f>IF(TipoFonte="Solar","Modelo dos Módulos",IF(OR(TipoFonte="Cogeração Qualificada",TipoFonte="Biomassa"),"Máquina Motriz (Motor/Turbina)",IF(TipoFonte="Eólica","Altura da pá (m)",IF(TipoFonte="Hidráulica","Nome do rio",""))))</f>
        <v/>
      </c>
      <c r="B45" s="43">
        <f>COUNTA(Formulário!P77)</f>
        <v/>
      </c>
    </row>
    <row r="46">
      <c r="A46" s="59">
        <f>IF(TipoFonte="Solar","Fabricante dos Módulos",IF(TipoFonte="Hidráulica","Nível Operacional Normal de Jusante (m)",IF(OR(TipoFonte="Cogeração Qualificada",TipoFonte="Biomassa"),"Ciclo Termodinâmico (Aberto/Fechado)",IF(TipoFonte="Eólica","Eixo do rotor",""))))</f>
        <v/>
      </c>
      <c r="B46" s="43">
        <f>COUNTA(Formulário!P79)</f>
        <v/>
      </c>
    </row>
    <row r="47">
      <c r="A47" s="59">
        <f>IF(TipoFonte="Solar","Quantidade de Inversores",IF(OR(TipoFonte="Cogeração Qualificada",TipoFonte="Biomassa"),"Número do Despacho de qualificação",IF(TipoFonte="Eólica","Modelo dos Aerogeradores","")))</f>
        <v/>
      </c>
      <c r="B47" s="43">
        <f>IF(A47="",1,COUNTA(Formulário!P81))</f>
        <v/>
      </c>
    </row>
    <row r="48">
      <c r="A48" s="59">
        <f>IF(TipoFonte="Solar","Modelo dos Inversores","")</f>
        <v/>
      </c>
      <c r="B48" s="43">
        <f>IF(A48="",1,COUNTA(Formulário!P83))</f>
        <v/>
      </c>
    </row>
    <row r="49">
      <c r="A49" s="59">
        <f>IF(TipoFonte="Solar","Fabricante dos Inversores","")</f>
        <v/>
      </c>
      <c r="B49" s="43">
        <f>IF(A49="",1,COUNTA(Formulário!P85))</f>
        <v/>
      </c>
    </row>
    <row r="50">
      <c r="A50" t="inlineStr">
        <is>
          <t>Nome do Consumidor ou Procurador Legal</t>
        </is>
      </c>
      <c r="B50" s="43">
        <f>COUNTA(Formulário!Q151)</f>
        <v/>
      </c>
    </row>
    <row r="51">
      <c r="A51" t="inlineStr">
        <is>
          <t>Endereço de Correspondência</t>
        </is>
      </c>
      <c r="B51" s="43">
        <f>COUNTA(Formulário!O153)</f>
        <v/>
      </c>
    </row>
    <row r="52">
      <c r="A52" t="inlineStr">
        <is>
          <t>Celular</t>
        </is>
      </c>
      <c r="B52" s="43">
        <f>COUNTA(Formulário!O157)</f>
        <v/>
      </c>
    </row>
    <row r="53">
      <c r="A53" t="inlineStr">
        <is>
          <t>E-mail</t>
        </is>
      </c>
      <c r="B53" s="43">
        <f>COUNTA(Formulário!Y157)</f>
        <v/>
      </c>
    </row>
    <row r="54">
      <c r="A54" t="inlineStr">
        <is>
          <t>Local e data</t>
        </is>
      </c>
      <c r="B54" s="43">
        <f>COUNTA(Formulário!C167)</f>
        <v/>
      </c>
    </row>
  </sheetData>
  <sheetProtection selectLockedCells="0" selectUnlockedCells="0" algorithmName="SHA-512" sheet="1" objects="1" insertRows="1" insertHyperlinks="1" autoFilter="1" scenarios="1" formatColumns="1" deleteColumns="1" insertColumns="1" pivotTables="1" deleteRows="1" formatCells="1" saltValue="FaFnBzhxqtjmnriKxrrktA==" formatRows="1" sort="1" spinCount="100000" hashValue="zGDm49vNPKS3TP9r9Mc1T4CdmkJ2CEmwEaAEqVWW3Ud7GSEeyLI9taB6SsmxtkcccO0TlsxXH+FcIuDhh2Bh6w=="/>
  <pageMargins left="0.511811024" right="0.511811024" top="0.787401575" bottom="0.787401575" header="0.31496062" footer="0.31496062"/>
  <headerFooter>
    <oddHeader/>
    <oddFooter>&amp;R&amp;"Calibri"&amp;10 &amp;K000000_x000d_# Classificação: Público</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C15" sqref="C15"/>
    </sheetView>
  </sheetViews>
  <sheetFormatPr baseColWidth="8" defaultRowHeight="15"/>
  <cols>
    <col width="10.7109375" bestFit="1" customWidth="1" min="2" max="2"/>
    <col width="52" bestFit="1" customWidth="1" min="3" max="3"/>
  </cols>
  <sheetData>
    <row r="1">
      <c r="A1" s="68" t="inlineStr">
        <is>
          <t>Revisão</t>
        </is>
      </c>
      <c r="B1" s="68" t="inlineStr">
        <is>
          <t>Data</t>
        </is>
      </c>
      <c r="C1" s="68" t="inlineStr">
        <is>
          <t>Modificação</t>
        </is>
      </c>
    </row>
    <row r="2" ht="45" customHeight="1">
      <c r="A2" s="65" t="inlineStr">
        <is>
          <t>i</t>
        </is>
      </c>
      <c r="B2" s="66" t="n">
        <v>44841</v>
      </c>
      <c r="C2" s="67" t="inlineStr">
        <is>
          <t>Atualização da carga de acordo com o disjuntor instalado
Criação da tabela de disjuntores padronizados
Alteração das fórmulas dos disjuntores</t>
        </is>
      </c>
    </row>
    <row r="3">
      <c r="A3" s="65" t="n"/>
      <c r="B3" s="65" t="n"/>
      <c r="C3" s="65" t="n"/>
    </row>
    <row r="4">
      <c r="A4" s="65" t="n"/>
      <c r="B4" s="65" t="n"/>
      <c r="C4" s="65" t="n"/>
    </row>
    <row r="5">
      <c r="A5" s="65" t="n"/>
      <c r="B5" s="65" t="n"/>
      <c r="C5" s="65" t="n"/>
    </row>
    <row r="6">
      <c r="A6" s="65" t="n"/>
      <c r="B6" s="65" t="n"/>
      <c r="C6" s="65" t="n"/>
    </row>
    <row r="7">
      <c r="A7" s="65" t="n"/>
      <c r="B7" s="65" t="n"/>
      <c r="C7" s="65" t="n"/>
    </row>
    <row r="8">
      <c r="A8" s="65" t="n"/>
      <c r="B8" s="65" t="n"/>
      <c r="C8" s="65" t="n"/>
    </row>
    <row r="9">
      <c r="A9" s="65" t="n"/>
      <c r="B9" s="65" t="n"/>
      <c r="C9" s="65" t="n"/>
    </row>
    <row r="10">
      <c r="A10" s="65" t="n"/>
      <c r="B10" s="65" t="n"/>
      <c r="C10" s="65" t="n"/>
    </row>
    <row r="11">
      <c r="A11" s="65" t="n"/>
      <c r="B11" s="65" t="n"/>
      <c r="C11" s="65" t="n"/>
    </row>
    <row r="12">
      <c r="A12" s="65" t="n"/>
      <c r="B12" s="65" t="n"/>
      <c r="C12" s="65" t="n"/>
    </row>
    <row r="13">
      <c r="A13" s="65" t="n"/>
      <c r="B13" s="65" t="n"/>
      <c r="C13" s="65" t="n"/>
    </row>
    <row r="14">
      <c r="A14" s="65" t="n"/>
      <c r="B14" s="65" t="n"/>
      <c r="C14" s="65" t="n"/>
    </row>
  </sheetData>
  <sheetProtection selectLockedCells="0" selectUnlockedCells="0" algorithmName="SHA-512" sheet="1" objects="1" insertRows="1" insertHyperlinks="1" autoFilter="1" scenarios="1" formatColumns="1" deleteColumns="1" insertColumns="1" pivotTables="1" deleteRows="1" formatCells="1" saltValue="Xg9FkUZZ3Qx0cHjPKIVIwA==" formatRows="1" sort="1" spinCount="100000" hashValue="rsO/d6p9MYSgbA5jk85mJSVMOiRKkB5oN1eCNP2cUe6NfrgVnsw9rDaF2UonYeyNgEZOKjqG5pEb3CPj3hLDHg=="/>
  <pageMargins left="0.511811024" right="0.511811024" top="0.787401575" bottom="0.787401575" header="0.31496062" footer="0.31496062"/>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2023-03-15T13:08:55Z</dcterms:modified>
  <cp:lastModifiedBy>Henrique</cp:lastModifiedBy>
  <cp:lastPrinted>2022-06-30T18:44:10Z</cp:lastPrinted>
</cp:coreProperties>
</file>

<file path=docProps/custom.xml><?xml version="1.0" encoding="utf-8"?>
<Properties xmlns="http://schemas.openxmlformats.org/officeDocument/2006/custom-properties">
  <property name="MSIP_Label_1631d8ac-5ed3-47a6-a906-d47f78cf87da_Enabled" fmtid="{D5CDD505-2E9C-101B-9397-08002B2CF9AE}" pid="2">
    <vt:lpwstr xmlns:vt="http://schemas.openxmlformats.org/officeDocument/2006/docPropsVTypes">true</vt:lpwstr>
  </property>
  <property name="MSIP_Label_1631d8ac-5ed3-47a6-a906-d47f78cf87da_SetDate" fmtid="{D5CDD505-2E9C-101B-9397-08002B2CF9AE}" pid="3">
    <vt:lpwstr xmlns:vt="http://schemas.openxmlformats.org/officeDocument/2006/docPropsVTypes">2022-05-31T19:59:14Z</vt:lpwstr>
  </property>
  <property name="MSIP_Label_1631d8ac-5ed3-47a6-a906-d47f78cf87da_Method" fmtid="{D5CDD505-2E9C-101B-9397-08002B2CF9AE}" pid="4">
    <vt:lpwstr xmlns:vt="http://schemas.openxmlformats.org/officeDocument/2006/docPropsVTypes">Standard</vt:lpwstr>
  </property>
  <property name="MSIP_Label_1631d8ac-5ed3-47a6-a906-d47f78cf87da_Name" fmtid="{D5CDD505-2E9C-101B-9397-08002B2CF9AE}" pid="5">
    <vt:lpwstr xmlns:vt="http://schemas.openxmlformats.org/officeDocument/2006/docPropsVTypes">Uso interno</vt:lpwstr>
  </property>
  <property name="MSIP_Label_1631d8ac-5ed3-47a6-a906-d47f78cf87da_SiteId" fmtid="{D5CDD505-2E9C-101B-9397-08002B2CF9AE}" pid="6">
    <vt:lpwstr xmlns:vt="http://schemas.openxmlformats.org/officeDocument/2006/docPropsVTypes">97ce2340-9c1d-45b1-a835-7ea811b6fe9a</vt:lpwstr>
  </property>
  <property name="MSIP_Label_1631d8ac-5ed3-47a6-a906-d47f78cf87da_ActionId" fmtid="{D5CDD505-2E9C-101B-9397-08002B2CF9AE}" pid="7">
    <vt:lpwstr xmlns:vt="http://schemas.openxmlformats.org/officeDocument/2006/docPropsVTypes">e5750626-1fcd-433d-bfef-a53f72cd9267</vt:lpwstr>
  </property>
  <property name="MSIP_Label_1631d8ac-5ed3-47a6-a906-d47f78cf87da_ContentBits" fmtid="{D5CDD505-2E9C-101B-9397-08002B2CF9AE}" pid="8">
    <vt:lpwstr xmlns:vt="http://schemas.openxmlformats.org/officeDocument/2006/docPropsVTypes">0</vt:lpwstr>
  </property>
</Properties>
</file>